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.Samhällsekonomi\1.1.Personmappar\Stefan G\Verktyg\Lönkalk\"/>
    </mc:Choice>
  </mc:AlternateContent>
  <bookViews>
    <workbookView xWindow="0" yWindow="0" windowWidth="5085" windowHeight="6300" tabRatio="922"/>
  </bookViews>
  <sheets>
    <sheet name="Lönkalk" sheetId="16" r:id="rId1"/>
  </sheets>
  <externalReferences>
    <externalReference r:id="rId2"/>
    <externalReference r:id="rId3"/>
  </externalReferences>
  <definedNames>
    <definedName name="Byggstartår" localSheetId="0">Lönkalk!#REF!</definedName>
    <definedName name="Byggstartår">#REF!</definedName>
    <definedName name="Byggstartåret" localSheetId="0">Lönkalk!#REF!</definedName>
    <definedName name="Byggstartåret">#REF!</definedName>
    <definedName name="Datum">#REF!</definedName>
    <definedName name="Diskonteringsår" localSheetId="0">Lönkalk!$D$10</definedName>
    <definedName name="Diskonteringsår">#REF!</definedName>
    <definedName name="Diskonteringsåret" localSheetId="0">Lönkalk!$D$10</definedName>
    <definedName name="Diskonteringsåret">#REF!</definedName>
    <definedName name="Fil_från" localSheetId="0">[1]Beräkningar!#REF!</definedName>
    <definedName name="Fil_från">[1]Beräkningar!#REF!</definedName>
    <definedName name="Filer">[1]START!$O$1:$O$25</definedName>
    <definedName name="Filervisa">[1]START!$P$1:$P$25</definedName>
    <definedName name="KALKYLPERIOD" localSheetId="0">Lönkalk!$D$16</definedName>
    <definedName name="KALKYLPERIOD">#REF!</definedName>
    <definedName name="Kontor">[2]Inrapportering!$E$5</definedName>
    <definedName name="Län">[1]Beräkningar!$GS$14:$GS$34</definedName>
    <definedName name="LänKommun">[1]Beräkningar!$GJ$14:$GJ$314</definedName>
    <definedName name="Namn">#REF!</definedName>
    <definedName name="objekt">#REF!</definedName>
    <definedName name="Projektkontor">[2]Inrapportering!$E$4</definedName>
    <definedName name="Trafikstartår" localSheetId="0">Lönkalk!$D$12</definedName>
    <definedName name="Trafikstartår">#REF!</definedName>
    <definedName name="_xlnm.Print_Area" localSheetId="0">Lönkalk!$A$1:$AT$76</definedName>
    <definedName name="Valt_projektkontor" localSheetId="0">#REF!</definedName>
    <definedName name="Valt_projektkontor">#REF!</definedName>
    <definedName name="Valt_år">[2]Inrapportering!$AH$2</definedName>
    <definedName name="Valtår" localSheetId="0">#REF!</definedName>
    <definedName name="Valtår">#REF!</definedName>
    <definedName name="Vägtyplista">[1]Beräkningar!$GP$54:$GP$66</definedName>
    <definedName name="ÅR">"""='med trafiktillväxt'!$F$3:$F$"" &amp; 3 + 'med trafiktillväxt'!$B$18"</definedName>
  </definedNames>
  <calcPr calcId="162913"/>
</workbook>
</file>

<file path=xl/calcChain.xml><?xml version="1.0" encoding="utf-8"?>
<calcChain xmlns="http://schemas.openxmlformats.org/spreadsheetml/2006/main">
  <c r="R18" i="16" l="1"/>
  <c r="R19" i="16"/>
  <c r="R20" i="16"/>
  <c r="R21" i="16"/>
  <c r="R22" i="16"/>
  <c r="T22" i="16" s="1"/>
  <c r="R23" i="16"/>
  <c r="T23" i="16" s="1"/>
  <c r="R24" i="16"/>
  <c r="T24" i="16" s="1"/>
  <c r="R25" i="16"/>
  <c r="T25" i="16" s="1"/>
  <c r="R26" i="16"/>
  <c r="R27" i="16"/>
  <c r="R28" i="16"/>
  <c r="R29" i="16"/>
  <c r="R30" i="16"/>
  <c r="T30" i="16" s="1"/>
  <c r="R31" i="16"/>
  <c r="T31" i="16" s="1"/>
  <c r="R16" i="16"/>
  <c r="T16" i="16" s="1"/>
  <c r="R17" i="16"/>
  <c r="T17" i="16" s="1"/>
  <c r="T20" i="16"/>
  <c r="T21" i="16"/>
  <c r="T26" i="16"/>
  <c r="T27" i="16"/>
  <c r="T28" i="16"/>
  <c r="T29" i="16"/>
  <c r="T18" i="16"/>
  <c r="T19" i="16"/>
  <c r="S55" i="16" l="1"/>
  <c r="S56" i="16"/>
  <c r="S57" i="16"/>
  <c r="S58" i="16"/>
  <c r="S59" i="16"/>
  <c r="S60" i="16"/>
  <c r="S61" i="16"/>
  <c r="S62" i="16"/>
  <c r="S63" i="16"/>
  <c r="S64" i="16"/>
  <c r="S65" i="16"/>
  <c r="S66" i="16"/>
  <c r="S67" i="16"/>
  <c r="S68" i="16"/>
  <c r="S69" i="16"/>
  <c r="S70" i="16"/>
  <c r="S71" i="16"/>
  <c r="S72" i="16"/>
  <c r="S73" i="16"/>
  <c r="S74" i="16"/>
  <c r="S75" i="16"/>
  <c r="D13" i="16"/>
  <c r="R34" i="16" l="1"/>
  <c r="T34" i="16" s="1"/>
  <c r="R42" i="16"/>
  <c r="T42" i="16" s="1"/>
  <c r="R50" i="16"/>
  <c r="T50" i="16" s="1"/>
  <c r="R35" i="16"/>
  <c r="T35" i="16" s="1"/>
  <c r="R43" i="16"/>
  <c r="T43" i="16" s="1"/>
  <c r="R51" i="16"/>
  <c r="T51" i="16" s="1"/>
  <c r="R36" i="16"/>
  <c r="T36" i="16" s="1"/>
  <c r="R44" i="16"/>
  <c r="T44" i="16" s="1"/>
  <c r="R52" i="16"/>
  <c r="T52" i="16" s="1"/>
  <c r="R70" i="16"/>
  <c r="T70" i="16" s="1"/>
  <c r="R37" i="16"/>
  <c r="T37" i="16" s="1"/>
  <c r="R45" i="16"/>
  <c r="T45" i="16" s="1"/>
  <c r="R53" i="16"/>
  <c r="T53" i="16" s="1"/>
  <c r="R38" i="16"/>
  <c r="T38" i="16" s="1"/>
  <c r="R46" i="16"/>
  <c r="T46" i="16" s="1"/>
  <c r="R54" i="16"/>
  <c r="T54" i="16" s="1"/>
  <c r="R64" i="16"/>
  <c r="T64" i="16" s="1"/>
  <c r="R39" i="16"/>
  <c r="T39" i="16" s="1"/>
  <c r="R47" i="16"/>
  <c r="T47" i="16" s="1"/>
  <c r="R55" i="16"/>
  <c r="T55" i="16" s="1"/>
  <c r="R65" i="16"/>
  <c r="T65" i="16" s="1"/>
  <c r="R73" i="16"/>
  <c r="T73" i="16" s="1"/>
  <c r="R57" i="16"/>
  <c r="T57" i="16" s="1"/>
  <c r="R32" i="16"/>
  <c r="T32" i="16" s="1"/>
  <c r="R40" i="16"/>
  <c r="T40" i="16" s="1"/>
  <c r="R48" i="16"/>
  <c r="T48" i="16" s="1"/>
  <c r="R56" i="16"/>
  <c r="R60" i="16" s="1"/>
  <c r="T60" i="16" s="1"/>
  <c r="R74" i="16"/>
  <c r="T74" i="16" s="1"/>
  <c r="R67" i="16"/>
  <c r="T67" i="16" s="1"/>
  <c r="R33" i="16"/>
  <c r="T33" i="16" s="1"/>
  <c r="R41" i="16"/>
  <c r="T41" i="16" s="1"/>
  <c r="R49" i="16"/>
  <c r="T49" i="16" s="1"/>
  <c r="R75" i="16"/>
  <c r="T75" i="16" s="1"/>
  <c r="R62" i="16"/>
  <c r="T62" i="16" s="1"/>
  <c r="Q17" i="16"/>
  <c r="Q16" i="16"/>
  <c r="D31" i="16"/>
  <c r="R61" i="16" l="1"/>
  <c r="T61" i="16" s="1"/>
  <c r="R68" i="16"/>
  <c r="T68" i="16" s="1"/>
  <c r="R66" i="16"/>
  <c r="T66" i="16" s="1"/>
  <c r="R71" i="16"/>
  <c r="T71" i="16" s="1"/>
  <c r="R59" i="16"/>
  <c r="T59" i="16" s="1"/>
  <c r="R63" i="16"/>
  <c r="T63" i="16" s="1"/>
  <c r="R69" i="16"/>
  <c r="T69" i="16" s="1"/>
  <c r="R72" i="16"/>
  <c r="T72" i="16" s="1"/>
  <c r="R58" i="16"/>
  <c r="T58" i="16" s="1"/>
  <c r="T5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36" i="16"/>
  <c r="S37" i="16"/>
  <c r="S38" i="16"/>
  <c r="S39" i="16"/>
  <c r="S40" i="16"/>
  <c r="S41" i="16"/>
  <c r="S42" i="16"/>
  <c r="S43" i="16"/>
  <c r="S44" i="16"/>
  <c r="S45" i="16"/>
  <c r="S46" i="16"/>
  <c r="S47" i="16"/>
  <c r="S48" i="16"/>
  <c r="S49" i="16"/>
  <c r="S50" i="16"/>
  <c r="S51" i="16"/>
  <c r="S52" i="16"/>
  <c r="S53" i="16"/>
  <c r="S54" i="16"/>
  <c r="Q18" i="16" l="1"/>
  <c r="P6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P34" i="16"/>
  <c r="P35" i="16"/>
  <c r="P36" i="16"/>
  <c r="P37" i="16"/>
  <c r="P38" i="16"/>
  <c r="P39" i="16"/>
  <c r="P40" i="16"/>
  <c r="P41" i="16"/>
  <c r="P42" i="16"/>
  <c r="P43" i="16"/>
  <c r="P44" i="16"/>
  <c r="P45" i="16"/>
  <c r="P46" i="16"/>
  <c r="P47" i="16"/>
  <c r="P48" i="16"/>
  <c r="P49" i="16"/>
  <c r="P50" i="16"/>
  <c r="P51" i="16"/>
  <c r="P52" i="16"/>
  <c r="P53" i="16"/>
  <c r="P54" i="16"/>
  <c r="P55" i="16"/>
  <c r="P56" i="16"/>
  <c r="P57" i="16"/>
  <c r="P58" i="16"/>
  <c r="P59" i="16"/>
  <c r="P60" i="16"/>
  <c r="P61" i="16"/>
  <c r="P62" i="16"/>
  <c r="P63" i="16"/>
  <c r="P64" i="16"/>
  <c r="P65" i="16"/>
  <c r="P66" i="16"/>
  <c r="P67" i="16"/>
  <c r="P68" i="16"/>
  <c r="P69" i="16"/>
  <c r="P70" i="16"/>
  <c r="P71" i="16"/>
  <c r="P72" i="16"/>
  <c r="P73" i="16"/>
  <c r="P74" i="16"/>
  <c r="P75" i="16"/>
  <c r="P76" i="16"/>
  <c r="AA16" i="16" l="1"/>
  <c r="S16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42" i="16"/>
  <c r="Q43" i="16"/>
  <c r="Q44" i="16"/>
  <c r="Q45" i="16"/>
  <c r="Q46" i="16"/>
  <c r="Q47" i="16"/>
  <c r="Q48" i="16"/>
  <c r="Q49" i="16"/>
  <c r="Q50" i="16"/>
  <c r="Q51" i="16"/>
  <c r="Q52" i="16"/>
  <c r="Q53" i="16"/>
  <c r="Q54" i="16"/>
  <c r="Q55" i="16"/>
  <c r="Q56" i="16"/>
  <c r="Q57" i="16"/>
  <c r="Q58" i="16"/>
  <c r="Q59" i="16"/>
  <c r="Q60" i="16"/>
  <c r="Q61" i="16"/>
  <c r="Q62" i="16"/>
  <c r="Q63" i="16"/>
  <c r="Q64" i="16"/>
  <c r="Q65" i="16"/>
  <c r="Q66" i="16"/>
  <c r="Q67" i="16"/>
  <c r="Q68" i="16"/>
  <c r="Q69" i="16"/>
  <c r="Q70" i="16"/>
  <c r="Q71" i="16"/>
  <c r="Q72" i="16"/>
  <c r="Q73" i="16"/>
  <c r="Q74" i="16"/>
  <c r="Q75" i="16"/>
  <c r="P15" i="16"/>
  <c r="V16" i="16" l="1"/>
  <c r="U16" i="16"/>
  <c r="Q6" i="16"/>
  <c r="Z16" i="16" l="1"/>
  <c r="W16" i="16"/>
  <c r="Y16" i="16"/>
  <c r="X16" i="16"/>
  <c r="AD17" i="16"/>
  <c r="AD18" i="16"/>
  <c r="AD19" i="16"/>
  <c r="AD20" i="16"/>
  <c r="AD21" i="16"/>
  <c r="AD22" i="16"/>
  <c r="AD23" i="16"/>
  <c r="AD24" i="16"/>
  <c r="AD25" i="16"/>
  <c r="AD26" i="16"/>
  <c r="AD27" i="16"/>
  <c r="AD28" i="16"/>
  <c r="AD29" i="16"/>
  <c r="AD30" i="16"/>
  <c r="AD31" i="16"/>
  <c r="AD32" i="16"/>
  <c r="AD33" i="16"/>
  <c r="AD34" i="16"/>
  <c r="AD35" i="16"/>
  <c r="AD36" i="16"/>
  <c r="AD37" i="16"/>
  <c r="AD38" i="16"/>
  <c r="AD39" i="16"/>
  <c r="AD40" i="16"/>
  <c r="AD41" i="16"/>
  <c r="AD42" i="16"/>
  <c r="AD43" i="16"/>
  <c r="AD44" i="16"/>
  <c r="AD45" i="16"/>
  <c r="AD46" i="16"/>
  <c r="AD47" i="16"/>
  <c r="AD48" i="16"/>
  <c r="AD49" i="16"/>
  <c r="AD50" i="16"/>
  <c r="AD51" i="16"/>
  <c r="AD52" i="16"/>
  <c r="AD53" i="16"/>
  <c r="AD54" i="16"/>
  <c r="AD55" i="16"/>
  <c r="AD56" i="16"/>
  <c r="AD57" i="16"/>
  <c r="AD58" i="16"/>
  <c r="AD59" i="16"/>
  <c r="AD60" i="16"/>
  <c r="AD61" i="16"/>
  <c r="AD62" i="16"/>
  <c r="AD63" i="16"/>
  <c r="AD64" i="16"/>
  <c r="AD65" i="16"/>
  <c r="AD66" i="16"/>
  <c r="AD67" i="16"/>
  <c r="AD68" i="16"/>
  <c r="AD69" i="16"/>
  <c r="AD70" i="16"/>
  <c r="AD71" i="16"/>
  <c r="AD72" i="16"/>
  <c r="AD73" i="16"/>
  <c r="AD74" i="16"/>
  <c r="AD75" i="16"/>
  <c r="AD16" i="16"/>
  <c r="AB16" i="16" l="1"/>
  <c r="AD5" i="16"/>
  <c r="P7" i="16" l="1"/>
  <c r="P8" i="16"/>
  <c r="P9" i="16"/>
  <c r="P10" i="16"/>
  <c r="P11" i="16"/>
  <c r="P12" i="16"/>
  <c r="P13" i="16"/>
  <c r="P14" i="16"/>
  <c r="Q7" i="16" l="1"/>
  <c r="Q8" i="16"/>
  <c r="Q9" i="16"/>
  <c r="Q10" i="16"/>
  <c r="Q11" i="16"/>
  <c r="Q12" i="16"/>
  <c r="Q13" i="16"/>
  <c r="Q14" i="16"/>
  <c r="AC14" i="16" s="1"/>
  <c r="Q15" i="16"/>
  <c r="AC16" i="16" l="1"/>
  <c r="AC17" i="16"/>
  <c r="AC18" i="16"/>
  <c r="AC19" i="16"/>
  <c r="AC20" i="16"/>
  <c r="AC21" i="16"/>
  <c r="AC22" i="16"/>
  <c r="AC23" i="16"/>
  <c r="AC24" i="16"/>
  <c r="AC25" i="16"/>
  <c r="AC26" i="16"/>
  <c r="AC27" i="16"/>
  <c r="AC28" i="16"/>
  <c r="AC29" i="16"/>
  <c r="AC30" i="16"/>
  <c r="AC31" i="16"/>
  <c r="AC32" i="16"/>
  <c r="AC33" i="16"/>
  <c r="AC34" i="16"/>
  <c r="AC35" i="16"/>
  <c r="AC36" i="16"/>
  <c r="AC37" i="16"/>
  <c r="AC38" i="16"/>
  <c r="AC39" i="16"/>
  <c r="AC40" i="16"/>
  <c r="AC41" i="16"/>
  <c r="AC42" i="16"/>
  <c r="AC43" i="16"/>
  <c r="AC44" i="16"/>
  <c r="AC45" i="16"/>
  <c r="AC46" i="16"/>
  <c r="AC47" i="16"/>
  <c r="AC48" i="16"/>
  <c r="AC49" i="16"/>
  <c r="AC50" i="16"/>
  <c r="AC51" i="16"/>
  <c r="AC52" i="16"/>
  <c r="AC53" i="16"/>
  <c r="AC54" i="16"/>
  <c r="AC55" i="16"/>
  <c r="AC56" i="16"/>
  <c r="AC57" i="16"/>
  <c r="AC58" i="16"/>
  <c r="AC59" i="16"/>
  <c r="AC60" i="16"/>
  <c r="AC61" i="16"/>
  <c r="AC62" i="16"/>
  <c r="AC63" i="16"/>
  <c r="AC64" i="16"/>
  <c r="AC65" i="16"/>
  <c r="AC66" i="16"/>
  <c r="AC67" i="16"/>
  <c r="AC68" i="16"/>
  <c r="AC69" i="16"/>
  <c r="AC70" i="16"/>
  <c r="AC71" i="16"/>
  <c r="AC72" i="16"/>
  <c r="AC73" i="16"/>
  <c r="AC74" i="16"/>
  <c r="AC75" i="16"/>
  <c r="AC7" i="16"/>
  <c r="AC8" i="16"/>
  <c r="AC9" i="16"/>
  <c r="AC10" i="16"/>
  <c r="AC11" i="16"/>
  <c r="AC12" i="16"/>
  <c r="AC13" i="16"/>
  <c r="AC15" i="16"/>
  <c r="AC6" i="16"/>
  <c r="AC5" i="16" l="1"/>
  <c r="AE16" i="16"/>
  <c r="AE17" i="16" l="1"/>
  <c r="AE18" i="16"/>
  <c r="AE19" i="16"/>
  <c r="AE20" i="16"/>
  <c r="AE21" i="16"/>
  <c r="AE22" i="16"/>
  <c r="AE23" i="16"/>
  <c r="AE24" i="16"/>
  <c r="AE25" i="16"/>
  <c r="AE26" i="16"/>
  <c r="AE27" i="16"/>
  <c r="AE28" i="16"/>
  <c r="AE29" i="16"/>
  <c r="AE30" i="16"/>
  <c r="AE31" i="16"/>
  <c r="AE32" i="16"/>
  <c r="AE33" i="16"/>
  <c r="AE34" i="16"/>
  <c r="AE35" i="16"/>
  <c r="AE36" i="16"/>
  <c r="AE37" i="16"/>
  <c r="AE38" i="16"/>
  <c r="AE39" i="16"/>
  <c r="AE40" i="16"/>
  <c r="AE41" i="16"/>
  <c r="AE42" i="16"/>
  <c r="AE43" i="16"/>
  <c r="AE44" i="16"/>
  <c r="AE45" i="16"/>
  <c r="AE46" i="16"/>
  <c r="AE47" i="16"/>
  <c r="AE48" i="16"/>
  <c r="AE49" i="16"/>
  <c r="AE50" i="16"/>
  <c r="AE51" i="16"/>
  <c r="AE52" i="16"/>
  <c r="AE53" i="16"/>
  <c r="AE54" i="16"/>
  <c r="AE55" i="16"/>
  <c r="AE56" i="16"/>
  <c r="AE57" i="16"/>
  <c r="AE58" i="16"/>
  <c r="AE59" i="16"/>
  <c r="AE60" i="16"/>
  <c r="AE61" i="16"/>
  <c r="AE62" i="16"/>
  <c r="AE63" i="16"/>
  <c r="AE64" i="16"/>
  <c r="AE65" i="16"/>
  <c r="AE66" i="16"/>
  <c r="AE67" i="16"/>
  <c r="AE68" i="16"/>
  <c r="AE69" i="16"/>
  <c r="AE70" i="16"/>
  <c r="AE71" i="16"/>
  <c r="AE72" i="16"/>
  <c r="AE73" i="16"/>
  <c r="AE74" i="16"/>
  <c r="AE75" i="16"/>
  <c r="AE5" i="16" l="1"/>
  <c r="J11" i="16" s="1"/>
  <c r="AA24" i="16"/>
  <c r="AA32" i="16"/>
  <c r="AA30" i="16"/>
  <c r="AA35" i="16" l="1"/>
  <c r="AA22" i="16"/>
  <c r="AA18" i="16"/>
  <c r="AA20" i="16"/>
  <c r="AA28" i="16"/>
  <c r="AA26" i="16"/>
  <c r="AA33" i="16"/>
  <c r="AA36" i="16"/>
  <c r="AA27" i="16"/>
  <c r="AA34" i="16"/>
  <c r="AA25" i="16"/>
  <c r="AA19" i="16"/>
  <c r="AA17" i="16"/>
  <c r="AA31" i="16"/>
  <c r="AA23" i="16"/>
  <c r="AA29" i="16"/>
  <c r="AA21" i="16"/>
  <c r="C37" i="16"/>
  <c r="C47" i="16"/>
  <c r="C48" i="16"/>
  <c r="C49" i="16"/>
  <c r="C50" i="16"/>
  <c r="C51" i="16"/>
  <c r="C52" i="16"/>
  <c r="C38" i="16"/>
  <c r="C39" i="16"/>
  <c r="C40" i="16"/>
  <c r="C41" i="16"/>
  <c r="C42" i="16"/>
  <c r="C43" i="16"/>
  <c r="C44" i="16"/>
  <c r="C45" i="16"/>
  <c r="C46" i="16"/>
  <c r="AA74" i="16" l="1"/>
  <c r="AA58" i="16"/>
  <c r="U28" i="16"/>
  <c r="AA66" i="16"/>
  <c r="AA71" i="16"/>
  <c r="AA63" i="16"/>
  <c r="AA64" i="16"/>
  <c r="AA73" i="16"/>
  <c r="AA65" i="16"/>
  <c r="AA57" i="16"/>
  <c r="AA49" i="16"/>
  <c r="AA72" i="16"/>
  <c r="AA60" i="16"/>
  <c r="AA44" i="16"/>
  <c r="AA68" i="16"/>
  <c r="AA62" i="16"/>
  <c r="AA70" i="16"/>
  <c r="AA54" i="16"/>
  <c r="AA75" i="16"/>
  <c r="AA67" i="16"/>
  <c r="AA59" i="16"/>
  <c r="AA69" i="16"/>
  <c r="AA61" i="16"/>
  <c r="AA52" i="16"/>
  <c r="AA42" i="16"/>
  <c r="V28" i="16" l="1"/>
  <c r="AA53" i="16"/>
  <c r="AA46" i="16"/>
  <c r="AA47" i="16"/>
  <c r="AA50" i="16"/>
  <c r="AA43" i="16"/>
  <c r="AA41" i="16"/>
  <c r="AA56" i="16"/>
  <c r="AA55" i="16"/>
  <c r="Z28" i="16"/>
  <c r="Y28" i="16"/>
  <c r="X28" i="16"/>
  <c r="AA51" i="16"/>
  <c r="AA40" i="16"/>
  <c r="AA48" i="16"/>
  <c r="AA37" i="16"/>
  <c r="AA45" i="16"/>
  <c r="AA38" i="16"/>
  <c r="AA39" i="16"/>
  <c r="J10" i="16"/>
  <c r="AA5" i="16" l="1"/>
  <c r="W28" i="16" l="1"/>
  <c r="AB28" i="16" s="1"/>
  <c r="V56" i="16" l="1"/>
  <c r="V64" i="16"/>
  <c r="V51" i="16"/>
  <c r="V75" i="16"/>
  <c r="V37" i="16"/>
  <c r="V39" i="16"/>
  <c r="V38" i="16"/>
  <c r="V61" i="16"/>
  <c r="V63" i="16"/>
  <c r="V41" i="16"/>
  <c r="V19" i="16"/>
  <c r="V71" i="16"/>
  <c r="V52" i="16"/>
  <c r="V20" i="16"/>
  <c r="V53" i="16"/>
  <c r="V30" i="16"/>
  <c r="V18" i="16"/>
  <c r="V34" i="16"/>
  <c r="V44" i="16"/>
  <c r="U59" i="16"/>
  <c r="Z59" i="16" s="1"/>
  <c r="V59" i="16"/>
  <c r="V31" i="16"/>
  <c r="V40" i="16"/>
  <c r="V67" i="16"/>
  <c r="V60" i="16"/>
  <c r="U60" i="16"/>
  <c r="X60" i="16" s="1"/>
  <c r="V24" i="16"/>
  <c r="V43" i="16"/>
  <c r="V25" i="16"/>
  <c r="V49" i="16"/>
  <c r="U19" i="16"/>
  <c r="Z19" i="16" s="1"/>
  <c r="V21" i="16"/>
  <c r="U37" i="16"/>
  <c r="Z37" i="16" s="1"/>
  <c r="V27" i="16"/>
  <c r="U56" i="16"/>
  <c r="Z56" i="16" s="1"/>
  <c r="V46" i="16"/>
  <c r="V45" i="16"/>
  <c r="V29" i="16"/>
  <c r="V35" i="16"/>
  <c r="U43" i="16"/>
  <c r="Y43" i="16" s="1"/>
  <c r="V74" i="16"/>
  <c r="U74" i="16"/>
  <c r="Z74" i="16" s="1"/>
  <c r="U57" i="16"/>
  <c r="Y57" i="16" s="1"/>
  <c r="V57" i="16"/>
  <c r="V48" i="16"/>
  <c r="U38" i="16"/>
  <c r="X38" i="16" s="1"/>
  <c r="U64" i="16"/>
  <c r="Y64" i="16" s="1"/>
  <c r="V32" i="16"/>
  <c r="V50" i="16"/>
  <c r="U41" i="16"/>
  <c r="X41" i="16" s="1"/>
  <c r="U71" i="16"/>
  <c r="Z71" i="16" s="1"/>
  <c r="V72" i="16"/>
  <c r="V65" i="16"/>
  <c r="V42" i="16"/>
  <c r="V23" i="16"/>
  <c r="U23" i="16"/>
  <c r="Z23" i="16" s="1"/>
  <c r="U20" i="16"/>
  <c r="X20" i="16" s="1"/>
  <c r="V73" i="16"/>
  <c r="V66" i="16"/>
  <c r="U30" i="16"/>
  <c r="X30" i="16" s="1"/>
  <c r="V54" i="16"/>
  <c r="U25" i="16"/>
  <c r="Y25" i="16" s="1"/>
  <c r="V62" i="16"/>
  <c r="V55" i="16"/>
  <c r="U34" i="16"/>
  <c r="Z34" i="16" s="1"/>
  <c r="U66" i="16"/>
  <c r="Z66" i="16" s="1"/>
  <c r="U24" i="16"/>
  <c r="Z24" i="16" s="1"/>
  <c r="U48" i="16"/>
  <c r="Y48" i="16" s="1"/>
  <c r="V47" i="16"/>
  <c r="U29" i="16"/>
  <c r="Y29" i="16" s="1"/>
  <c r="V36" i="16"/>
  <c r="U61" i="16"/>
  <c r="Z61" i="16" s="1"/>
  <c r="V58" i="16"/>
  <c r="U69" i="16"/>
  <c r="Z69" i="16" s="1"/>
  <c r="V69" i="16"/>
  <c r="U46" i="16"/>
  <c r="X46" i="16" s="1"/>
  <c r="U65" i="16"/>
  <c r="Y65" i="16" s="1"/>
  <c r="U18" i="16"/>
  <c r="Z18" i="16" s="1"/>
  <c r="U54" i="16"/>
  <c r="Z54" i="16" s="1"/>
  <c r="U36" i="16"/>
  <c r="X36" i="16" s="1"/>
  <c r="U32" i="16"/>
  <c r="Z32" i="16" s="1"/>
  <c r="U35" i="16"/>
  <c r="Z35" i="16" s="1"/>
  <c r="U49" i="16"/>
  <c r="X49" i="16" s="1"/>
  <c r="V33" i="16"/>
  <c r="U53" i="16"/>
  <c r="X53" i="16" s="1"/>
  <c r="V68" i="16"/>
  <c r="U62" i="16"/>
  <c r="Z62" i="16" s="1"/>
  <c r="U31" i="16"/>
  <c r="X31" i="16" s="1"/>
  <c r="U22" i="16"/>
  <c r="X22" i="16" s="1"/>
  <c r="V22" i="16"/>
  <c r="U21" i="16"/>
  <c r="Z21" i="16" s="1"/>
  <c r="V26" i="16"/>
  <c r="U26" i="16"/>
  <c r="Z26" i="16" s="1"/>
  <c r="U67" i="16"/>
  <c r="Z67" i="16" s="1"/>
  <c r="U39" i="16"/>
  <c r="X39" i="16" s="1"/>
  <c r="U70" i="16"/>
  <c r="Z70" i="16" s="1"/>
  <c r="V70" i="16"/>
  <c r="U40" i="16"/>
  <c r="Y40" i="16" s="1"/>
  <c r="U27" i="16"/>
  <c r="Y27" i="16" s="1"/>
  <c r="U68" i="16"/>
  <c r="Y68" i="16" s="1"/>
  <c r="V17" i="16"/>
  <c r="U51" i="16"/>
  <c r="X51" i="16" s="1"/>
  <c r="U63" i="16"/>
  <c r="Y63" i="16" s="1"/>
  <c r="U47" i="16"/>
  <c r="X47" i="16" s="1"/>
  <c r="U50" i="16"/>
  <c r="Z50" i="16" s="1"/>
  <c r="U52" i="16"/>
  <c r="Y52" i="16" s="1"/>
  <c r="U55" i="16"/>
  <c r="U72" i="16"/>
  <c r="X72" i="16" s="1"/>
  <c r="U75" i="16"/>
  <c r="Z75" i="16" s="1"/>
  <c r="U58" i="16"/>
  <c r="Z58" i="16" s="1"/>
  <c r="U44" i="16"/>
  <c r="U45" i="16"/>
  <c r="Y45" i="16" s="1"/>
  <c r="U73" i="16"/>
  <c r="X73" i="16" s="1"/>
  <c r="U17" i="16"/>
  <c r="Z17" i="16" s="1"/>
  <c r="U42" i="16"/>
  <c r="U33" i="16"/>
  <c r="Y33" i="16" s="1"/>
  <c r="V5" i="16" l="1"/>
  <c r="J7" i="16" s="1"/>
  <c r="W61" i="16"/>
  <c r="W67" i="16"/>
  <c r="W66" i="16"/>
  <c r="W74" i="16"/>
  <c r="W29" i="16"/>
  <c r="W33" i="16"/>
  <c r="W35" i="16"/>
  <c r="W72" i="16"/>
  <c r="W68" i="16"/>
  <c r="W45" i="16"/>
  <c r="W18" i="16"/>
  <c r="W25" i="16"/>
  <c r="W71" i="16"/>
  <c r="W37" i="16"/>
  <c r="Y37" i="16"/>
  <c r="X17" i="16"/>
  <c r="W52" i="16"/>
  <c r="W47" i="16"/>
  <c r="W51" i="16"/>
  <c r="W36" i="16"/>
  <c r="W70" i="16"/>
  <c r="W17" i="16"/>
  <c r="W56" i="16"/>
  <c r="X58" i="16"/>
  <c r="X64" i="16"/>
  <c r="X37" i="16"/>
  <c r="Y31" i="16"/>
  <c r="Y56" i="16"/>
  <c r="X59" i="16"/>
  <c r="Y72" i="16"/>
  <c r="Z30" i="16"/>
  <c r="Z64" i="16"/>
  <c r="Y66" i="16"/>
  <c r="X29" i="16"/>
  <c r="W58" i="16"/>
  <c r="W40" i="16"/>
  <c r="W31" i="16"/>
  <c r="W46" i="16"/>
  <c r="W69" i="16"/>
  <c r="W48" i="16"/>
  <c r="W30" i="16"/>
  <c r="W64" i="16"/>
  <c r="W19" i="16"/>
  <c r="W57" i="16"/>
  <c r="X43" i="16"/>
  <c r="Y23" i="16"/>
  <c r="Y17" i="16"/>
  <c r="X57" i="16"/>
  <c r="X44" i="16"/>
  <c r="W44" i="16"/>
  <c r="Y44" i="16"/>
  <c r="Z44" i="16"/>
  <c r="W42" i="16"/>
  <c r="Z42" i="16"/>
  <c r="X42" i="16"/>
  <c r="Y42" i="16"/>
  <c r="W55" i="16"/>
  <c r="Z55" i="16"/>
  <c r="X55" i="16"/>
  <c r="Y55" i="16"/>
  <c r="X75" i="16"/>
  <c r="Y34" i="16"/>
  <c r="X63" i="16"/>
  <c r="Y22" i="16"/>
  <c r="Z38" i="16"/>
  <c r="X74" i="16"/>
  <c r="Z33" i="16"/>
  <c r="X52" i="16"/>
  <c r="Y39" i="16"/>
  <c r="X32" i="16"/>
  <c r="Y26" i="16"/>
  <c r="Z73" i="16"/>
  <c r="Y53" i="16"/>
  <c r="Z40" i="16"/>
  <c r="Y21" i="16"/>
  <c r="Z46" i="16"/>
  <c r="Z36" i="16"/>
  <c r="X50" i="16"/>
  <c r="Y62" i="16"/>
  <c r="Z51" i="16"/>
  <c r="Y60" i="16"/>
  <c r="Z47" i="16"/>
  <c r="X69" i="16"/>
  <c r="Z65" i="16"/>
  <c r="Y49" i="16"/>
  <c r="Y18" i="16"/>
  <c r="X27" i="16"/>
  <c r="Y54" i="16"/>
  <c r="Y35" i="16"/>
  <c r="Y24" i="16"/>
  <c r="W73" i="16"/>
  <c r="W75" i="16"/>
  <c r="W50" i="16"/>
  <c r="W63" i="16"/>
  <c r="W27" i="16"/>
  <c r="W39" i="16"/>
  <c r="W21" i="16"/>
  <c r="W62" i="16"/>
  <c r="W53" i="16"/>
  <c r="W22" i="16"/>
  <c r="W32" i="16"/>
  <c r="W65" i="16"/>
  <c r="W24" i="16"/>
  <c r="W43" i="16"/>
  <c r="Z72" i="16"/>
  <c r="Y58" i="16"/>
  <c r="Y75" i="16"/>
  <c r="Y30" i="16"/>
  <c r="Z57" i="16"/>
  <c r="Z63" i="16"/>
  <c r="Z45" i="16"/>
  <c r="Z43" i="16"/>
  <c r="Y38" i="16"/>
  <c r="Z31" i="16"/>
  <c r="X71" i="16"/>
  <c r="X33" i="16"/>
  <c r="Z52" i="16"/>
  <c r="X56" i="16"/>
  <c r="X66" i="16"/>
  <c r="X23" i="16"/>
  <c r="X25" i="16"/>
  <c r="Z48" i="16"/>
  <c r="Y32" i="16"/>
  <c r="X26" i="16"/>
  <c r="Z20" i="16"/>
  <c r="Z53" i="16"/>
  <c r="X40" i="16"/>
  <c r="X67" i="16"/>
  <c r="Z29" i="16"/>
  <c r="Y46" i="16"/>
  <c r="X70" i="16"/>
  <c r="Y50" i="16"/>
  <c r="Y61" i="16"/>
  <c r="W60" i="16"/>
  <c r="Z60" i="16"/>
  <c r="Y19" i="16"/>
  <c r="Y69" i="16"/>
  <c r="X65" i="16"/>
  <c r="Y41" i="16"/>
  <c r="X18" i="16"/>
  <c r="Z27" i="16"/>
  <c r="Z68" i="16"/>
  <c r="X35" i="16"/>
  <c r="X24" i="16"/>
  <c r="W26" i="16"/>
  <c r="X34" i="16"/>
  <c r="Z22" i="16"/>
  <c r="X45" i="16"/>
  <c r="Y74" i="16"/>
  <c r="Y71" i="16"/>
  <c r="Z39" i="16"/>
  <c r="Z25" i="16"/>
  <c r="W59" i="16"/>
  <c r="X48" i="16"/>
  <c r="Y73" i="16"/>
  <c r="Y20" i="16"/>
  <c r="X21" i="16"/>
  <c r="Y59" i="16"/>
  <c r="Y67" i="16"/>
  <c r="Y36" i="16"/>
  <c r="Y70" i="16"/>
  <c r="X62" i="16"/>
  <c r="X61" i="16"/>
  <c r="Y51" i="16"/>
  <c r="Y47" i="16"/>
  <c r="X19" i="16"/>
  <c r="Z49" i="16"/>
  <c r="Z41" i="16"/>
  <c r="X54" i="16"/>
  <c r="X68" i="16"/>
  <c r="W49" i="16"/>
  <c r="W54" i="16"/>
  <c r="W34" i="16"/>
  <c r="W20" i="16"/>
  <c r="W41" i="16"/>
  <c r="W38" i="16"/>
  <c r="W23" i="16"/>
  <c r="AB49" i="16" l="1"/>
  <c r="AB31" i="16"/>
  <c r="AB18" i="16"/>
  <c r="AB30" i="16"/>
  <c r="AB35" i="16"/>
  <c r="AB72" i="16"/>
  <c r="AB36" i="16"/>
  <c r="AB38" i="16"/>
  <c r="AB68" i="16"/>
  <c r="AB29" i="16"/>
  <c r="AB47" i="16"/>
  <c r="AB20" i="16"/>
  <c r="AB64" i="16"/>
  <c r="AB17" i="16"/>
  <c r="AB67" i="16"/>
  <c r="AB23" i="16"/>
  <c r="AB46" i="16"/>
  <c r="AB56" i="16"/>
  <c r="AB58" i="16"/>
  <c r="AB19" i="16"/>
  <c r="AB48" i="16"/>
  <c r="AB70" i="16"/>
  <c r="AB40" i="16"/>
  <c r="AB66" i="16"/>
  <c r="AB69" i="16"/>
  <c r="AB51" i="16"/>
  <c r="AB45" i="16"/>
  <c r="AB26" i="16"/>
  <c r="AB25" i="16"/>
  <c r="AB57" i="16"/>
  <c r="AB37" i="16"/>
  <c r="Z5" i="16"/>
  <c r="AB61" i="16"/>
  <c r="AB33" i="16"/>
  <c r="AB52" i="16"/>
  <c r="AB71" i="16"/>
  <c r="AB27" i="16"/>
  <c r="AB34" i="16"/>
  <c r="AB59" i="16"/>
  <c r="AB60" i="16"/>
  <c r="AB62" i="16"/>
  <c r="Y5" i="16"/>
  <c r="AB74" i="16"/>
  <c r="AB55" i="16"/>
  <c r="AB65" i="16"/>
  <c r="AB63" i="16"/>
  <c r="AB54" i="16"/>
  <c r="AB32" i="16"/>
  <c r="AB21" i="16"/>
  <c r="AB50" i="16"/>
  <c r="W5" i="16"/>
  <c r="AB41" i="16"/>
  <c r="AB43" i="16"/>
  <c r="AB22" i="16"/>
  <c r="AB39" i="16"/>
  <c r="AB75" i="16"/>
  <c r="X5" i="16"/>
  <c r="AB42" i="16"/>
  <c r="AB44" i="16"/>
  <c r="AB24" i="16"/>
  <c r="AB53" i="16"/>
  <c r="AB73" i="16"/>
  <c r="AB5" i="16" l="1"/>
  <c r="J8" i="16" s="1"/>
  <c r="J13" i="16" s="1"/>
  <c r="J14" i="16" l="1"/>
</calcChain>
</file>

<file path=xl/comments1.xml><?xml version="1.0" encoding="utf-8"?>
<comments xmlns="http://schemas.openxmlformats.org/spreadsheetml/2006/main">
  <authors>
    <author>Granholm Camilla, PLet</author>
    <author>Selling Emma, PLee</author>
  </authors>
  <commentList>
    <comment ref="V4" authorId="0" shapeId="0">
      <text>
        <r>
          <rPr>
            <sz val="9"/>
            <color indexed="81"/>
            <rFont val="Tahoma"/>
            <family val="2"/>
          </rPr>
          <t>Total nytta multiplicerat med trafiktillväxt, odiskonterad.
Om trafiktillväxt inte används i kalkylen blir denna lika med total nytta, odiskonterad.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Nettonuvärde = nytta-invkost-driftkost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 xml:space="preserve">För att beräkna nyttor utan real nyttouppräkning sätts denna till 1,0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>NNK = (nytta-invkost-driftkost)/
invkost+driftkost</t>
        </r>
      </text>
    </comment>
    <comment ref="O16" authorId="1" shapeId="0">
      <text>
        <r>
          <rPr>
            <b/>
            <sz val="9"/>
            <color indexed="81"/>
            <rFont val="Tahoma"/>
            <family val="2"/>
          </rPr>
          <t xml:space="preserve">Lika med år 1 i kalkylperioden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 xml:space="preserve">Om beräkning ska göras utan trafiktillväxt sätts trafiktillväxt till 1,0
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Trafiktillväxt beräknas endast till prognosår 2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</rPr>
          <t>Om beräkning ska göras utan trafiktillväxt sätts trafiktillväxt till 1,0</t>
        </r>
      </text>
    </comment>
    <comment ref="O75" authorId="1" shapeId="0">
      <text>
        <r>
          <rPr>
            <b/>
            <sz val="9"/>
            <color indexed="81"/>
            <rFont val="Tahoma"/>
            <family val="2"/>
          </rPr>
          <t xml:space="preserve">2079=år 60 i kalkylperioden.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<sst xmlns="http://schemas.openxmlformats.org/spreadsheetml/2006/main" count="55" uniqueCount="55">
  <si>
    <t>Diskonteringsår</t>
  </si>
  <si>
    <t>Skattefaktor</t>
  </si>
  <si>
    <t>Kalkylförutsättningar</t>
  </si>
  <si>
    <t>Diskonterings- faktor</t>
  </si>
  <si>
    <t>Total nytta odiskon</t>
  </si>
  <si>
    <t>Total nytta diskont</t>
  </si>
  <si>
    <t>RESULTAT</t>
  </si>
  <si>
    <t>Diskonteringsränta</t>
  </si>
  <si>
    <t>Totalnytta</t>
  </si>
  <si>
    <t>Antal personer som får nytta 2</t>
  </si>
  <si>
    <t>Antal personer som får nytta 1</t>
  </si>
  <si>
    <t>Antal personer som får nytta 3</t>
  </si>
  <si>
    <t>Antal personer som får nytta 4</t>
  </si>
  <si>
    <t>Lönkalk</t>
  </si>
  <si>
    <t>Real uppräkning av nyttor</t>
  </si>
  <si>
    <t>Antal personer som får nytta 5</t>
  </si>
  <si>
    <r>
      <t xml:space="preserve">Nytta 1 </t>
    </r>
    <r>
      <rPr>
        <i/>
        <sz val="10"/>
        <rFont val="Arial"/>
        <family val="2"/>
      </rPr>
      <t>(inkl real uppräkning)</t>
    </r>
  </si>
  <si>
    <r>
      <t>Nytta 2</t>
    </r>
    <r>
      <rPr>
        <i/>
        <sz val="10"/>
        <rFont val="Arial"/>
        <family val="2"/>
      </rPr>
      <t xml:space="preserve"> (inkl real uppräkning)</t>
    </r>
  </si>
  <si>
    <r>
      <t xml:space="preserve">Nytta 3 </t>
    </r>
    <r>
      <rPr>
        <i/>
        <sz val="10"/>
        <rFont val="Arial"/>
        <family val="2"/>
      </rPr>
      <t>(inkl real uppräkning)</t>
    </r>
  </si>
  <si>
    <r>
      <t xml:space="preserve">Nytta 4 </t>
    </r>
    <r>
      <rPr>
        <i/>
        <sz val="10"/>
        <rFont val="Arial"/>
        <family val="2"/>
      </rPr>
      <t>(inkl real uppräkning)</t>
    </r>
  </si>
  <si>
    <t>DoU-kostnad, årlig</t>
  </si>
  <si>
    <t>Investeringskostnader</t>
  </si>
  <si>
    <t>Nettonuvärde</t>
  </si>
  <si>
    <r>
      <t xml:space="preserve">Nytta 5 </t>
    </r>
    <r>
      <rPr>
        <i/>
        <sz val="10"/>
        <rFont val="Arial"/>
        <family val="2"/>
      </rPr>
      <t>(</t>
    </r>
    <r>
      <rPr>
        <i/>
        <u/>
        <sz val="10"/>
        <rFont val="Arial"/>
        <family val="2"/>
      </rPr>
      <t>exkl</t>
    </r>
    <r>
      <rPr>
        <i/>
        <sz val="10"/>
        <rFont val="Arial"/>
        <family val="2"/>
      </rPr>
      <t xml:space="preserve"> real uppräkning)</t>
    </r>
  </si>
  <si>
    <t>INDATA</t>
  </si>
  <si>
    <t>Basår för priser (Prisnivå)</t>
  </si>
  <si>
    <t>Trafiköppningsår (Trafikstartår)</t>
  </si>
  <si>
    <t>BERÄKNINGAR</t>
  </si>
  <si>
    <t>Total nytta odiskonterat</t>
  </si>
  <si>
    <t>DoU-kostnad</t>
  </si>
  <si>
    <t>Investeringskostnad inkl skattefaktor</t>
  </si>
  <si>
    <t>Drift- och underhållskostnad inkl skattefaktor</t>
  </si>
  <si>
    <t>DIAGRAM</t>
  </si>
  <si>
    <t>trafik-tillväxt*diskfaktor</t>
  </si>
  <si>
    <t>Nytta 1, diskonterat</t>
  </si>
  <si>
    <t>Nytta 2, diskonterat</t>
  </si>
  <si>
    <t>Nytta 4, diskonterat</t>
  </si>
  <si>
    <t>Nytta 3, diskonterat</t>
  </si>
  <si>
    <t>Nytta 5,  diskonterat</t>
  </si>
  <si>
    <t>Total disk. nytta</t>
  </si>
  <si>
    <t>Invkostnad, kapit. exkl skf</t>
  </si>
  <si>
    <t>DoU-kost. diskon. exkl skf</t>
  </si>
  <si>
    <t>DOU- kost. exkl skf</t>
  </si>
  <si>
    <t>trafiktill*diskfaktor*real uppr</t>
  </si>
  <si>
    <t>Trafik-tillväxtfaktor</t>
  </si>
  <si>
    <t>Real uppräkningsfaktor</t>
  </si>
  <si>
    <t>Kalkylperiod (antal år)</t>
  </si>
  <si>
    <r>
      <t>Lönkalk-kalkyl</t>
    </r>
    <r>
      <rPr>
        <b/>
        <sz val="14"/>
        <color rgb="FFFF0000"/>
        <rFont val="Arial"/>
        <family val="2"/>
      </rPr>
      <t xml:space="preserve"> XXX</t>
    </r>
  </si>
  <si>
    <t>NNK</t>
  </si>
  <si>
    <t>Tot</t>
  </si>
  <si>
    <t>Årlig trafiktillväxt innan prognosår 1</t>
  </si>
  <si>
    <t>Årlig trafiktillväxt efter prognosår 1</t>
  </si>
  <si>
    <t>Prognosår 1</t>
  </si>
  <si>
    <t>Prognosår 2</t>
  </si>
  <si>
    <t>Nyttor första året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</si>
</sst>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k_r_-;\-* #,##0\ _k_r_-;_-* &quot;-&quot;\ _k_r_-;_-@_-"/>
    <numFmt numFmtId="165" formatCode="#,##0;[Red]&quot;-&quot;#,##0"/>
    <numFmt numFmtId="166" formatCode="#,##0\ &quot;$&quot;;[Red]\-#,##0\ &quot;$&quot;"/>
    <numFmt numFmtId="167" formatCode="0.000"/>
    <numFmt numFmtId="168" formatCode="#,##0.0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sz val="12"/>
      <name val="Helv"/>
    </font>
    <font>
      <b/>
      <sz val="14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b/>
      <sz val="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5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10">
      <alignment horizontal="left"/>
    </xf>
    <xf numFmtId="166" fontId="10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3" fontId="5" fillId="0" borderId="0" xfId="0" applyNumberFormat="1" applyFont="1" applyBorder="1"/>
    <xf numFmtId="2" fontId="5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2" fillId="0" borderId="0" xfId="0" applyFont="1" applyBorder="1"/>
    <xf numFmtId="167" fontId="3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0" fontId="0" fillId="6" borderId="3" xfId="0" applyFill="1" applyBorder="1"/>
    <xf numFmtId="0" fontId="6" fillId="6" borderId="4" xfId="0" applyFont="1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2" xfId="0" applyFill="1" applyBorder="1"/>
    <xf numFmtId="0" fontId="5" fillId="6" borderId="0" xfId="0" applyFont="1" applyFill="1" applyBorder="1"/>
    <xf numFmtId="0" fontId="2" fillId="6" borderId="0" xfId="0" applyFont="1" applyFill="1" applyBorder="1"/>
    <xf numFmtId="0" fontId="2" fillId="6" borderId="1" xfId="0" applyFont="1" applyFill="1" applyBorder="1"/>
    <xf numFmtId="0" fontId="0" fillId="6" borderId="7" xfId="0" applyFill="1" applyBorder="1"/>
    <xf numFmtId="0" fontId="0" fillId="6" borderId="1" xfId="0" applyFill="1" applyBorder="1"/>
    <xf numFmtId="0" fontId="0" fillId="6" borderId="6" xfId="0" applyFill="1" applyBorder="1"/>
    <xf numFmtId="0" fontId="0" fillId="6" borderId="0" xfId="0" applyFill="1" applyBorder="1"/>
    <xf numFmtId="0" fontId="17" fillId="6" borderId="0" xfId="0" applyFont="1" applyFill="1" applyBorder="1" applyAlignment="1">
      <alignment horizontal="center"/>
    </xf>
    <xf numFmtId="0" fontId="5" fillId="6" borderId="8" xfId="0" applyFont="1" applyFill="1" applyBorder="1" applyAlignment="1">
      <alignment vertical="top" wrapText="1"/>
    </xf>
    <xf numFmtId="3" fontId="2" fillId="0" borderId="11" xfId="0" applyNumberFormat="1" applyFont="1" applyFill="1" applyBorder="1" applyProtection="1">
      <protection locked="0"/>
    </xf>
    <xf numFmtId="0" fontId="2" fillId="4" borderId="12" xfId="0" applyFont="1" applyFill="1" applyBorder="1" applyProtection="1">
      <protection locked="0"/>
    </xf>
    <xf numFmtId="3" fontId="2" fillId="0" borderId="14" xfId="0" applyNumberFormat="1" applyFont="1" applyFill="1" applyBorder="1" applyProtection="1">
      <protection locked="0"/>
    </xf>
    <xf numFmtId="3" fontId="15" fillId="3" borderId="14" xfId="0" applyNumberFormat="1" applyFont="1" applyFill="1" applyBorder="1" applyProtection="1">
      <protection locked="0"/>
    </xf>
    <xf numFmtId="3" fontId="15" fillId="3" borderId="13" xfId="0" applyNumberFormat="1" applyFont="1" applyFill="1" applyBorder="1" applyProtection="1">
      <protection locked="0"/>
    </xf>
    <xf numFmtId="0" fontId="0" fillId="7" borderId="3" xfId="0" applyFill="1" applyBorder="1"/>
    <xf numFmtId="0" fontId="6" fillId="7" borderId="4" xfId="0" applyFont="1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2" xfId="0" applyFill="1" applyBorder="1"/>
    <xf numFmtId="0" fontId="0" fillId="7" borderId="0" xfId="0" applyFill="1" applyBorder="1"/>
    <xf numFmtId="0" fontId="0" fillId="7" borderId="1" xfId="0" applyFill="1" applyBorder="1"/>
    <xf numFmtId="0" fontId="5" fillId="7" borderId="9" xfId="0" applyFont="1" applyFill="1" applyBorder="1"/>
    <xf numFmtId="3" fontId="5" fillId="7" borderId="9" xfId="0" applyNumberFormat="1" applyFont="1" applyFill="1" applyBorder="1"/>
    <xf numFmtId="0" fontId="5" fillId="7" borderId="9" xfId="0" applyFont="1" applyFill="1" applyBorder="1" applyAlignment="1">
      <alignment horizontal="center"/>
    </xf>
    <xf numFmtId="0" fontId="5" fillId="7" borderId="0" xfId="0" applyFont="1" applyFill="1" applyBorder="1"/>
    <xf numFmtId="0" fontId="5" fillId="7" borderId="0" xfId="0" applyFont="1" applyFill="1" applyBorder="1" applyAlignment="1">
      <alignment horizontal="center"/>
    </xf>
    <xf numFmtId="0" fontId="5" fillId="7" borderId="9" xfId="0" applyFont="1" applyFill="1" applyBorder="1" applyAlignment="1"/>
    <xf numFmtId="0" fontId="0" fillId="7" borderId="9" xfId="0" applyFill="1" applyBorder="1" applyAlignment="1"/>
    <xf numFmtId="2" fontId="5" fillId="7" borderId="9" xfId="0" applyNumberFormat="1" applyFont="1" applyFill="1" applyBorder="1"/>
    <xf numFmtId="0" fontId="0" fillId="7" borderId="7" xfId="0" applyFill="1" applyBorder="1"/>
    <xf numFmtId="0" fontId="0" fillId="7" borderId="6" xfId="0" applyFill="1" applyBorder="1"/>
    <xf numFmtId="168" fontId="4" fillId="3" borderId="0" xfId="0" applyNumberFormat="1" applyFont="1" applyFill="1" applyBorder="1" applyAlignment="1">
      <alignment horizontal="right"/>
    </xf>
    <xf numFmtId="1" fontId="8" fillId="2" borderId="0" xfId="0" applyNumberFormat="1" applyFont="1" applyFill="1" applyBorder="1" applyAlignment="1">
      <alignment horizontal="right"/>
    </xf>
    <xf numFmtId="168" fontId="8" fillId="3" borderId="0" xfId="0" applyNumberFormat="1" applyFont="1" applyFill="1" applyBorder="1" applyAlignment="1">
      <alignment horizontal="right"/>
    </xf>
    <xf numFmtId="4" fontId="4" fillId="3" borderId="0" xfId="0" applyNumberFormat="1" applyFont="1" applyFill="1" applyBorder="1" applyAlignment="1">
      <alignment horizontal="right"/>
    </xf>
    <xf numFmtId="0" fontId="2" fillId="0" borderId="0" xfId="0" applyFont="1"/>
    <xf numFmtId="14" fontId="9" fillId="0" borderId="0" xfId="2" applyNumberFormat="1" applyFont="1" applyFill="1"/>
    <xf numFmtId="0" fontId="2" fillId="0" borderId="0" xfId="2" applyFont="1" applyFill="1" applyAlignment="1">
      <alignment horizontal="right"/>
    </xf>
    <xf numFmtId="0" fontId="18" fillId="0" borderId="0" xfId="0" applyFont="1" applyAlignment="1">
      <alignment vertical="center"/>
    </xf>
    <xf numFmtId="0" fontId="2" fillId="0" borderId="5" xfId="0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2" fillId="0" borderId="19" xfId="0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0" fontId="2" fillId="5" borderId="15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5" fillId="5" borderId="16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>
      <alignment vertical="top" wrapText="1"/>
    </xf>
    <xf numFmtId="0" fontId="2" fillId="5" borderId="15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15" fillId="5" borderId="17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right"/>
    </xf>
    <xf numFmtId="0" fontId="5" fillId="7" borderId="8" xfId="0" applyFont="1" applyFill="1" applyBorder="1" applyAlignment="1"/>
    <xf numFmtId="2" fontId="5" fillId="7" borderId="8" xfId="0" applyNumberFormat="1" applyFont="1" applyFill="1" applyBorder="1"/>
    <xf numFmtId="0" fontId="5" fillId="7" borderId="8" xfId="0" applyFont="1" applyFill="1" applyBorder="1"/>
    <xf numFmtId="0" fontId="7" fillId="4" borderId="0" xfId="0" applyFont="1" applyFill="1" applyBorder="1"/>
    <xf numFmtId="0" fontId="0" fillId="4" borderId="0" xfId="0" applyFill="1" applyBorder="1"/>
    <xf numFmtId="1" fontId="8" fillId="2" borderId="20" xfId="0" applyNumberFormat="1" applyFont="1" applyFill="1" applyBorder="1" applyAlignment="1">
      <alignment horizontal="right"/>
    </xf>
    <xf numFmtId="4" fontId="2" fillId="3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 wrapText="1"/>
    </xf>
    <xf numFmtId="0" fontId="8" fillId="4" borderId="23" xfId="0" applyFont="1" applyFill="1" applyBorder="1" applyAlignment="1" applyProtection="1">
      <alignment wrapText="1"/>
    </xf>
    <xf numFmtId="0" fontId="8" fillId="0" borderId="23" xfId="0" applyFont="1" applyFill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2" borderId="25" xfId="0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168" fontId="4" fillId="3" borderId="1" xfId="0" applyNumberFormat="1" applyFont="1" applyFill="1" applyBorder="1" applyAlignment="1">
      <alignment horizontal="right"/>
    </xf>
    <xf numFmtId="0" fontId="8" fillId="2" borderId="29" xfId="0" applyFont="1" applyFill="1" applyBorder="1" applyAlignment="1">
      <alignment horizontal="right"/>
    </xf>
    <xf numFmtId="0" fontId="8" fillId="2" borderId="30" xfId="0" applyFont="1" applyFill="1" applyBorder="1" applyAlignment="1">
      <alignment horizontal="right"/>
    </xf>
    <xf numFmtId="1" fontId="8" fillId="2" borderId="30" xfId="0" applyNumberFormat="1" applyFont="1" applyFill="1" applyBorder="1" applyAlignment="1">
      <alignment horizontal="right"/>
    </xf>
    <xf numFmtId="4" fontId="8" fillId="2" borderId="30" xfId="0" applyNumberFormat="1" applyFont="1" applyFill="1" applyBorder="1" applyAlignment="1">
      <alignment horizontal="right"/>
    </xf>
    <xf numFmtId="3" fontId="8" fillId="2" borderId="30" xfId="0" applyNumberFormat="1" applyFont="1" applyFill="1" applyBorder="1" applyAlignment="1">
      <alignment horizontal="right"/>
    </xf>
    <xf numFmtId="3" fontId="8" fillId="2" borderId="31" xfId="0" applyNumberFormat="1" applyFont="1" applyFill="1" applyBorder="1" applyAlignment="1">
      <alignment horizontal="right"/>
    </xf>
    <xf numFmtId="0" fontId="8" fillId="2" borderId="28" xfId="0" applyFont="1" applyFill="1" applyBorder="1" applyAlignment="1">
      <alignment horizontal="right" wrapText="1"/>
    </xf>
    <xf numFmtId="0" fontId="3" fillId="5" borderId="32" xfId="0" applyFont="1" applyFill="1" applyBorder="1" applyAlignment="1">
      <alignment wrapText="1"/>
    </xf>
    <xf numFmtId="0" fontId="2" fillId="5" borderId="16" xfId="0" applyFont="1" applyFill="1" applyBorder="1" applyAlignment="1">
      <alignment wrapText="1"/>
    </xf>
    <xf numFmtId="0" fontId="8" fillId="8" borderId="26" xfId="0" applyFont="1" applyFill="1" applyBorder="1" applyAlignment="1">
      <alignment horizontal="right"/>
    </xf>
    <xf numFmtId="0" fontId="8" fillId="8" borderId="27" xfId="0" applyFont="1" applyFill="1" applyBorder="1" applyAlignment="1">
      <alignment horizontal="right"/>
    </xf>
    <xf numFmtId="168" fontId="8" fillId="8" borderId="8" xfId="0" applyNumberFormat="1" applyFont="1" applyFill="1" applyBorder="1" applyAlignment="1">
      <alignment horizontal="right"/>
    </xf>
    <xf numFmtId="168" fontId="4" fillId="8" borderId="8" xfId="0" applyNumberFormat="1" applyFont="1" applyFill="1" applyBorder="1" applyAlignment="1">
      <alignment horizontal="right"/>
    </xf>
    <xf numFmtId="168" fontId="4" fillId="8" borderId="6" xfId="0" applyNumberFormat="1" applyFont="1" applyFill="1" applyBorder="1" applyAlignment="1">
      <alignment horizontal="right"/>
    </xf>
    <xf numFmtId="0" fontId="2" fillId="5" borderId="11" xfId="0" applyFont="1" applyFill="1" applyBorder="1"/>
    <xf numFmtId="0" fontId="8" fillId="2" borderId="26" xfId="0" applyFont="1" applyFill="1" applyBorder="1" applyAlignment="1">
      <alignment horizontal="right"/>
    </xf>
    <xf numFmtId="0" fontId="8" fillId="2" borderId="27" xfId="0" applyFont="1" applyFill="1" applyBorder="1" applyAlignment="1">
      <alignment horizontal="right"/>
    </xf>
    <xf numFmtId="168" fontId="8" fillId="3" borderId="8" xfId="0" applyNumberFormat="1" applyFont="1" applyFill="1" applyBorder="1" applyAlignment="1">
      <alignment horizontal="right"/>
    </xf>
    <xf numFmtId="168" fontId="4" fillId="3" borderId="8" xfId="0" applyNumberFormat="1" applyFont="1" applyFill="1" applyBorder="1" applyAlignment="1">
      <alignment horizontal="right"/>
    </xf>
    <xf numFmtId="168" fontId="4" fillId="3" borderId="6" xfId="0" applyNumberFormat="1" applyFont="1" applyFill="1" applyBorder="1" applyAlignment="1">
      <alignment horizontal="right"/>
    </xf>
    <xf numFmtId="0" fontId="2" fillId="5" borderId="35" xfId="0" applyFont="1" applyFill="1" applyBorder="1"/>
    <xf numFmtId="0" fontId="2" fillId="3" borderId="36" xfId="0" applyFont="1" applyFill="1" applyBorder="1" applyProtection="1">
      <protection locked="0"/>
    </xf>
    <xf numFmtId="0" fontId="2" fillId="5" borderId="33" xfId="0" applyFont="1" applyFill="1" applyBorder="1"/>
    <xf numFmtId="0" fontId="2" fillId="3" borderId="37" xfId="0" applyFont="1" applyFill="1" applyBorder="1" applyProtection="1">
      <protection locked="0"/>
    </xf>
    <xf numFmtId="0" fontId="2" fillId="0" borderId="37" xfId="0" applyFont="1" applyFill="1" applyBorder="1" applyProtection="1">
      <protection locked="0"/>
    </xf>
    <xf numFmtId="0" fontId="2" fillId="0" borderId="37" xfId="0" applyFont="1" applyFill="1" applyBorder="1" applyAlignment="1" applyProtection="1">
      <alignment horizontal="right"/>
      <protection locked="0"/>
    </xf>
    <xf numFmtId="0" fontId="2" fillId="5" borderId="34" xfId="0" applyFont="1" applyFill="1" applyBorder="1"/>
    <xf numFmtId="1" fontId="2" fillId="4" borderId="38" xfId="0" applyNumberFormat="1" applyFont="1" applyFill="1" applyBorder="1" applyAlignment="1">
      <alignment vertical="top" wrapText="1"/>
    </xf>
    <xf numFmtId="168" fontId="4" fillId="8" borderId="0" xfId="0" applyNumberFormat="1" applyFont="1" applyFill="1" applyBorder="1" applyAlignment="1">
      <alignment horizontal="right"/>
    </xf>
  </cellXfs>
  <cellStyles count="7">
    <cellStyle name="Komma (0)" xfId="3"/>
    <cellStyle name="Normal" xfId="0" builtinId="0"/>
    <cellStyle name="Normal 2" xfId="2"/>
    <cellStyle name="Procent 2" xfId="4"/>
    <cellStyle name="STIL1 - Odefin" xfId="5"/>
    <cellStyle name="Tusental (0)_2015P_utrapp" xfId="1"/>
    <cellStyle name="Valuta (0)" xfId="6"/>
  </cellStyles>
  <dxfs count="0"/>
  <tableStyles count="0" defaultTableStyle="TableStyleMedium9" defaultPivotStyle="PivotStyleLight16"/>
  <colors>
    <mruColors>
      <color rgb="FFDDFFFF"/>
      <color rgb="FF00FFFF"/>
      <color rgb="FFFFCC00"/>
      <color rgb="FFFFFF8F"/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Årlig nytta (totalnytta), DISKONTERAD</a:t>
            </a:r>
          </a:p>
        </c:rich>
      </c:tx>
      <c:layout>
        <c:manualLayout>
          <c:xMode val="edge"/>
          <c:yMode val="edge"/>
          <c:x val="0.24523903637003"/>
          <c:y val="3.21588503235473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8397949035215667E-2"/>
          <c:y val="0.11991434689507495"/>
          <c:w val="0.88397949035215662"/>
          <c:h val="0.72116076000165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Lönkalk!$AB$4</c:f>
              <c:strCache>
                <c:ptCount val="1"/>
                <c:pt idx="0">
                  <c:v>Total disk. nytta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Lönkalk!$O$16:$O$75</c:f>
              <c:numCache>
                <c:formatCode>General</c:formatCod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cat>
          <c:val>
            <c:numRef>
              <c:f>Lönkalk!$AB$16:$AB$75</c:f>
              <c:numCache>
                <c:formatCode>#,##0.00</c:formatCode>
                <c:ptCount val="60"/>
                <c:pt idx="0">
                  <c:v>112.64925865953057</c:v>
                </c:pt>
                <c:pt idx="1">
                  <c:v>111.57718600465485</c:v>
                </c:pt>
                <c:pt idx="2">
                  <c:v>110.51531616683275</c:v>
                </c:pt>
                <c:pt idx="3">
                  <c:v>109.46355204679091</c:v>
                </c:pt>
                <c:pt idx="4">
                  <c:v>108.42179746934077</c:v>
                </c:pt>
                <c:pt idx="5">
                  <c:v>107.38995717458424</c:v>
                </c:pt>
                <c:pt idx="6">
                  <c:v>106.36793680920292</c:v>
                </c:pt>
                <c:pt idx="7">
                  <c:v>105.35564291783027</c:v>
                </c:pt>
                <c:pt idx="8">
                  <c:v>104.35298293450603</c:v>
                </c:pt>
                <c:pt idx="9">
                  <c:v>103.35986517421148</c:v>
                </c:pt>
                <c:pt idx="10">
                  <c:v>102.37619882448587</c:v>
                </c:pt>
                <c:pt idx="11">
                  <c:v>101.40189393712238</c:v>
                </c:pt>
                <c:pt idx="12">
                  <c:v>100.43686141994297</c:v>
                </c:pt>
                <c:pt idx="13">
                  <c:v>99.481013028651759</c:v>
                </c:pt>
                <c:pt idx="14">
                  <c:v>98.534261358765534</c:v>
                </c:pt>
                <c:pt idx="15">
                  <c:v>97.596519837621699</c:v>
                </c:pt>
                <c:pt idx="16">
                  <c:v>96.667702716461719</c:v>
                </c:pt>
                <c:pt idx="17">
                  <c:v>95.747725062590078</c:v>
                </c:pt>
                <c:pt idx="18">
                  <c:v>94.836502751607938</c:v>
                </c:pt>
                <c:pt idx="19">
                  <c:v>93.933952459720672</c:v>
                </c:pt>
                <c:pt idx="20">
                  <c:v>93.039991656118445</c:v>
                </c:pt>
                <c:pt idx="21">
                  <c:v>92.154538595429841</c:v>
                </c:pt>
                <c:pt idx="22">
                  <c:v>91.277512310246223</c:v>
                </c:pt>
                <c:pt idx="23">
                  <c:v>90.408832603718764</c:v>
                </c:pt>
                <c:pt idx="24">
                  <c:v>89.54842004222445</c:v>
                </c:pt>
                <c:pt idx="25">
                  <c:v>88.696195948102812</c:v>
                </c:pt>
                <c:pt idx="26">
                  <c:v>87.852082392461412</c:v>
                </c:pt>
                <c:pt idx="27">
                  <c:v>87.016002188050052</c:v>
                </c:pt>
                <c:pt idx="28">
                  <c:v>86.187878882202426</c:v>
                </c:pt>
                <c:pt idx="29">
                  <c:v>85.367636749845261</c:v>
                </c:pt>
                <c:pt idx="30">
                  <c:v>84.555200786573735</c:v>
                </c:pt>
                <c:pt idx="31">
                  <c:v>83.75049670179331</c:v>
                </c:pt>
                <c:pt idx="32">
                  <c:v>82.953450911926026</c:v>
                </c:pt>
                <c:pt idx="33">
                  <c:v>82.163990533682082</c:v>
                </c:pt>
                <c:pt idx="34">
                  <c:v>81.382043377395348</c:v>
                </c:pt>
                <c:pt idx="35">
                  <c:v>80.607537940422063</c:v>
                </c:pt>
                <c:pt idx="36">
                  <c:v>79.840403400602568</c:v>
                </c:pt>
                <c:pt idx="37">
                  <c:v>79.080569609785258</c:v>
                </c:pt>
                <c:pt idx="38">
                  <c:v>78.327967087411906</c:v>
                </c:pt>
                <c:pt idx="39">
                  <c:v>77.582527014164597</c:v>
                </c:pt>
                <c:pt idx="40">
                  <c:v>76.844181225672301</c:v>
                </c:pt>
                <c:pt idx="41" formatCode="#\ ##0.000">
                  <c:v>76.112862206278209</c:v>
                </c:pt>
                <c:pt idx="42" formatCode="#\ ##0.000">
                  <c:v>75.388503082865782</c:v>
                </c:pt>
                <c:pt idx="43" formatCode="#\ ##0.000">
                  <c:v>74.67103761874381</c:v>
                </c:pt>
                <c:pt idx="44" formatCode="#\ ##0.000">
                  <c:v>73.960400207589586</c:v>
                </c:pt>
                <c:pt idx="45" formatCode="#\ ##0.000">
                  <c:v>73.256525867449724</c:v>
                </c:pt>
                <c:pt idx="46" formatCode="#\ ##0.000">
                  <c:v>72.559350234798103</c:v>
                </c:pt>
                <c:pt idx="47" formatCode="#\ ##0.000">
                  <c:v>71.868809558650554</c:v>
                </c:pt>
                <c:pt idx="48" formatCode="#\ ##0.000">
                  <c:v>71.184840694734888</c:v>
                </c:pt>
                <c:pt idx="49" formatCode="#\ ##0.000">
                  <c:v>70.507381099717378</c:v>
                </c:pt>
                <c:pt idx="50" formatCode="#\ ##0.000">
                  <c:v>69.836368825483305</c:v>
                </c:pt>
                <c:pt idx="51" formatCode="#\ ##0.000">
                  <c:v>69.171742513472694</c:v>
                </c:pt>
                <c:pt idx="52" formatCode="#\ ##0.000">
                  <c:v>68.513441389069101</c:v>
                </c:pt>
                <c:pt idx="53" formatCode="#\ ##0.000">
                  <c:v>67.861405256042701</c:v>
                </c:pt>
                <c:pt idx="54" formatCode="#\ ##0.000">
                  <c:v>67.215574491045558</c:v>
                </c:pt>
                <c:pt idx="55" formatCode="#\ ##0.000">
                  <c:v>66.57589003815977</c:v>
                </c:pt>
                <c:pt idx="56" formatCode="#\ ##0.000">
                  <c:v>65.942293403497104</c:v>
                </c:pt>
                <c:pt idx="57" formatCode="#\ ##0.000">
                  <c:v>65.3147266498503</c:v>
                </c:pt>
                <c:pt idx="58" formatCode="#\ ##0.000">
                  <c:v>64.693132391395167</c:v>
                </c:pt>
                <c:pt idx="59" formatCode="#\ ##0.000">
                  <c:v>64.077453788443236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D3-4AD3-8F1D-84AD37A58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215992296"/>
        <c:axId val="215985632"/>
      </c:barChart>
      <c:catAx>
        <c:axId val="215992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59856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59856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5992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420826030502785"/>
          <c:y val="0.93094686104459479"/>
          <c:w val="0.13249718258348406"/>
          <c:h val="3.7913784767438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 alignWithMargins="0"/>
    <c:pageMargins b="1" l="0.75000000000000222" r="0.75000000000000222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sv-SE" sz="18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sv-SE" sz="18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rPr>
              <a:t>ÅRLIG NYTTA (TOTALNYTTA), ODISKONTERAD</a:t>
            </a:r>
          </a:p>
        </c:rich>
      </c:tx>
      <c:layout>
        <c:manualLayout>
          <c:xMode val="edge"/>
          <c:yMode val="edge"/>
          <c:x val="0.1802055431007647"/>
          <c:y val="3.2801898214735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sv-SE" sz="1800" b="1" i="0" u="none" strike="noStrike" kern="1200" cap="all" spc="15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8768272985085023E-2"/>
          <c:y val="0.20430179037085003"/>
          <c:w val="0.88587113244298565"/>
          <c:h val="0.6641928438273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Lönkalk!$V$4</c:f>
              <c:strCache>
                <c:ptCount val="1"/>
                <c:pt idx="0">
                  <c:v>Total nytta odiskonterat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Lönkalk!$O$16:$O$75</c:f>
              <c:numCache>
                <c:formatCode>General</c:formatCod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cat>
          <c:val>
            <c:numRef>
              <c:f>Lönkalk!$V$16:$V$75</c:f>
              <c:numCache>
                <c:formatCode>#,##0.00</c:formatCode>
                <c:ptCount val="60"/>
                <c:pt idx="0">
                  <c:v>112.64925865953057</c:v>
                </c:pt>
                <c:pt idx="1">
                  <c:v>115.48238751481775</c:v>
                </c:pt>
                <c:pt idx="2">
                  <c:v>118.38676956081541</c:v>
                </c:pt>
                <c:pt idx="3">
                  <c:v>121.36419681526989</c:v>
                </c:pt>
                <c:pt idx="4">
                  <c:v>124.4165063651739</c:v>
                </c:pt>
                <c:pt idx="5">
                  <c:v>127.54558150025802</c:v>
                </c:pt>
                <c:pt idx="6">
                  <c:v>130.7533528749895</c:v>
                </c:pt>
                <c:pt idx="7">
                  <c:v>134.04179969979543</c:v>
                </c:pt>
                <c:pt idx="8">
                  <c:v>137.4129509622453</c:v>
                </c:pt>
                <c:pt idx="9">
                  <c:v>140.86888667894576</c:v>
                </c:pt>
                <c:pt idx="10">
                  <c:v>144.41173917892124</c:v>
                </c:pt>
                <c:pt idx="11">
                  <c:v>148.04369441927108</c:v>
                </c:pt>
                <c:pt idx="12">
                  <c:v>151.76699333391568</c:v>
                </c:pt>
                <c:pt idx="13">
                  <c:v>155.58393321626366</c:v>
                </c:pt>
                <c:pt idx="14">
                  <c:v>159.49686913665269</c:v>
                </c:pt>
                <c:pt idx="15">
                  <c:v>163.50821539543944</c:v>
                </c:pt>
                <c:pt idx="16">
                  <c:v>167.62044701263471</c:v>
                </c:pt>
                <c:pt idx="17">
                  <c:v>171.83610125500246</c:v>
                </c:pt>
                <c:pt idx="18">
                  <c:v>176.15777920156572</c:v>
                </c:pt>
                <c:pt idx="19">
                  <c:v>180.58814734848514</c:v>
                </c:pt>
                <c:pt idx="20">
                  <c:v>185.12993925429944</c:v>
                </c:pt>
                <c:pt idx="21">
                  <c:v>189.78595722654512</c:v>
                </c:pt>
                <c:pt idx="22">
                  <c:v>194.55907405079262</c:v>
                </c:pt>
                <c:pt idx="23">
                  <c:v>199.45223476317008</c:v>
                </c:pt>
                <c:pt idx="24">
                  <c:v>204.46845846746379</c:v>
                </c:pt>
                <c:pt idx="25">
                  <c:v>209.61084019792051</c:v>
                </c:pt>
                <c:pt idx="26">
                  <c:v>214.88255282889813</c:v>
                </c:pt>
                <c:pt idx="27">
                  <c:v>220.28684903254489</c:v>
                </c:pt>
                <c:pt idx="28">
                  <c:v>225.82706328571336</c:v>
                </c:pt>
                <c:pt idx="29">
                  <c:v>231.50661392734904</c:v>
                </c:pt>
                <c:pt idx="30">
                  <c:v>237.32900526762177</c:v>
                </c:pt>
                <c:pt idx="31">
                  <c:v>243.29782975010249</c:v>
                </c:pt>
                <c:pt idx="32">
                  <c:v>249.41677016831756</c:v>
                </c:pt>
                <c:pt idx="33">
                  <c:v>255.68960193805077</c:v>
                </c:pt>
                <c:pt idx="34">
                  <c:v>262.12019542679263</c:v>
                </c:pt>
                <c:pt idx="35">
                  <c:v>268.71251834177644</c:v>
                </c:pt>
                <c:pt idx="36">
                  <c:v>275.47063817807208</c:v>
                </c:pt>
                <c:pt idx="37">
                  <c:v>282.39872472825061</c:v>
                </c:pt>
                <c:pt idx="38">
                  <c:v>289.50105265516606</c:v>
                </c:pt>
                <c:pt idx="39">
                  <c:v>296.78200412944346</c:v>
                </c:pt>
                <c:pt idx="40">
                  <c:v>304.24607153329896</c:v>
                </c:pt>
                <c:pt idx="41" formatCode="#\ ##0.000">
                  <c:v>311.89786023236132</c:v>
                </c:pt>
                <c:pt idx="42" formatCode="#\ ##0.000">
                  <c:v>319.74209141720513</c:v>
                </c:pt>
                <c:pt idx="43" formatCode="#\ ##0.000">
                  <c:v>327.78360501634785</c:v>
                </c:pt>
                <c:pt idx="44" formatCode="#\ ##0.000">
                  <c:v>336.02736268250891</c:v>
                </c:pt>
                <c:pt idx="45" formatCode="#\ ##0.000">
                  <c:v>344.47845085397398</c:v>
                </c:pt>
                <c:pt idx="46" formatCode="#\ ##0.000">
                  <c:v>353.14208389295123</c:v>
                </c:pt>
                <c:pt idx="47" formatCode="#\ ##0.000">
                  <c:v>362.02360730285909</c:v>
                </c:pt>
                <c:pt idx="48" formatCode="#\ ##0.000">
                  <c:v>371.12850102652595</c:v>
                </c:pt>
                <c:pt idx="49" formatCode="#\ ##0.000">
                  <c:v>380.46238282734305</c:v>
                </c:pt>
                <c:pt idx="50" formatCode="#\ ##0.000">
                  <c:v>390.03101175545055</c:v>
                </c:pt>
                <c:pt idx="51" formatCode="#\ ##0.000">
                  <c:v>399.84029170110017</c:v>
                </c:pt>
                <c:pt idx="52" formatCode="#\ ##0.000">
                  <c:v>409.89627503738268</c:v>
                </c:pt>
                <c:pt idx="53" formatCode="#\ ##0.000">
                  <c:v>420.20516635457295</c:v>
                </c:pt>
                <c:pt idx="54" formatCode="#\ ##0.000">
                  <c:v>430.77332628839025</c:v>
                </c:pt>
                <c:pt idx="55" formatCode="#\ ##0.000">
                  <c:v>441.60727544454329</c:v>
                </c:pt>
                <c:pt idx="56" formatCode="#\ ##0.000">
                  <c:v>452.71369842197356</c:v>
                </c:pt>
                <c:pt idx="57" formatCode="#\ ##0.000">
                  <c:v>464.0994479372863</c:v>
                </c:pt>
                <c:pt idx="58" formatCode="#\ ##0.000">
                  <c:v>475.77154905290877</c:v>
                </c:pt>
                <c:pt idx="59" formatCode="#\ ##0.000">
                  <c:v>487.73720351158943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8D-42FB-8BBC-10A0B2D73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5986808"/>
        <c:axId val="215987592"/>
      </c:barChart>
      <c:catAx>
        <c:axId val="21598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59875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5987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598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 alignWithMargins="0"/>
    <c:pageMargins b="1" l="0.75000000000000222" r="0.75000000000000222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Investeringskostnad, Kapitaliserad</a:t>
            </a:r>
          </a:p>
        </c:rich>
      </c:tx>
      <c:layout>
        <c:manualLayout>
          <c:xMode val="edge"/>
          <c:yMode val="edge"/>
          <c:x val="0.1802055431007647"/>
          <c:y val="3.2801898214735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8768272985085023E-2"/>
          <c:y val="0.20430179037085003"/>
          <c:w val="0.88587113244298565"/>
          <c:h val="0.6641928438273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Lönkalk!$AC$4</c:f>
              <c:strCache>
                <c:ptCount val="1"/>
                <c:pt idx="0">
                  <c:v>Invkostnad, kapit. exkl skf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Lönkalk!$O$6:$O$77</c:f>
              <c:numCache>
                <c:formatCode>General</c:formatCode>
                <c:ptCount val="7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  <c:pt idx="61">
                  <c:v>51</c:v>
                </c:pt>
                <c:pt idx="62">
                  <c:v>52</c:v>
                </c:pt>
                <c:pt idx="63">
                  <c:v>53</c:v>
                </c:pt>
                <c:pt idx="64">
                  <c:v>54</c:v>
                </c:pt>
                <c:pt idx="65">
                  <c:v>55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</c:numCache>
            </c:numRef>
          </c:cat>
          <c:val>
            <c:numRef>
              <c:f>Lönkalk!$AC$6:$AC$77</c:f>
              <c:numCache>
                <c:formatCode>#,##0.00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1071.2249999999999</c:v>
                </c:pt>
                <c:pt idx="9">
                  <c:v>1035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 formatCode="#\ ##0.000">
                  <c:v>0</c:v>
                </c:pt>
                <c:pt idx="52" formatCode="#\ ##0.000">
                  <c:v>0</c:v>
                </c:pt>
                <c:pt idx="53" formatCode="#\ ##0.000">
                  <c:v>0</c:v>
                </c:pt>
                <c:pt idx="54" formatCode="#\ ##0.000">
                  <c:v>0</c:v>
                </c:pt>
                <c:pt idx="55" formatCode="#\ ##0.000">
                  <c:v>0</c:v>
                </c:pt>
                <c:pt idx="56" formatCode="#\ ##0.000">
                  <c:v>0</c:v>
                </c:pt>
                <c:pt idx="57" formatCode="#\ ##0.000">
                  <c:v>0</c:v>
                </c:pt>
                <c:pt idx="58" formatCode="#\ ##0.000">
                  <c:v>0</c:v>
                </c:pt>
                <c:pt idx="59" formatCode="#\ ##0.000">
                  <c:v>0</c:v>
                </c:pt>
                <c:pt idx="60" formatCode="#\ ##0.000">
                  <c:v>0</c:v>
                </c:pt>
                <c:pt idx="61" formatCode="#\ ##0.000">
                  <c:v>0</c:v>
                </c:pt>
                <c:pt idx="62" formatCode="#\ ##0.000">
                  <c:v>0</c:v>
                </c:pt>
                <c:pt idx="63" formatCode="#\ ##0.000">
                  <c:v>0</c:v>
                </c:pt>
                <c:pt idx="64" formatCode="#\ ##0.000">
                  <c:v>0</c:v>
                </c:pt>
                <c:pt idx="65" formatCode="#\ ##0.000">
                  <c:v>0</c:v>
                </c:pt>
                <c:pt idx="66" formatCode="#\ ##0.000">
                  <c:v>0</c:v>
                </c:pt>
                <c:pt idx="67" formatCode="#\ ##0.000">
                  <c:v>0</c:v>
                </c:pt>
                <c:pt idx="68" formatCode="#\ ##0.000">
                  <c:v>0</c:v>
                </c:pt>
                <c:pt idx="69" formatCode="#\ ##0.0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32-4887-B8E9-A2B686AC4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216593648"/>
        <c:axId val="216594432"/>
      </c:barChart>
      <c:catAx>
        <c:axId val="21659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65944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65944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659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 alignWithMargins="0"/>
    <c:pageMargins b="1" l="0.75000000000000222" r="0.75000000000000222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230423</xdr:colOff>
      <xdr:row>26</xdr:row>
      <xdr:rowOff>110797</xdr:rowOff>
    </xdr:from>
    <xdr:to>
      <xdr:col>44</xdr:col>
      <xdr:colOff>158750</xdr:colOff>
      <xdr:row>47</xdr:row>
      <xdr:rowOff>111125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225429</xdr:colOff>
      <xdr:row>2</xdr:row>
      <xdr:rowOff>79889</xdr:rowOff>
    </xdr:from>
    <xdr:to>
      <xdr:col>44</xdr:col>
      <xdr:colOff>177800</xdr:colOff>
      <xdr:row>25</xdr:row>
      <xdr:rowOff>155575</xdr:rowOff>
    </xdr:to>
    <xdr:graphicFrame macro="">
      <xdr:nvGraphicFramePr>
        <xdr:cNvPr id="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259556</xdr:colOff>
      <xdr:row>48</xdr:row>
      <xdr:rowOff>73818</xdr:rowOff>
    </xdr:from>
    <xdr:to>
      <xdr:col>44</xdr:col>
      <xdr:colOff>190499</xdr:colOff>
      <xdr:row>72</xdr:row>
      <xdr:rowOff>63500</xdr:rowOff>
    </xdr:to>
    <xdr:graphicFrame macro="">
      <xdr:nvGraphicFramePr>
        <xdr:cNvPr id="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26194</xdr:colOff>
      <xdr:row>0</xdr:row>
      <xdr:rowOff>92868</xdr:rowOff>
    </xdr:from>
    <xdr:to>
      <xdr:col>2</xdr:col>
      <xdr:colOff>2081213</xdr:colOff>
      <xdr:row>3</xdr:row>
      <xdr:rowOff>3702</xdr:rowOff>
    </xdr:to>
    <xdr:pic>
      <xdr:nvPicPr>
        <xdr:cNvPr id="7" name="Bildobjekt 6" descr="trafikverket-logo.gif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194" y="92868"/>
          <a:ext cx="2464594" cy="4691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fikverket.se/Users/wmanfra/Desktop/Stockholm%2013%20jan%202009%20V&#228;gverket/Effekter%20hastighets&#246;versyn%20Version%202%202009-03-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fikverket.se/Users/wmanfra/Desktop/RESURSPLANERING/Stockhol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ösen"/>
      <sheetName val="Infoga"/>
      <sheetName val="Tabort"/>
      <sheetName val="START"/>
      <sheetName val="Beräkningar"/>
      <sheetName val="Resultat"/>
      <sheetName val="Oskyddat resultat"/>
      <sheetName val="mall oskyddat res"/>
      <sheetName val="Bränslekostnad"/>
      <sheetName val="Siktklass o vägbredd"/>
      <sheetName val="V,Dföre"/>
      <sheetName val="Version"/>
      <sheetName val="FÖRDELNINGFORDON"/>
      <sheetName val="CO2-Emissionsdata"/>
      <sheetName val="Bullerdata"/>
      <sheetName val="Vägbredd"/>
      <sheetName val="Län och kommuner"/>
      <sheetName val="Filer"/>
    </sheetNames>
    <sheetDataSet>
      <sheetData sheetId="0" refreshError="1"/>
      <sheetData sheetId="1" refreshError="1"/>
      <sheetData sheetId="2" refreshError="1"/>
      <sheetData sheetId="3">
        <row r="1">
          <cell r="O1" t="str">
            <v>C:\Users\wmanfra\Desktop\Stockholm 13 jan 2009 Vägverket\Kopia av Effekter hastighetsöversyn Version 1 2 Bullerexempel 2009-01-13.xlsm</v>
          </cell>
          <cell r="P1" t="str">
            <v>C:\...\...\...\...\Kopia av Effekter hastighetsöversyn Version 1 2 Bullerexempel 2009-01-13.xlsm</v>
          </cell>
        </row>
        <row r="2">
          <cell r="O2" t="str">
            <v>C:\Users\wmanfra\Desktop\Stockholm 13 jan 2009 Vägverket\Effekter hastighetsöversyn Version 2 2009-02-13.xls</v>
          </cell>
          <cell r="P2" t="str">
            <v>C:\...\...\...\...\Effekter hastighetsöversyn Version 2 2009-02-13.xls</v>
          </cell>
        </row>
      </sheetData>
      <sheetData sheetId="4">
        <row r="14">
          <cell r="GJ14" t="str">
            <v>AB</v>
          </cell>
          <cell r="GS14" t="str">
            <v>AB</v>
          </cell>
        </row>
        <row r="15">
          <cell r="GJ15" t="str">
            <v>AB</v>
          </cell>
          <cell r="GS15" t="str">
            <v>C</v>
          </cell>
        </row>
        <row r="16">
          <cell r="GJ16" t="str">
            <v>AB</v>
          </cell>
          <cell r="GS16" t="str">
            <v>D</v>
          </cell>
        </row>
        <row r="17">
          <cell r="GJ17" t="str">
            <v>AB</v>
          </cell>
          <cell r="GS17" t="str">
            <v>E</v>
          </cell>
        </row>
        <row r="18">
          <cell r="GJ18" t="str">
            <v>AB</v>
          </cell>
          <cell r="GS18" t="str">
            <v>F</v>
          </cell>
        </row>
        <row r="19">
          <cell r="GJ19" t="str">
            <v>AB</v>
          </cell>
          <cell r="GS19" t="str">
            <v>G</v>
          </cell>
        </row>
        <row r="20">
          <cell r="GJ20" t="str">
            <v>AB</v>
          </cell>
          <cell r="GS20" t="str">
            <v>H</v>
          </cell>
        </row>
        <row r="21">
          <cell r="GJ21" t="str">
            <v>AB</v>
          </cell>
          <cell r="GS21" t="str">
            <v>I</v>
          </cell>
        </row>
        <row r="22">
          <cell r="GJ22" t="str">
            <v>AB</v>
          </cell>
          <cell r="GS22" t="str">
            <v>K</v>
          </cell>
        </row>
        <row r="23">
          <cell r="GJ23" t="str">
            <v>AB</v>
          </cell>
          <cell r="GS23" t="str">
            <v>M</v>
          </cell>
        </row>
        <row r="24">
          <cell r="GJ24" t="str">
            <v>AB</v>
          </cell>
          <cell r="GS24" t="str">
            <v>N</v>
          </cell>
        </row>
        <row r="25">
          <cell r="GJ25" t="str">
            <v>AB</v>
          </cell>
          <cell r="GS25" t="str">
            <v>O</v>
          </cell>
        </row>
        <row r="26">
          <cell r="GJ26" t="str">
            <v>AB</v>
          </cell>
          <cell r="GS26" t="str">
            <v>S</v>
          </cell>
        </row>
        <row r="27">
          <cell r="GJ27" t="str">
            <v>AB</v>
          </cell>
          <cell r="GS27" t="str">
            <v>T</v>
          </cell>
        </row>
        <row r="28">
          <cell r="GJ28" t="str">
            <v>AB</v>
          </cell>
          <cell r="GS28" t="str">
            <v>U</v>
          </cell>
        </row>
        <row r="29">
          <cell r="GJ29" t="str">
            <v>AB</v>
          </cell>
          <cell r="GS29" t="str">
            <v>W</v>
          </cell>
        </row>
        <row r="30">
          <cell r="GJ30" t="str">
            <v>AB</v>
          </cell>
          <cell r="GS30" t="str">
            <v>X</v>
          </cell>
        </row>
        <row r="31">
          <cell r="GJ31" t="str">
            <v>AB</v>
          </cell>
          <cell r="GS31" t="str">
            <v>Y</v>
          </cell>
        </row>
        <row r="32">
          <cell r="GJ32" t="str">
            <v>AB</v>
          </cell>
          <cell r="GS32" t="str">
            <v>Z</v>
          </cell>
        </row>
        <row r="33">
          <cell r="GJ33" t="str">
            <v>AB</v>
          </cell>
          <cell r="GS33" t="str">
            <v>AC</v>
          </cell>
        </row>
        <row r="34">
          <cell r="GJ34" t="str">
            <v>AB</v>
          </cell>
          <cell r="GS34" t="str">
            <v>BD</v>
          </cell>
        </row>
        <row r="35">
          <cell r="GJ35" t="str">
            <v>AB</v>
          </cell>
        </row>
        <row r="36">
          <cell r="GJ36" t="str">
            <v>AB</v>
          </cell>
        </row>
        <row r="37">
          <cell r="GJ37" t="str">
            <v>AB</v>
          </cell>
        </row>
        <row r="38">
          <cell r="GJ38" t="str">
            <v>AB</v>
          </cell>
        </row>
        <row r="39">
          <cell r="GJ39" t="str">
            <v>AB</v>
          </cell>
        </row>
        <row r="40">
          <cell r="GJ40" t="str">
            <v>AC</v>
          </cell>
        </row>
        <row r="41">
          <cell r="GJ41" t="str">
            <v>AC</v>
          </cell>
        </row>
        <row r="42">
          <cell r="GJ42" t="str">
            <v>AC</v>
          </cell>
        </row>
        <row r="43">
          <cell r="GJ43" t="str">
            <v>AC</v>
          </cell>
        </row>
        <row r="44">
          <cell r="GJ44" t="str">
            <v>AC</v>
          </cell>
        </row>
        <row r="45">
          <cell r="GJ45" t="str">
            <v>AC</v>
          </cell>
        </row>
        <row r="46">
          <cell r="GJ46" t="str">
            <v>AC</v>
          </cell>
        </row>
        <row r="47">
          <cell r="GJ47" t="str">
            <v>AC</v>
          </cell>
        </row>
        <row r="48">
          <cell r="GJ48" t="str">
            <v>AC</v>
          </cell>
        </row>
        <row r="49">
          <cell r="GJ49" t="str">
            <v>AC</v>
          </cell>
        </row>
        <row r="50">
          <cell r="GJ50" t="str">
            <v>AC</v>
          </cell>
        </row>
        <row r="51">
          <cell r="GJ51" t="str">
            <v>AC</v>
          </cell>
        </row>
        <row r="52">
          <cell r="GJ52" t="str">
            <v>AC</v>
          </cell>
        </row>
        <row r="53">
          <cell r="GJ53" t="str">
            <v>AC</v>
          </cell>
        </row>
        <row r="54">
          <cell r="GJ54" t="str">
            <v>AC</v>
          </cell>
          <cell r="GP54">
            <v>1</v>
          </cell>
        </row>
        <row r="55">
          <cell r="GJ55" t="str">
            <v>BD</v>
          </cell>
          <cell r="GP55">
            <v>2</v>
          </cell>
        </row>
        <row r="56">
          <cell r="GJ56" t="str">
            <v>BD</v>
          </cell>
          <cell r="GP56">
            <v>3</v>
          </cell>
        </row>
        <row r="57">
          <cell r="GJ57" t="str">
            <v>BD</v>
          </cell>
          <cell r="GP57">
            <v>4</v>
          </cell>
        </row>
        <row r="58">
          <cell r="GJ58" t="str">
            <v>BD</v>
          </cell>
          <cell r="GP58">
            <v>5</v>
          </cell>
        </row>
        <row r="59">
          <cell r="GJ59" t="str">
            <v>BD</v>
          </cell>
          <cell r="GP59">
            <v>6</v>
          </cell>
        </row>
        <row r="60">
          <cell r="GJ60" t="str">
            <v>BD</v>
          </cell>
          <cell r="GP60">
            <v>7</v>
          </cell>
        </row>
        <row r="61">
          <cell r="GJ61" t="str">
            <v>BD</v>
          </cell>
          <cell r="GP61">
            <v>8</v>
          </cell>
        </row>
        <row r="62">
          <cell r="GJ62" t="str">
            <v>BD</v>
          </cell>
          <cell r="GP62">
            <v>9</v>
          </cell>
        </row>
        <row r="63">
          <cell r="GJ63" t="str">
            <v>BD</v>
          </cell>
          <cell r="GP63">
            <v>22</v>
          </cell>
        </row>
        <row r="64">
          <cell r="GJ64" t="str">
            <v>BD</v>
          </cell>
          <cell r="GP64">
            <v>26</v>
          </cell>
        </row>
        <row r="65">
          <cell r="GJ65" t="str">
            <v>BD</v>
          </cell>
          <cell r="GP65">
            <v>32</v>
          </cell>
        </row>
        <row r="66">
          <cell r="GJ66" t="str">
            <v>BD</v>
          </cell>
          <cell r="GP66">
            <v>36</v>
          </cell>
        </row>
        <row r="67">
          <cell r="GJ67" t="str">
            <v>BD</v>
          </cell>
        </row>
        <row r="68">
          <cell r="GJ68" t="str">
            <v>BD</v>
          </cell>
        </row>
        <row r="69">
          <cell r="GJ69" t="str">
            <v>C</v>
          </cell>
        </row>
        <row r="70">
          <cell r="GJ70" t="str">
            <v>C</v>
          </cell>
        </row>
        <row r="71">
          <cell r="GJ71" t="str">
            <v>C</v>
          </cell>
        </row>
        <row r="72">
          <cell r="GJ72" t="str">
            <v>C</v>
          </cell>
        </row>
        <row r="73">
          <cell r="GJ73" t="str">
            <v>C</v>
          </cell>
        </row>
        <row r="74">
          <cell r="GJ74" t="str">
            <v>C</v>
          </cell>
        </row>
        <row r="75">
          <cell r="GJ75" t="str">
            <v>C</v>
          </cell>
        </row>
        <row r="76">
          <cell r="GJ76" t="str">
            <v>D</v>
          </cell>
        </row>
        <row r="77">
          <cell r="GJ77" t="str">
            <v>D</v>
          </cell>
        </row>
        <row r="78">
          <cell r="GJ78" t="str">
            <v>D</v>
          </cell>
        </row>
        <row r="79">
          <cell r="GJ79" t="str">
            <v>D</v>
          </cell>
        </row>
        <row r="80">
          <cell r="GJ80" t="str">
            <v>D</v>
          </cell>
        </row>
        <row r="81">
          <cell r="GJ81" t="str">
            <v>D</v>
          </cell>
        </row>
        <row r="82">
          <cell r="GJ82" t="str">
            <v>D</v>
          </cell>
        </row>
        <row r="83">
          <cell r="GJ83" t="str">
            <v>D</v>
          </cell>
        </row>
        <row r="84">
          <cell r="GJ84" t="str">
            <v>D</v>
          </cell>
        </row>
        <row r="85">
          <cell r="GJ85" t="str">
            <v>E</v>
          </cell>
        </row>
        <row r="86">
          <cell r="GJ86" t="str">
            <v>E</v>
          </cell>
        </row>
        <row r="87">
          <cell r="GJ87" t="str">
            <v>E</v>
          </cell>
        </row>
        <row r="88">
          <cell r="GJ88" t="str">
            <v>E</v>
          </cell>
        </row>
        <row r="89">
          <cell r="GJ89" t="str">
            <v>E</v>
          </cell>
        </row>
        <row r="90">
          <cell r="GJ90" t="str">
            <v>E</v>
          </cell>
        </row>
        <row r="91">
          <cell r="GJ91" t="str">
            <v>E</v>
          </cell>
        </row>
        <row r="92">
          <cell r="GJ92" t="str">
            <v>E</v>
          </cell>
        </row>
        <row r="93">
          <cell r="GJ93" t="str">
            <v>E</v>
          </cell>
        </row>
        <row r="94">
          <cell r="GJ94" t="str">
            <v>E</v>
          </cell>
        </row>
        <row r="95">
          <cell r="GJ95" t="str">
            <v>E</v>
          </cell>
        </row>
        <row r="96">
          <cell r="GJ96" t="str">
            <v>E</v>
          </cell>
        </row>
        <row r="97">
          <cell r="GJ97" t="str">
            <v>E</v>
          </cell>
        </row>
        <row r="98">
          <cell r="GJ98" t="str">
            <v>F</v>
          </cell>
        </row>
        <row r="99">
          <cell r="GJ99" t="str">
            <v>F</v>
          </cell>
        </row>
        <row r="100">
          <cell r="GJ100" t="str">
            <v>F</v>
          </cell>
        </row>
        <row r="101">
          <cell r="GJ101" t="str">
            <v>F</v>
          </cell>
        </row>
        <row r="102">
          <cell r="GJ102" t="str">
            <v>F</v>
          </cell>
        </row>
        <row r="103">
          <cell r="GJ103" t="str">
            <v>F</v>
          </cell>
        </row>
        <row r="104">
          <cell r="GJ104" t="str">
            <v>F</v>
          </cell>
        </row>
        <row r="105">
          <cell r="GJ105" t="str">
            <v>F</v>
          </cell>
        </row>
        <row r="106">
          <cell r="GJ106" t="str">
            <v>F</v>
          </cell>
        </row>
        <row r="107">
          <cell r="GJ107" t="str">
            <v>F</v>
          </cell>
        </row>
        <row r="108">
          <cell r="GJ108" t="str">
            <v>F</v>
          </cell>
        </row>
        <row r="109">
          <cell r="GJ109" t="str">
            <v>F</v>
          </cell>
        </row>
        <row r="110">
          <cell r="GJ110" t="str">
            <v>F</v>
          </cell>
        </row>
        <row r="111">
          <cell r="GJ111" t="str">
            <v>G</v>
          </cell>
        </row>
        <row r="112">
          <cell r="GJ112" t="str">
            <v>G</v>
          </cell>
        </row>
        <row r="113">
          <cell r="GJ113" t="str">
            <v>G</v>
          </cell>
        </row>
        <row r="114">
          <cell r="GJ114" t="str">
            <v>G</v>
          </cell>
        </row>
        <row r="115">
          <cell r="GJ115" t="str">
            <v>G</v>
          </cell>
        </row>
        <row r="116">
          <cell r="GJ116" t="str">
            <v>G</v>
          </cell>
        </row>
        <row r="117">
          <cell r="GJ117" t="str">
            <v>G</v>
          </cell>
        </row>
        <row r="118">
          <cell r="GJ118" t="str">
            <v>G</v>
          </cell>
        </row>
        <row r="119">
          <cell r="GJ119" t="str">
            <v>H</v>
          </cell>
        </row>
        <row r="120">
          <cell r="GJ120" t="str">
            <v>H</v>
          </cell>
        </row>
        <row r="121">
          <cell r="GJ121" t="str">
            <v>H</v>
          </cell>
        </row>
        <row r="122">
          <cell r="GJ122" t="str">
            <v>H</v>
          </cell>
        </row>
        <row r="123">
          <cell r="GJ123" t="str">
            <v>H</v>
          </cell>
        </row>
        <row r="124">
          <cell r="GJ124" t="str">
            <v>H</v>
          </cell>
        </row>
        <row r="125">
          <cell r="GJ125" t="str">
            <v>H</v>
          </cell>
        </row>
        <row r="126">
          <cell r="GJ126" t="str">
            <v>H</v>
          </cell>
        </row>
        <row r="127">
          <cell r="GJ127" t="str">
            <v>H</v>
          </cell>
        </row>
        <row r="128">
          <cell r="GJ128" t="str">
            <v>H</v>
          </cell>
        </row>
        <row r="129">
          <cell r="GJ129" t="str">
            <v>H</v>
          </cell>
        </row>
        <row r="130">
          <cell r="GJ130" t="str">
            <v>H</v>
          </cell>
        </row>
        <row r="131">
          <cell r="GJ131" t="str">
            <v>I</v>
          </cell>
        </row>
        <row r="132">
          <cell r="GJ132" t="str">
            <v>K</v>
          </cell>
        </row>
        <row r="133">
          <cell r="GJ133" t="str">
            <v>K</v>
          </cell>
        </row>
        <row r="134">
          <cell r="GJ134" t="str">
            <v>K</v>
          </cell>
        </row>
        <row r="135">
          <cell r="GJ135" t="str">
            <v>K</v>
          </cell>
        </row>
        <row r="136">
          <cell r="GJ136" t="str">
            <v>K</v>
          </cell>
        </row>
        <row r="137">
          <cell r="GJ137" t="str">
            <v>M</v>
          </cell>
        </row>
        <row r="138">
          <cell r="GJ138" t="str">
            <v>M</v>
          </cell>
        </row>
        <row r="139">
          <cell r="GJ139" t="str">
            <v>M</v>
          </cell>
        </row>
        <row r="140">
          <cell r="GJ140" t="str">
            <v>M</v>
          </cell>
        </row>
        <row r="141">
          <cell r="GJ141" t="str">
            <v>M</v>
          </cell>
        </row>
        <row r="142">
          <cell r="GJ142" t="str">
            <v>M</v>
          </cell>
        </row>
        <row r="143">
          <cell r="GJ143" t="str">
            <v>M</v>
          </cell>
        </row>
        <row r="144">
          <cell r="GJ144" t="str">
            <v>M</v>
          </cell>
        </row>
        <row r="145">
          <cell r="GJ145" t="str">
            <v>M</v>
          </cell>
        </row>
        <row r="146">
          <cell r="GJ146" t="str">
            <v>M</v>
          </cell>
        </row>
        <row r="147">
          <cell r="GJ147" t="str">
            <v>M</v>
          </cell>
        </row>
        <row r="148">
          <cell r="GJ148" t="str">
            <v>M</v>
          </cell>
        </row>
        <row r="149">
          <cell r="GJ149" t="str">
            <v>M</v>
          </cell>
        </row>
        <row r="150">
          <cell r="GJ150" t="str">
            <v>M</v>
          </cell>
        </row>
        <row r="151">
          <cell r="GJ151" t="str">
            <v>M</v>
          </cell>
        </row>
        <row r="152">
          <cell r="GJ152" t="str">
            <v>M</v>
          </cell>
        </row>
        <row r="153">
          <cell r="GJ153" t="str">
            <v>M</v>
          </cell>
        </row>
        <row r="154">
          <cell r="GJ154" t="str">
            <v>M</v>
          </cell>
        </row>
        <row r="155">
          <cell r="GJ155" t="str">
            <v>M</v>
          </cell>
        </row>
        <row r="156">
          <cell r="GJ156" t="str">
            <v>M</v>
          </cell>
        </row>
        <row r="157">
          <cell r="GJ157" t="str">
            <v>M</v>
          </cell>
        </row>
        <row r="158">
          <cell r="GJ158" t="str">
            <v>M</v>
          </cell>
        </row>
        <row r="159">
          <cell r="GJ159" t="str">
            <v>M</v>
          </cell>
        </row>
        <row r="160">
          <cell r="GJ160" t="str">
            <v>M</v>
          </cell>
        </row>
        <row r="161">
          <cell r="GJ161" t="str">
            <v>M</v>
          </cell>
        </row>
        <row r="162">
          <cell r="GJ162" t="str">
            <v>M</v>
          </cell>
        </row>
        <row r="163">
          <cell r="GJ163" t="str">
            <v>M</v>
          </cell>
        </row>
        <row r="164">
          <cell r="GJ164" t="str">
            <v>M</v>
          </cell>
        </row>
        <row r="165">
          <cell r="GJ165" t="str">
            <v>M</v>
          </cell>
        </row>
        <row r="166">
          <cell r="GJ166" t="str">
            <v>M</v>
          </cell>
        </row>
        <row r="167">
          <cell r="GJ167" t="str">
            <v>M</v>
          </cell>
        </row>
        <row r="168">
          <cell r="GJ168" t="str">
            <v>M</v>
          </cell>
        </row>
        <row r="169">
          <cell r="GJ169" t="str">
            <v>M</v>
          </cell>
        </row>
        <row r="170">
          <cell r="GJ170" t="str">
            <v>N</v>
          </cell>
        </row>
        <row r="171">
          <cell r="GJ171" t="str">
            <v>N</v>
          </cell>
        </row>
        <row r="172">
          <cell r="GJ172" t="str">
            <v>N</v>
          </cell>
        </row>
        <row r="173">
          <cell r="GJ173" t="str">
            <v>N</v>
          </cell>
        </row>
        <row r="174">
          <cell r="GJ174" t="str">
            <v>N</v>
          </cell>
        </row>
        <row r="175">
          <cell r="GJ175" t="str">
            <v>N</v>
          </cell>
        </row>
        <row r="176">
          <cell r="GJ176" t="str">
            <v>O</v>
          </cell>
        </row>
        <row r="177">
          <cell r="GJ177" t="str">
            <v>O</v>
          </cell>
        </row>
        <row r="178">
          <cell r="GJ178" t="str">
            <v>O</v>
          </cell>
        </row>
        <row r="179">
          <cell r="GJ179" t="str">
            <v>O</v>
          </cell>
        </row>
        <row r="180">
          <cell r="GJ180" t="str">
            <v>O</v>
          </cell>
        </row>
        <row r="181">
          <cell r="GJ181" t="str">
            <v>O</v>
          </cell>
        </row>
        <row r="182">
          <cell r="GJ182" t="str">
            <v>O</v>
          </cell>
        </row>
        <row r="183">
          <cell r="GJ183" t="str">
            <v>O</v>
          </cell>
        </row>
        <row r="184">
          <cell r="GJ184" t="str">
            <v>O</v>
          </cell>
        </row>
        <row r="185">
          <cell r="GJ185" t="str">
            <v>O</v>
          </cell>
        </row>
        <row r="186">
          <cell r="GJ186" t="str">
            <v>O</v>
          </cell>
        </row>
        <row r="187">
          <cell r="GJ187" t="str">
            <v>O</v>
          </cell>
        </row>
        <row r="188">
          <cell r="GJ188" t="str">
            <v>O</v>
          </cell>
        </row>
        <row r="189">
          <cell r="GJ189" t="str">
            <v>O</v>
          </cell>
        </row>
        <row r="190">
          <cell r="GJ190" t="str">
            <v>O</v>
          </cell>
        </row>
        <row r="191">
          <cell r="GJ191" t="str">
            <v>O</v>
          </cell>
        </row>
        <row r="192">
          <cell r="GJ192" t="str">
            <v>O</v>
          </cell>
        </row>
        <row r="193">
          <cell r="GJ193" t="str">
            <v>O</v>
          </cell>
        </row>
        <row r="194">
          <cell r="GJ194" t="str">
            <v>O</v>
          </cell>
        </row>
        <row r="195">
          <cell r="GJ195" t="str">
            <v>O</v>
          </cell>
        </row>
        <row r="196">
          <cell r="GJ196" t="str">
            <v>O</v>
          </cell>
        </row>
        <row r="197">
          <cell r="GJ197" t="str">
            <v>O</v>
          </cell>
        </row>
        <row r="198">
          <cell r="GJ198" t="str">
            <v>O</v>
          </cell>
        </row>
        <row r="199">
          <cell r="GJ199" t="str">
            <v>O</v>
          </cell>
        </row>
        <row r="200">
          <cell r="GJ200" t="str">
            <v>O</v>
          </cell>
        </row>
        <row r="201">
          <cell r="GJ201" t="str">
            <v>O</v>
          </cell>
        </row>
        <row r="202">
          <cell r="GJ202" t="str">
            <v>O</v>
          </cell>
        </row>
        <row r="203">
          <cell r="GJ203" t="str">
            <v>O</v>
          </cell>
        </row>
        <row r="204">
          <cell r="GJ204" t="str">
            <v>O</v>
          </cell>
        </row>
        <row r="205">
          <cell r="GJ205" t="str">
            <v>O</v>
          </cell>
        </row>
        <row r="206">
          <cell r="GJ206" t="str">
            <v>O</v>
          </cell>
        </row>
        <row r="207">
          <cell r="GJ207" t="str">
            <v>O</v>
          </cell>
        </row>
        <row r="208">
          <cell r="GJ208" t="str">
            <v>O</v>
          </cell>
        </row>
        <row r="209">
          <cell r="GJ209" t="str">
            <v>O</v>
          </cell>
        </row>
        <row r="210">
          <cell r="GJ210" t="str">
            <v>O</v>
          </cell>
        </row>
        <row r="211">
          <cell r="GJ211" t="str">
            <v>O</v>
          </cell>
        </row>
        <row r="212">
          <cell r="GJ212" t="str">
            <v>O</v>
          </cell>
        </row>
        <row r="213">
          <cell r="GJ213" t="str">
            <v>O</v>
          </cell>
        </row>
        <row r="214">
          <cell r="GJ214" t="str">
            <v>O</v>
          </cell>
        </row>
        <row r="215">
          <cell r="GJ215" t="str">
            <v>O</v>
          </cell>
        </row>
        <row r="216">
          <cell r="GJ216" t="str">
            <v>O</v>
          </cell>
        </row>
        <row r="217">
          <cell r="GJ217" t="str">
            <v>O</v>
          </cell>
        </row>
        <row r="218">
          <cell r="GJ218" t="str">
            <v>O</v>
          </cell>
        </row>
        <row r="219">
          <cell r="GJ219" t="str">
            <v>O</v>
          </cell>
        </row>
        <row r="220">
          <cell r="GJ220" t="str">
            <v>O</v>
          </cell>
        </row>
        <row r="221">
          <cell r="GJ221" t="str">
            <v>O</v>
          </cell>
        </row>
        <row r="222">
          <cell r="GJ222" t="str">
            <v>O</v>
          </cell>
        </row>
        <row r="223">
          <cell r="GJ223" t="str">
            <v>O</v>
          </cell>
        </row>
        <row r="224">
          <cell r="GJ224" t="str">
            <v>O</v>
          </cell>
        </row>
        <row r="225">
          <cell r="GJ225" t="str">
            <v>S</v>
          </cell>
        </row>
        <row r="226">
          <cell r="GJ226" t="str">
            <v>S</v>
          </cell>
        </row>
        <row r="227">
          <cell r="GJ227" t="str">
            <v>S</v>
          </cell>
        </row>
        <row r="228">
          <cell r="GJ228" t="str">
            <v>S</v>
          </cell>
        </row>
        <row r="229">
          <cell r="GJ229" t="str">
            <v>S</v>
          </cell>
        </row>
        <row r="230">
          <cell r="GJ230" t="str">
            <v>S</v>
          </cell>
        </row>
        <row r="231">
          <cell r="GJ231" t="str">
            <v>S</v>
          </cell>
        </row>
        <row r="232">
          <cell r="GJ232" t="str">
            <v>S</v>
          </cell>
        </row>
        <row r="233">
          <cell r="GJ233" t="str">
            <v>S</v>
          </cell>
        </row>
        <row r="234">
          <cell r="GJ234" t="str">
            <v>S</v>
          </cell>
        </row>
        <row r="235">
          <cell r="GJ235" t="str">
            <v>S</v>
          </cell>
        </row>
        <row r="236">
          <cell r="GJ236" t="str">
            <v>S</v>
          </cell>
        </row>
        <row r="237">
          <cell r="GJ237" t="str">
            <v>S</v>
          </cell>
        </row>
        <row r="238">
          <cell r="GJ238" t="str">
            <v>S</v>
          </cell>
        </row>
        <row r="239">
          <cell r="GJ239" t="str">
            <v>S</v>
          </cell>
        </row>
        <row r="240">
          <cell r="GJ240" t="str">
            <v>S</v>
          </cell>
        </row>
        <row r="241">
          <cell r="GJ241" t="str">
            <v>T</v>
          </cell>
        </row>
        <row r="242">
          <cell r="GJ242" t="str">
            <v>T</v>
          </cell>
        </row>
        <row r="243">
          <cell r="GJ243" t="str">
            <v>T</v>
          </cell>
        </row>
        <row r="244">
          <cell r="GJ244" t="str">
            <v>T</v>
          </cell>
        </row>
        <row r="245">
          <cell r="GJ245" t="str">
            <v>T</v>
          </cell>
        </row>
        <row r="246">
          <cell r="GJ246" t="str">
            <v>T</v>
          </cell>
        </row>
        <row r="247">
          <cell r="GJ247" t="str">
            <v>T</v>
          </cell>
        </row>
        <row r="248">
          <cell r="GJ248" t="str">
            <v>T</v>
          </cell>
        </row>
        <row r="249">
          <cell r="GJ249" t="str">
            <v>T</v>
          </cell>
        </row>
        <row r="250">
          <cell r="GJ250" t="str">
            <v>T</v>
          </cell>
        </row>
        <row r="251">
          <cell r="GJ251" t="str">
            <v>T</v>
          </cell>
        </row>
        <row r="252">
          <cell r="GJ252" t="str">
            <v>T</v>
          </cell>
        </row>
        <row r="253">
          <cell r="GJ253" t="str">
            <v>U</v>
          </cell>
        </row>
        <row r="254">
          <cell r="GJ254" t="str">
            <v>U</v>
          </cell>
        </row>
        <row r="255">
          <cell r="GJ255" t="str">
            <v>U</v>
          </cell>
        </row>
        <row r="256">
          <cell r="GJ256" t="str">
            <v>U</v>
          </cell>
        </row>
        <row r="257">
          <cell r="GJ257" t="str">
            <v>U</v>
          </cell>
        </row>
        <row r="258">
          <cell r="GJ258" t="str">
            <v>U</v>
          </cell>
        </row>
        <row r="259">
          <cell r="GJ259" t="str">
            <v>U</v>
          </cell>
        </row>
        <row r="260">
          <cell r="GJ260" t="str">
            <v>U</v>
          </cell>
        </row>
        <row r="261">
          <cell r="GJ261" t="str">
            <v>U</v>
          </cell>
        </row>
        <row r="262">
          <cell r="GJ262" t="str">
            <v>U</v>
          </cell>
        </row>
        <row r="263">
          <cell r="GJ263" t="str">
            <v>U</v>
          </cell>
        </row>
        <row r="264">
          <cell r="GJ264" t="str">
            <v>W</v>
          </cell>
        </row>
        <row r="265">
          <cell r="GJ265" t="str">
            <v>W</v>
          </cell>
        </row>
        <row r="266">
          <cell r="GJ266" t="str">
            <v>W</v>
          </cell>
        </row>
        <row r="267">
          <cell r="GJ267" t="str">
            <v>W</v>
          </cell>
        </row>
        <row r="268">
          <cell r="GJ268" t="str">
            <v>W</v>
          </cell>
        </row>
        <row r="269">
          <cell r="GJ269" t="str">
            <v>W</v>
          </cell>
        </row>
        <row r="270">
          <cell r="GJ270" t="str">
            <v>W</v>
          </cell>
        </row>
        <row r="271">
          <cell r="GJ271" t="str">
            <v>W</v>
          </cell>
        </row>
        <row r="272">
          <cell r="GJ272" t="str">
            <v>W</v>
          </cell>
        </row>
        <row r="273">
          <cell r="GJ273" t="str">
            <v>W</v>
          </cell>
        </row>
        <row r="274">
          <cell r="GJ274" t="str">
            <v>W</v>
          </cell>
        </row>
        <row r="275">
          <cell r="GJ275" t="str">
            <v>W</v>
          </cell>
        </row>
        <row r="276">
          <cell r="GJ276" t="str">
            <v>W</v>
          </cell>
        </row>
        <row r="277">
          <cell r="GJ277" t="str">
            <v>W</v>
          </cell>
        </row>
        <row r="278">
          <cell r="GJ278" t="str">
            <v>W</v>
          </cell>
        </row>
        <row r="279">
          <cell r="GJ279" t="str">
            <v>X</v>
          </cell>
        </row>
        <row r="280">
          <cell r="GJ280" t="str">
            <v>X</v>
          </cell>
        </row>
        <row r="281">
          <cell r="GJ281" t="str">
            <v>X</v>
          </cell>
        </row>
        <row r="282">
          <cell r="GJ282" t="str">
            <v>X</v>
          </cell>
        </row>
        <row r="283">
          <cell r="GJ283" t="str">
            <v>X</v>
          </cell>
        </row>
        <row r="284">
          <cell r="GJ284" t="str">
            <v>X</v>
          </cell>
        </row>
        <row r="285">
          <cell r="GJ285" t="str">
            <v>X</v>
          </cell>
        </row>
        <row r="286">
          <cell r="GJ286" t="str">
            <v>X</v>
          </cell>
        </row>
        <row r="287">
          <cell r="GJ287" t="str">
            <v>X</v>
          </cell>
        </row>
        <row r="288">
          <cell r="GJ288" t="str">
            <v>X</v>
          </cell>
        </row>
        <row r="289">
          <cell r="GJ289" t="str">
            <v>Y</v>
          </cell>
        </row>
        <row r="290">
          <cell r="GJ290" t="str">
            <v>Y</v>
          </cell>
        </row>
        <row r="291">
          <cell r="GJ291" t="str">
            <v>Y</v>
          </cell>
        </row>
        <row r="292">
          <cell r="GJ292" t="str">
            <v>Y</v>
          </cell>
        </row>
        <row r="293">
          <cell r="GJ293" t="str">
            <v>Y</v>
          </cell>
        </row>
        <row r="294">
          <cell r="GJ294" t="str">
            <v>Y</v>
          </cell>
        </row>
        <row r="295">
          <cell r="GJ295" t="str">
            <v>Y</v>
          </cell>
        </row>
        <row r="296">
          <cell r="GJ296" t="str">
            <v>Z</v>
          </cell>
        </row>
        <row r="297">
          <cell r="GJ297" t="str">
            <v>Z</v>
          </cell>
        </row>
        <row r="298">
          <cell r="GJ298" t="str">
            <v>Z</v>
          </cell>
        </row>
        <row r="299">
          <cell r="GJ299" t="str">
            <v>Z</v>
          </cell>
        </row>
        <row r="300">
          <cell r="GJ300" t="str">
            <v>Z</v>
          </cell>
        </row>
        <row r="301">
          <cell r="GJ301" t="str">
            <v>Z</v>
          </cell>
        </row>
        <row r="302">
          <cell r="GJ302" t="str">
            <v>Z</v>
          </cell>
        </row>
        <row r="303">
          <cell r="GJ303" t="str">
            <v>Z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rapportering"/>
      <sheetName val="Detaljerad rapport"/>
      <sheetName val="Grövre rapport"/>
      <sheetName val="DB"/>
      <sheetName val="Infoga"/>
    </sheetNames>
    <sheetDataSet>
      <sheetData sheetId="0"/>
      <sheetData sheetId="1">
        <row r="2">
          <cell r="AH2">
            <v>2009</v>
          </cell>
        </row>
        <row r="4">
          <cell r="E4" t="str">
            <v>Stockholm</v>
          </cell>
        </row>
        <row r="5">
          <cell r="E5" t="str">
            <v>Falun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2:AJ99"/>
  <sheetViews>
    <sheetView showGridLines="0" tabSelected="1" showWhiteSpace="0" topLeftCell="AF1" zoomScale="80" zoomScaleNormal="80" zoomScalePageLayoutView="90" workbookViewId="0">
      <selection activeCell="AT23" sqref="AT23"/>
    </sheetView>
  </sheetViews>
  <sheetFormatPr defaultColWidth="9.140625" defaultRowHeight="12.75" x14ac:dyDescent="0.2"/>
  <cols>
    <col min="1" max="1" width="3" customWidth="1"/>
    <col min="2" max="2" width="2.85546875" customWidth="1"/>
    <col min="3" max="3" width="35.7109375" customWidth="1"/>
    <col min="4" max="4" width="11.85546875" customWidth="1"/>
    <col min="5" max="5" width="2.85546875" customWidth="1"/>
    <col min="6" max="6" width="6.5703125" customWidth="1"/>
    <col min="7" max="7" width="2.42578125" customWidth="1"/>
    <col min="8" max="8" width="47.42578125" customWidth="1"/>
    <col min="9" max="9" width="2.7109375" customWidth="1"/>
    <col min="10" max="10" width="17.5703125" customWidth="1"/>
    <col min="11" max="11" width="2.28515625" customWidth="1"/>
    <col min="12" max="12" width="2.85546875" customWidth="1"/>
    <col min="13" max="13" width="4.85546875" customWidth="1"/>
    <col min="14" max="14" width="8.28515625" hidden="1" customWidth="1"/>
    <col min="15" max="15" width="4.42578125" style="79" customWidth="1"/>
    <col min="16" max="16" width="5.7109375" style="79" bestFit="1" customWidth="1"/>
    <col min="17" max="17" width="9.85546875" style="79" customWidth="1"/>
    <col min="18" max="18" width="7.140625" style="79" customWidth="1"/>
    <col min="19" max="19" width="7.42578125" style="54" customWidth="1"/>
    <col min="20" max="21" width="9.5703125" style="54" customWidth="1"/>
    <col min="22" max="22" width="10.140625" style="79" customWidth="1"/>
    <col min="23" max="23" width="8.140625" style="54" customWidth="1"/>
    <col min="24" max="25" width="8.28515625" style="54" bestFit="1" customWidth="1"/>
    <col min="26" max="27" width="8.28515625" style="54" customWidth="1"/>
    <col min="28" max="28" width="7.7109375" style="54" customWidth="1"/>
    <col min="29" max="29" width="10" style="54" customWidth="1"/>
    <col min="30" max="30" width="9.140625" style="54"/>
    <col min="31" max="31" width="8.28515625" style="54" customWidth="1"/>
    <col min="32" max="32" width="9.140625" customWidth="1"/>
  </cols>
  <sheetData>
    <row r="2" spans="2:35" ht="18" x14ac:dyDescent="0.25">
      <c r="G2" s="54"/>
      <c r="I2" s="55"/>
      <c r="O2" s="5" t="s">
        <v>27</v>
      </c>
      <c r="P2" s="8"/>
      <c r="Q2" s="8"/>
      <c r="R2" s="8"/>
      <c r="S2" s="10"/>
      <c r="T2" s="10"/>
      <c r="U2" s="10"/>
      <c r="V2" s="8"/>
      <c r="W2" s="10"/>
      <c r="X2" s="10"/>
      <c r="Y2" s="10"/>
      <c r="Z2" s="10"/>
      <c r="AA2" s="10"/>
      <c r="AB2" s="10"/>
      <c r="AC2" s="10"/>
      <c r="AD2" s="10"/>
      <c r="AE2" s="10"/>
      <c r="AG2" s="5" t="s">
        <v>32</v>
      </c>
    </row>
    <row r="3" spans="2:35" ht="13.5" thickBot="1" x14ac:dyDescent="0.25">
      <c r="I3" s="56"/>
      <c r="O3" s="8"/>
      <c r="P3" s="8"/>
      <c r="Q3" s="8"/>
      <c r="R3" s="8"/>
      <c r="S3" s="10"/>
      <c r="T3" s="10"/>
      <c r="U3" s="10"/>
      <c r="V3" s="3"/>
      <c r="W3" s="3"/>
      <c r="X3" s="3"/>
      <c r="Y3" s="3"/>
      <c r="Z3" s="3"/>
      <c r="AA3" s="3"/>
      <c r="AB3" s="3"/>
      <c r="AC3" s="3"/>
      <c r="AD3" s="3"/>
      <c r="AE3" s="10"/>
    </row>
    <row r="4" spans="2:35" ht="46.5" thickBot="1" x14ac:dyDescent="0.3">
      <c r="B4" s="57" t="s">
        <v>13</v>
      </c>
      <c r="C4" s="5"/>
      <c r="D4" s="1"/>
      <c r="E4" s="1"/>
      <c r="G4" s="9" t="s">
        <v>47</v>
      </c>
      <c r="J4" s="1"/>
      <c r="K4" s="1"/>
      <c r="L4" s="1"/>
      <c r="M4" s="1"/>
      <c r="N4" s="1"/>
      <c r="O4" s="81"/>
      <c r="P4" s="82"/>
      <c r="Q4" s="83" t="s">
        <v>3</v>
      </c>
      <c r="R4" s="83" t="s">
        <v>44</v>
      </c>
      <c r="S4" s="84" t="s">
        <v>45</v>
      </c>
      <c r="T4" s="83" t="s">
        <v>33</v>
      </c>
      <c r="U4" s="85" t="s">
        <v>43</v>
      </c>
      <c r="V4" s="85" t="s">
        <v>28</v>
      </c>
      <c r="W4" s="83" t="s">
        <v>34</v>
      </c>
      <c r="X4" s="83" t="s">
        <v>35</v>
      </c>
      <c r="Y4" s="83" t="s">
        <v>37</v>
      </c>
      <c r="Z4" s="83" t="s">
        <v>36</v>
      </c>
      <c r="AA4" s="83" t="s">
        <v>38</v>
      </c>
      <c r="AB4" s="83" t="s">
        <v>39</v>
      </c>
      <c r="AC4" s="83" t="s">
        <v>40</v>
      </c>
      <c r="AD4" s="83" t="s">
        <v>42</v>
      </c>
      <c r="AE4" s="86" t="s">
        <v>41</v>
      </c>
      <c r="AF4" s="1"/>
      <c r="AG4" s="1"/>
      <c r="AH4" s="1"/>
      <c r="AI4" s="1"/>
    </row>
    <row r="5" spans="2:35" ht="25.5" customHeight="1" x14ac:dyDescent="0.25">
      <c r="B5" s="14"/>
      <c r="C5" s="15" t="s">
        <v>24</v>
      </c>
      <c r="D5" s="16"/>
      <c r="E5" s="17"/>
      <c r="F5" s="1"/>
      <c r="G5" s="33"/>
      <c r="H5" s="34" t="s">
        <v>6</v>
      </c>
      <c r="I5" s="35"/>
      <c r="J5" s="35"/>
      <c r="K5" s="35"/>
      <c r="L5" s="36"/>
      <c r="M5" s="1"/>
      <c r="N5" s="1"/>
      <c r="O5" s="97" t="s">
        <v>49</v>
      </c>
      <c r="P5" s="91"/>
      <c r="Q5" s="92"/>
      <c r="R5" s="93"/>
      <c r="S5" s="94"/>
      <c r="T5" s="94"/>
      <c r="U5" s="94"/>
      <c r="V5" s="95">
        <f>SUM(V16:V75)</f>
        <v>15401.77079603886</v>
      </c>
      <c r="W5" s="95">
        <f t="shared" ref="W5" si="0">SUM(W16:W77)</f>
        <v>5167.8153260295694</v>
      </c>
      <c r="X5" s="95">
        <f>SUM(X16:X75)</f>
        <v>0</v>
      </c>
      <c r="Y5" s="95">
        <f>SUM(Y16:Y75)</f>
        <v>0</v>
      </c>
      <c r="Z5" s="95">
        <f>SUM(Z16:Z75)</f>
        <v>0</v>
      </c>
      <c r="AA5" s="95">
        <f>SUM(AA16:AA75)</f>
        <v>0</v>
      </c>
      <c r="AB5" s="95">
        <f>SUM(AB16:AB75)</f>
        <v>5167.8153260295694</v>
      </c>
      <c r="AC5" s="95">
        <f>SUM(AC6:AC75)</f>
        <v>2106.2249999999999</v>
      </c>
      <c r="AD5" s="95">
        <f>SUM(AD16:AD75)</f>
        <v>300</v>
      </c>
      <c r="AE5" s="96">
        <f>SUM(AE16:AE75)</f>
        <v>129.08899906193622</v>
      </c>
      <c r="AF5" s="1"/>
      <c r="AG5" s="1"/>
      <c r="AH5" s="1"/>
      <c r="AI5" s="1"/>
    </row>
    <row r="6" spans="2:35" x14ac:dyDescent="0.2">
      <c r="B6" s="18"/>
      <c r="C6" s="25"/>
      <c r="D6" s="25"/>
      <c r="E6" s="23"/>
      <c r="F6" s="10"/>
      <c r="G6" s="37"/>
      <c r="H6" s="38"/>
      <c r="I6" s="38"/>
      <c r="J6" s="38"/>
      <c r="K6" s="38"/>
      <c r="L6" s="39"/>
      <c r="M6" s="1"/>
      <c r="N6" s="8"/>
      <c r="O6" s="87">
        <v>-10</v>
      </c>
      <c r="P6" s="76">
        <f t="shared" ref="P6:P15" si="1">Trafikstartår+O6</f>
        <v>2015</v>
      </c>
      <c r="Q6" s="52">
        <f>($D$9)^-($D$12-$D$10+O6)</f>
        <v>1.410598760621121</v>
      </c>
      <c r="R6" s="77"/>
      <c r="S6" s="77"/>
      <c r="T6" s="77"/>
      <c r="U6" s="77"/>
      <c r="V6" s="78"/>
      <c r="W6" s="78"/>
      <c r="X6" s="78"/>
      <c r="Y6" s="78"/>
      <c r="Z6" s="78"/>
      <c r="AA6" s="78"/>
      <c r="AB6" s="78"/>
      <c r="AC6" s="53">
        <f>D37*Q6</f>
        <v>0</v>
      </c>
      <c r="AD6" s="78"/>
      <c r="AE6" s="88"/>
      <c r="AF6" s="1"/>
      <c r="AG6" s="1"/>
      <c r="AH6" s="1"/>
      <c r="AI6" s="1"/>
    </row>
    <row r="7" spans="2:35" ht="13.5" thickBot="1" x14ac:dyDescent="0.25">
      <c r="B7" s="18"/>
      <c r="C7" s="19" t="s">
        <v>2</v>
      </c>
      <c r="D7" s="20"/>
      <c r="E7" s="21"/>
      <c r="F7" s="1"/>
      <c r="G7" s="37"/>
      <c r="H7" s="40" t="s">
        <v>4</v>
      </c>
      <c r="I7" s="41"/>
      <c r="J7" s="41">
        <f>V5</f>
        <v>15401.77079603886</v>
      </c>
      <c r="K7" s="42"/>
      <c r="L7" s="39"/>
      <c r="M7" s="1"/>
      <c r="N7" s="12"/>
      <c r="O7" s="87">
        <v>-9</v>
      </c>
      <c r="P7" s="76">
        <f t="shared" si="1"/>
        <v>2016</v>
      </c>
      <c r="Q7" s="52">
        <f t="shared" ref="Q7:Q15" si="2">($D$9)^-($D$12-$D$10+O7)</f>
        <v>1.3628973532571218</v>
      </c>
      <c r="R7" s="77"/>
      <c r="S7" s="77"/>
      <c r="T7" s="77"/>
      <c r="U7" s="77"/>
      <c r="V7" s="78"/>
      <c r="W7" s="78"/>
      <c r="X7" s="78"/>
      <c r="Y7" s="78"/>
      <c r="Z7" s="78"/>
      <c r="AA7" s="78"/>
      <c r="AB7" s="78"/>
      <c r="AC7" s="53">
        <f t="shared" ref="AC7:AC70" si="3">D38*Q7</f>
        <v>0</v>
      </c>
      <c r="AD7" s="78"/>
      <c r="AE7" s="88"/>
      <c r="AF7" s="1"/>
      <c r="AG7" s="1"/>
      <c r="AH7" s="1"/>
      <c r="AI7" s="1"/>
    </row>
    <row r="8" spans="2:35" x14ac:dyDescent="0.2">
      <c r="B8" s="18"/>
      <c r="C8" s="111" t="s">
        <v>1</v>
      </c>
      <c r="D8" s="112">
        <v>1.3</v>
      </c>
      <c r="E8" s="23"/>
      <c r="F8" s="1"/>
      <c r="G8" s="37"/>
      <c r="H8" s="40" t="s">
        <v>5</v>
      </c>
      <c r="I8" s="41"/>
      <c r="J8" s="41">
        <f>AB5</f>
        <v>5167.8153260295694</v>
      </c>
      <c r="K8" s="42"/>
      <c r="L8" s="39"/>
      <c r="M8" s="1"/>
      <c r="N8" s="12"/>
      <c r="O8" s="87">
        <v>-8</v>
      </c>
      <c r="P8" s="76">
        <f t="shared" si="1"/>
        <v>2017</v>
      </c>
      <c r="Q8" s="52">
        <f t="shared" si="2"/>
        <v>1.3168090369634029</v>
      </c>
      <c r="R8" s="77"/>
      <c r="S8" s="77"/>
      <c r="T8" s="77"/>
      <c r="U8" s="77"/>
      <c r="V8" s="78"/>
      <c r="W8" s="78"/>
      <c r="X8" s="78"/>
      <c r="Y8" s="78"/>
      <c r="Z8" s="78"/>
      <c r="AA8" s="78"/>
      <c r="AB8" s="78"/>
      <c r="AC8" s="53">
        <f t="shared" si="3"/>
        <v>0</v>
      </c>
      <c r="AD8" s="78"/>
      <c r="AE8" s="88"/>
      <c r="AF8" s="1"/>
      <c r="AG8" s="1"/>
      <c r="AH8" s="1"/>
      <c r="AI8" s="1"/>
    </row>
    <row r="9" spans="2:35" x14ac:dyDescent="0.2">
      <c r="B9" s="18"/>
      <c r="C9" s="113" t="s">
        <v>7</v>
      </c>
      <c r="D9" s="114">
        <v>1.0349999999999999</v>
      </c>
      <c r="E9" s="23"/>
      <c r="F9" s="1"/>
      <c r="G9" s="37"/>
      <c r="H9" s="43"/>
      <c r="I9" s="43"/>
      <c r="J9" s="43"/>
      <c r="K9" s="44"/>
      <c r="L9" s="39"/>
      <c r="M9" s="1"/>
      <c r="N9" s="12"/>
      <c r="O9" s="87">
        <v>-7</v>
      </c>
      <c r="P9" s="76">
        <f t="shared" si="1"/>
        <v>2018</v>
      </c>
      <c r="Q9" s="52">
        <f t="shared" si="2"/>
        <v>1.2722792627665731</v>
      </c>
      <c r="R9" s="77"/>
      <c r="S9" s="77"/>
      <c r="T9" s="77"/>
      <c r="U9" s="77"/>
      <c r="V9" s="78"/>
      <c r="W9" s="78"/>
      <c r="X9" s="78"/>
      <c r="Y9" s="78"/>
      <c r="Z9" s="78"/>
      <c r="AA9" s="78"/>
      <c r="AB9" s="78"/>
      <c r="AC9" s="53">
        <f t="shared" si="3"/>
        <v>0</v>
      </c>
      <c r="AD9" s="78"/>
      <c r="AE9" s="88"/>
      <c r="AF9" s="1"/>
      <c r="AG9" s="1"/>
      <c r="AH9" s="1"/>
      <c r="AI9" s="1"/>
    </row>
    <row r="10" spans="2:35" x14ac:dyDescent="0.2">
      <c r="B10" s="18"/>
      <c r="C10" s="113" t="s">
        <v>0</v>
      </c>
      <c r="D10" s="114">
        <v>2025</v>
      </c>
      <c r="E10" s="23"/>
      <c r="F10" s="1"/>
      <c r="G10" s="37"/>
      <c r="H10" s="40" t="s">
        <v>30</v>
      </c>
      <c r="I10" s="41"/>
      <c r="J10" s="41">
        <f>AC5*D8</f>
        <v>2738.0925000000002</v>
      </c>
      <c r="K10" s="40"/>
      <c r="L10" s="39"/>
      <c r="M10" s="1"/>
      <c r="N10" s="12"/>
      <c r="O10" s="87">
        <v>-6</v>
      </c>
      <c r="P10" s="76">
        <f t="shared" si="1"/>
        <v>2019</v>
      </c>
      <c r="Q10" s="52">
        <f t="shared" si="2"/>
        <v>1.2292553263445152</v>
      </c>
      <c r="R10" s="77"/>
      <c r="S10" s="77"/>
      <c r="T10" s="77"/>
      <c r="U10" s="77"/>
      <c r="V10" s="78"/>
      <c r="W10" s="78"/>
      <c r="X10" s="78"/>
      <c r="Y10" s="78"/>
      <c r="Z10" s="78"/>
      <c r="AA10" s="78"/>
      <c r="AB10" s="78"/>
      <c r="AC10" s="53">
        <f t="shared" si="3"/>
        <v>0</v>
      </c>
      <c r="AD10" s="78"/>
      <c r="AE10" s="88"/>
      <c r="AF10" s="1"/>
      <c r="AG10" s="1"/>
      <c r="AH10" s="1"/>
      <c r="AI10" s="1"/>
    </row>
    <row r="11" spans="2:35" x14ac:dyDescent="0.2">
      <c r="B11" s="18"/>
      <c r="C11" s="113" t="s">
        <v>25</v>
      </c>
      <c r="D11" s="114">
        <v>2017</v>
      </c>
      <c r="E11" s="23"/>
      <c r="F11" s="1"/>
      <c r="G11" s="37"/>
      <c r="H11" s="40" t="s">
        <v>31</v>
      </c>
      <c r="I11" s="41"/>
      <c r="J11" s="41">
        <f>AE5*D8</f>
        <v>167.8156987805171</v>
      </c>
      <c r="K11" s="40"/>
      <c r="L11" s="39"/>
      <c r="M11" s="1"/>
      <c r="N11" s="12"/>
      <c r="O11" s="87">
        <v>-5</v>
      </c>
      <c r="P11" s="76">
        <f t="shared" si="1"/>
        <v>2020</v>
      </c>
      <c r="Q11" s="52">
        <f t="shared" si="2"/>
        <v>1.1876863056468745</v>
      </c>
      <c r="R11" s="77"/>
      <c r="S11" s="77"/>
      <c r="T11" s="77"/>
      <c r="U11" s="77"/>
      <c r="V11" s="78"/>
      <c r="W11" s="78"/>
      <c r="X11" s="78"/>
      <c r="Y11" s="78"/>
      <c r="Z11" s="78"/>
      <c r="AA11" s="78"/>
      <c r="AB11" s="78"/>
      <c r="AC11" s="53">
        <f t="shared" si="3"/>
        <v>0</v>
      </c>
      <c r="AD11" s="78"/>
      <c r="AE11" s="88"/>
      <c r="AF11" s="1"/>
      <c r="AG11" s="1"/>
      <c r="AH11" s="1"/>
      <c r="AI11" s="1"/>
    </row>
    <row r="12" spans="2:35" x14ac:dyDescent="0.2">
      <c r="B12" s="18"/>
      <c r="C12" s="113" t="s">
        <v>26</v>
      </c>
      <c r="D12" s="114">
        <v>2025</v>
      </c>
      <c r="E12" s="23"/>
      <c r="F12" s="1"/>
      <c r="G12" s="37"/>
      <c r="H12" s="43"/>
      <c r="I12" s="38"/>
      <c r="J12" s="38"/>
      <c r="K12" s="43"/>
      <c r="L12" s="39"/>
      <c r="M12" s="1"/>
      <c r="N12" s="12"/>
      <c r="O12" s="87">
        <v>-4</v>
      </c>
      <c r="P12" s="76">
        <f t="shared" si="1"/>
        <v>2021</v>
      </c>
      <c r="Q12" s="52">
        <f t="shared" si="2"/>
        <v>1.1475230006249997</v>
      </c>
      <c r="R12" s="77"/>
      <c r="S12" s="77"/>
      <c r="T12" s="77"/>
      <c r="U12" s="77"/>
      <c r="V12" s="78"/>
      <c r="W12" s="78"/>
      <c r="X12" s="78"/>
      <c r="Y12" s="78"/>
      <c r="Z12" s="78"/>
      <c r="AA12" s="78"/>
      <c r="AB12" s="78"/>
      <c r="AC12" s="53">
        <f t="shared" si="3"/>
        <v>0</v>
      </c>
      <c r="AD12" s="78"/>
      <c r="AE12" s="88"/>
      <c r="AF12" s="1"/>
      <c r="AG12" s="1"/>
      <c r="AH12" s="1"/>
      <c r="AI12" s="1"/>
    </row>
    <row r="13" spans="2:35" x14ac:dyDescent="0.2">
      <c r="B13" s="18"/>
      <c r="C13" s="113"/>
      <c r="D13" s="114">
        <f>Trafikstartår+KALKYLPERIOD</f>
        <v>2085</v>
      </c>
      <c r="E13" s="23"/>
      <c r="F13" s="1"/>
      <c r="G13" s="37"/>
      <c r="H13" s="45" t="s">
        <v>22</v>
      </c>
      <c r="I13" s="41"/>
      <c r="J13" s="41">
        <f>J8-J10-J11</f>
        <v>2261.9071272490519</v>
      </c>
      <c r="K13" s="46"/>
      <c r="L13" s="39"/>
      <c r="M13" s="1"/>
      <c r="N13" s="12"/>
      <c r="O13" s="87">
        <v>-3</v>
      </c>
      <c r="P13" s="76">
        <f t="shared" si="1"/>
        <v>2022</v>
      </c>
      <c r="Q13" s="52">
        <f t="shared" si="2"/>
        <v>1.1087178749999997</v>
      </c>
      <c r="R13" s="77"/>
      <c r="S13" s="77"/>
      <c r="T13" s="77"/>
      <c r="U13" s="77"/>
      <c r="V13" s="78"/>
      <c r="W13" s="78"/>
      <c r="X13" s="78"/>
      <c r="Y13" s="78"/>
      <c r="Z13" s="78"/>
      <c r="AA13" s="78"/>
      <c r="AB13" s="78"/>
      <c r="AC13" s="53">
        <f t="shared" si="3"/>
        <v>0</v>
      </c>
      <c r="AD13" s="78"/>
      <c r="AE13" s="88"/>
      <c r="AF13" s="1"/>
      <c r="AG13" s="1"/>
      <c r="AH13" s="1"/>
      <c r="AI13" s="1"/>
    </row>
    <row r="14" spans="2:35" x14ac:dyDescent="0.2">
      <c r="B14" s="18"/>
      <c r="C14" s="113" t="s">
        <v>14</v>
      </c>
      <c r="D14" s="114">
        <v>1.0149999999999999</v>
      </c>
      <c r="E14" s="23"/>
      <c r="F14" s="1"/>
      <c r="G14" s="37"/>
      <c r="H14" s="40" t="s">
        <v>48</v>
      </c>
      <c r="I14" s="47"/>
      <c r="J14" s="47">
        <f>(J8-J10-J11)/(J11+J10)</f>
        <v>0.77838216919525371</v>
      </c>
      <c r="K14" s="46"/>
      <c r="L14" s="39"/>
      <c r="M14" s="1"/>
      <c r="N14" s="12"/>
      <c r="O14" s="87">
        <v>-2</v>
      </c>
      <c r="P14" s="76">
        <f t="shared" si="1"/>
        <v>2023</v>
      </c>
      <c r="Q14" s="52">
        <f t="shared" si="2"/>
        <v>1.0712249999999999</v>
      </c>
      <c r="R14" s="77"/>
      <c r="S14" s="77"/>
      <c r="T14" s="77"/>
      <c r="U14" s="77"/>
      <c r="V14" s="78"/>
      <c r="W14" s="78"/>
      <c r="X14" s="78"/>
      <c r="Y14" s="78"/>
      <c r="Z14" s="78"/>
      <c r="AA14" s="78"/>
      <c r="AB14" s="78"/>
      <c r="AC14" s="53">
        <f>D45*Q14</f>
        <v>1071.2249999999999</v>
      </c>
      <c r="AD14" s="78"/>
      <c r="AE14" s="88"/>
      <c r="AF14" s="1"/>
      <c r="AG14" s="1"/>
      <c r="AH14" s="1"/>
      <c r="AI14" s="1"/>
    </row>
    <row r="15" spans="2:35" ht="13.5" thickBot="1" x14ac:dyDescent="0.25">
      <c r="B15" s="18"/>
      <c r="C15" s="113" t="s">
        <v>52</v>
      </c>
      <c r="D15" s="114">
        <v>2040</v>
      </c>
      <c r="E15" s="23"/>
      <c r="F15" s="1"/>
      <c r="G15" s="48"/>
      <c r="H15" s="71"/>
      <c r="I15" s="72"/>
      <c r="J15" s="72"/>
      <c r="K15" s="73"/>
      <c r="L15" s="49"/>
      <c r="M15" s="1"/>
      <c r="N15" s="12"/>
      <c r="O15" s="87">
        <v>-1</v>
      </c>
      <c r="P15" s="76">
        <f t="shared" si="1"/>
        <v>2024</v>
      </c>
      <c r="Q15" s="52">
        <f t="shared" si="2"/>
        <v>1.0349999999999999</v>
      </c>
      <c r="R15" s="77"/>
      <c r="S15" s="77"/>
      <c r="T15" s="77"/>
      <c r="U15" s="77"/>
      <c r="V15" s="78"/>
      <c r="W15" s="78"/>
      <c r="X15" s="78"/>
      <c r="Y15" s="78"/>
      <c r="Z15" s="78"/>
      <c r="AA15" s="78"/>
      <c r="AB15" s="78"/>
      <c r="AC15" s="53">
        <f t="shared" si="3"/>
        <v>1035</v>
      </c>
      <c r="AD15" s="78"/>
      <c r="AE15" s="88"/>
      <c r="AF15" s="1"/>
      <c r="AG15" s="1"/>
      <c r="AH15" s="1"/>
      <c r="AI15" s="1"/>
    </row>
    <row r="16" spans="2:35" ht="15.75" x14ac:dyDescent="0.25">
      <c r="B16" s="18"/>
      <c r="C16" s="113" t="s">
        <v>46</v>
      </c>
      <c r="D16" s="115">
        <v>60</v>
      </c>
      <c r="E16" s="23"/>
      <c r="F16" s="1"/>
      <c r="G16" s="75"/>
      <c r="H16" s="74"/>
      <c r="I16" s="75"/>
      <c r="J16" s="75"/>
      <c r="K16" s="75"/>
      <c r="L16" s="75"/>
      <c r="M16" s="1"/>
      <c r="N16" s="12"/>
      <c r="O16" s="87">
        <v>0</v>
      </c>
      <c r="P16" s="76">
        <f t="shared" ref="P16:P47" si="4">Trafikstartår+O16</f>
        <v>2025</v>
      </c>
      <c r="Q16" s="52">
        <f>($D$9)^-($D$12-$D$10+O16)</f>
        <v>1</v>
      </c>
      <c r="R16" s="50">
        <f>IF(P16&lt;=$D$15,($D$17)^-($D$12-($D$12+O16)),IF(AND(P16&gt;$D$15,P16&lt;=$D$13),$R$31*$D$18^-($D$12-($D$12+(O16-15))),$R$56))</f>
        <v>1</v>
      </c>
      <c r="S16" s="119">
        <f>IF(P16&lt;=D19,($D$14)^((Diskonteringsår-$D$11)+O16),($D$14)^((Diskonteringsår-$D$11)+$O$56))</f>
        <v>1.1264925865953057</v>
      </c>
      <c r="T16" s="50">
        <f t="shared" ref="T16:T47" si="5">IF(O16&lt;(KALKYLPERIOD),R16*Q16,0)</f>
        <v>1</v>
      </c>
      <c r="U16" s="50">
        <f>S16*T16</f>
        <v>1.1264925865953057</v>
      </c>
      <c r="V16" s="53">
        <f>IF(O16&lt;KALKYLPERIOD,$D$31*R16*S16,0)</f>
        <v>112.64925865953057</v>
      </c>
      <c r="W16" s="53">
        <f>U16*D$21*D$22</f>
        <v>112.64925865953057</v>
      </c>
      <c r="X16" s="53">
        <f>U16*D$23*D$24</f>
        <v>0</v>
      </c>
      <c r="Y16" s="53">
        <f>U16*D$25*D$26</f>
        <v>0</v>
      </c>
      <c r="Z16" s="53">
        <f>U16*D$27*D$28</f>
        <v>0</v>
      </c>
      <c r="AA16" s="53">
        <f>T16*D$29*D$30</f>
        <v>0</v>
      </c>
      <c r="AB16" s="53">
        <f>SUM(W16:AA16)</f>
        <v>112.64925865953057</v>
      </c>
      <c r="AC16" s="53">
        <f>D47*Q16</f>
        <v>0</v>
      </c>
      <c r="AD16" s="53">
        <f t="shared" ref="AD16:AD47" si="6">IF(O16&lt;KALKYLPERIOD,$D$34,0)</f>
        <v>5</v>
      </c>
      <c r="AE16" s="89">
        <f>AD16*Q16</f>
        <v>5</v>
      </c>
      <c r="AF16" s="1"/>
      <c r="AG16" s="1"/>
      <c r="AH16" s="1"/>
      <c r="AI16" s="1"/>
    </row>
    <row r="17" spans="2:35" x14ac:dyDescent="0.2">
      <c r="B17" s="18"/>
      <c r="C17" s="113" t="s">
        <v>50</v>
      </c>
      <c r="D17" s="116">
        <v>1.01</v>
      </c>
      <c r="E17" s="23"/>
      <c r="F17" s="1"/>
      <c r="M17" s="1"/>
      <c r="N17" s="12"/>
      <c r="O17" s="87">
        <v>1</v>
      </c>
      <c r="P17" s="76">
        <f t="shared" si="4"/>
        <v>2026</v>
      </c>
      <c r="Q17" s="52">
        <f>($D$9)^-($D$12-$D$10+O17)</f>
        <v>0.96618357487922713</v>
      </c>
      <c r="R17" s="50">
        <f>IF(P17&lt;=$D$15,($D$17)^-($D$12-($D$12+O17)),IF(AND(P17&gt;$D$15,P17&lt;=$D$13),$R$31*$D$18^-($D$12-($D$12+(O17-15))),$R$56))</f>
        <v>1.01</v>
      </c>
      <c r="S17" s="50">
        <f t="shared" ref="S17:S75" si="7">($D$14)^((Diskonteringsår-$D$11)+O17)</f>
        <v>1.1433899753942351</v>
      </c>
      <c r="T17" s="50">
        <f t="shared" si="5"/>
        <v>0.97584541062801944</v>
      </c>
      <c r="U17" s="50">
        <f t="shared" ref="U17:U75" si="8">S17*T17</f>
        <v>1.1157718600465485</v>
      </c>
      <c r="V17" s="53">
        <f t="shared" ref="V17:V47" si="9">IF(O17&lt;KALKYLPERIOD,$D$31*R17*S17,0)</f>
        <v>115.48238751481775</v>
      </c>
      <c r="W17" s="53">
        <f t="shared" ref="W17:W47" si="10">U17*D$21*D$22</f>
        <v>111.57718600465485</v>
      </c>
      <c r="X17" s="53">
        <f t="shared" ref="X17:X47" si="11">U17*D$23*D$24</f>
        <v>0</v>
      </c>
      <c r="Y17" s="53">
        <f t="shared" ref="Y17:Y47" si="12">U17*D$25*D$26</f>
        <v>0</v>
      </c>
      <c r="Z17" s="53">
        <f t="shared" ref="Z17:Z47" si="13">U17*D$27*D$28</f>
        <v>0</v>
      </c>
      <c r="AA17" s="53">
        <f t="shared" ref="AA17:AA47" si="14">T17*D$29*D$30</f>
        <v>0</v>
      </c>
      <c r="AB17" s="53">
        <f t="shared" ref="AB17:AB75" si="15">SUM(W17:AA17)</f>
        <v>111.57718600465485</v>
      </c>
      <c r="AC17" s="53">
        <f t="shared" si="3"/>
        <v>0</v>
      </c>
      <c r="AD17" s="53">
        <f t="shared" si="6"/>
        <v>5</v>
      </c>
      <c r="AE17" s="89">
        <f t="shared" ref="AE17:AE75" si="16">AD17*Q17</f>
        <v>4.8309178743961354</v>
      </c>
      <c r="AF17" s="1"/>
      <c r="AG17" s="1"/>
      <c r="AH17" s="1"/>
      <c r="AI17" s="1"/>
    </row>
    <row r="18" spans="2:35" x14ac:dyDescent="0.2">
      <c r="B18" s="18"/>
      <c r="C18" s="113" t="s">
        <v>51</v>
      </c>
      <c r="D18" s="116">
        <v>1.01</v>
      </c>
      <c r="E18" s="23"/>
      <c r="F18" s="1"/>
      <c r="G18" s="1"/>
      <c r="H18" s="1"/>
      <c r="I18" s="1"/>
      <c r="J18" s="1"/>
      <c r="K18" s="1"/>
      <c r="L18" s="1"/>
      <c r="M18" s="1"/>
      <c r="N18" s="12"/>
      <c r="O18" s="87">
        <v>2</v>
      </c>
      <c r="P18" s="76">
        <f t="shared" si="4"/>
        <v>2027</v>
      </c>
      <c r="Q18" s="52">
        <f t="shared" ref="Q18:Q47" si="17">($D$9)^-($D$12-$D$10+O18)</f>
        <v>0.93351070036640305</v>
      </c>
      <c r="R18" s="50">
        <f t="shared" ref="R18:R75" si="18">IF(P18&lt;=$D$15,($D$17)^-($D$12-($D$12+O18)),IF(AND(P18&gt;$D$15,P18&lt;=$D$13),$R$31*$D$18^-($D$12-($D$12+(O18-15))),$R$56))</f>
        <v>1.0201</v>
      </c>
      <c r="S18" s="50">
        <f t="shared" si="7"/>
        <v>1.1605408250251485</v>
      </c>
      <c r="T18" s="50">
        <f t="shared" si="5"/>
        <v>0.9522742654437677</v>
      </c>
      <c r="U18" s="50">
        <f t="shared" si="8"/>
        <v>1.1051531616683274</v>
      </c>
      <c r="V18" s="53">
        <f t="shared" si="9"/>
        <v>118.38676956081541</v>
      </c>
      <c r="W18" s="53">
        <f t="shared" si="10"/>
        <v>110.51531616683275</v>
      </c>
      <c r="X18" s="53">
        <f t="shared" si="11"/>
        <v>0</v>
      </c>
      <c r="Y18" s="53">
        <f t="shared" si="12"/>
        <v>0</v>
      </c>
      <c r="Z18" s="53">
        <f t="shared" si="13"/>
        <v>0</v>
      </c>
      <c r="AA18" s="53">
        <f t="shared" si="14"/>
        <v>0</v>
      </c>
      <c r="AB18" s="53">
        <f t="shared" si="15"/>
        <v>110.51531616683275</v>
      </c>
      <c r="AC18" s="53">
        <f t="shared" si="3"/>
        <v>0</v>
      </c>
      <c r="AD18" s="53">
        <f t="shared" si="6"/>
        <v>5</v>
      </c>
      <c r="AE18" s="89">
        <f t="shared" si="16"/>
        <v>4.6675535018320149</v>
      </c>
      <c r="AF18" s="1"/>
      <c r="AG18" s="1"/>
      <c r="AH18" s="1"/>
      <c r="AI18" s="1"/>
    </row>
    <row r="19" spans="2:35" ht="13.5" thickBot="1" x14ac:dyDescent="0.25">
      <c r="B19" s="18"/>
      <c r="C19" s="117" t="s">
        <v>53</v>
      </c>
      <c r="D19" s="118">
        <v>2065</v>
      </c>
      <c r="E19" s="23"/>
      <c r="F19" s="1"/>
      <c r="G19" s="1"/>
      <c r="H19" s="1"/>
      <c r="I19" s="1"/>
      <c r="J19" s="1"/>
      <c r="K19" s="1"/>
      <c r="L19" s="1"/>
      <c r="M19" s="1"/>
      <c r="N19" s="12"/>
      <c r="O19" s="87">
        <v>3</v>
      </c>
      <c r="P19" s="76">
        <f t="shared" si="4"/>
        <v>2028</v>
      </c>
      <c r="Q19" s="52">
        <f t="shared" si="17"/>
        <v>0.90194270566802237</v>
      </c>
      <c r="R19" s="50">
        <f t="shared" si="18"/>
        <v>1.0303009999999999</v>
      </c>
      <c r="S19" s="50">
        <f t="shared" si="7"/>
        <v>1.1779489374005256</v>
      </c>
      <c r="T19" s="50">
        <f t="shared" si="5"/>
        <v>0.92927247159246906</v>
      </c>
      <c r="U19" s="50">
        <f t="shared" si="8"/>
        <v>1.094635520467909</v>
      </c>
      <c r="V19" s="53">
        <f t="shared" si="9"/>
        <v>121.36419681526989</v>
      </c>
      <c r="W19" s="53">
        <f t="shared" si="10"/>
        <v>109.46355204679091</v>
      </c>
      <c r="X19" s="53">
        <f t="shared" si="11"/>
        <v>0</v>
      </c>
      <c r="Y19" s="53">
        <f t="shared" si="12"/>
        <v>0</v>
      </c>
      <c r="Z19" s="53">
        <f t="shared" si="13"/>
        <v>0</v>
      </c>
      <c r="AA19" s="53">
        <f t="shared" si="14"/>
        <v>0</v>
      </c>
      <c r="AB19" s="53">
        <f t="shared" si="15"/>
        <v>109.46355204679091</v>
      </c>
      <c r="AC19" s="53">
        <f t="shared" si="3"/>
        <v>0</v>
      </c>
      <c r="AD19" s="53">
        <f t="shared" si="6"/>
        <v>5</v>
      </c>
      <c r="AE19" s="89">
        <f t="shared" si="16"/>
        <v>4.5097135283401117</v>
      </c>
      <c r="AF19" s="1"/>
      <c r="AG19" s="1"/>
      <c r="AH19" s="1"/>
      <c r="AI19" s="1"/>
    </row>
    <row r="20" spans="2:35" ht="13.5" thickBot="1" x14ac:dyDescent="0.25">
      <c r="B20" s="18"/>
      <c r="C20" s="19" t="s">
        <v>54</v>
      </c>
      <c r="D20" s="20"/>
      <c r="E20" s="23"/>
      <c r="F20" s="1"/>
      <c r="G20" s="1"/>
      <c r="H20" s="1"/>
      <c r="I20" s="1"/>
      <c r="J20" s="1"/>
      <c r="K20" s="1"/>
      <c r="L20" s="1"/>
      <c r="M20" s="1"/>
      <c r="N20" s="12"/>
      <c r="O20" s="87">
        <v>4</v>
      </c>
      <c r="P20" s="76">
        <f t="shared" si="4"/>
        <v>2029</v>
      </c>
      <c r="Q20" s="52">
        <f t="shared" si="17"/>
        <v>0.87144222769857238</v>
      </c>
      <c r="R20" s="50">
        <f t="shared" si="18"/>
        <v>1.04060401</v>
      </c>
      <c r="S20" s="50">
        <f t="shared" si="7"/>
        <v>1.1956181714615333</v>
      </c>
      <c r="T20" s="50">
        <f t="shared" si="5"/>
        <v>0.90682627662646753</v>
      </c>
      <c r="U20" s="50">
        <f t="shared" si="8"/>
        <v>1.0842179746934077</v>
      </c>
      <c r="V20" s="53">
        <f t="shared" si="9"/>
        <v>124.4165063651739</v>
      </c>
      <c r="W20" s="53">
        <f t="shared" si="10"/>
        <v>108.42179746934077</v>
      </c>
      <c r="X20" s="53">
        <f t="shared" si="11"/>
        <v>0</v>
      </c>
      <c r="Y20" s="53">
        <f t="shared" si="12"/>
        <v>0</v>
      </c>
      <c r="Z20" s="53">
        <f t="shared" si="13"/>
        <v>0</v>
      </c>
      <c r="AA20" s="53">
        <f t="shared" si="14"/>
        <v>0</v>
      </c>
      <c r="AB20" s="53">
        <f t="shared" si="15"/>
        <v>108.42179746934077</v>
      </c>
      <c r="AC20" s="53">
        <f t="shared" si="3"/>
        <v>0</v>
      </c>
      <c r="AD20" s="53">
        <f t="shared" si="6"/>
        <v>5</v>
      </c>
      <c r="AE20" s="89">
        <f t="shared" si="16"/>
        <v>4.357211138492862</v>
      </c>
      <c r="AF20" s="1"/>
      <c r="AG20" s="1"/>
      <c r="AH20" s="1"/>
      <c r="AI20" s="1"/>
    </row>
    <row r="21" spans="2:35" x14ac:dyDescent="0.2">
      <c r="B21" s="18"/>
      <c r="C21" s="62" t="s">
        <v>16</v>
      </c>
      <c r="D21" s="58">
        <v>100</v>
      </c>
      <c r="E21" s="23"/>
      <c r="F21" s="10"/>
      <c r="G21" s="1"/>
      <c r="H21" s="1"/>
      <c r="I21" s="1"/>
      <c r="J21" s="1"/>
      <c r="K21" s="1"/>
      <c r="L21" s="1"/>
      <c r="M21" s="1"/>
      <c r="N21" s="12"/>
      <c r="O21" s="87">
        <v>5</v>
      </c>
      <c r="P21" s="76">
        <f t="shared" si="4"/>
        <v>2030</v>
      </c>
      <c r="Q21" s="52">
        <f t="shared" si="17"/>
        <v>0.84197316685852419</v>
      </c>
      <c r="R21" s="50">
        <f t="shared" si="18"/>
        <v>1.0510100500999999</v>
      </c>
      <c r="S21" s="50">
        <f t="shared" si="7"/>
        <v>1.2135524440334562</v>
      </c>
      <c r="T21" s="50">
        <f t="shared" si="5"/>
        <v>0.88492226028283316</v>
      </c>
      <c r="U21" s="50">
        <f t="shared" si="8"/>
        <v>1.0738995717458424</v>
      </c>
      <c r="V21" s="53">
        <f t="shared" si="9"/>
        <v>127.54558150025802</v>
      </c>
      <c r="W21" s="53">
        <f t="shared" si="10"/>
        <v>107.38995717458424</v>
      </c>
      <c r="X21" s="53">
        <f t="shared" si="11"/>
        <v>0</v>
      </c>
      <c r="Y21" s="53">
        <f t="shared" si="12"/>
        <v>0</v>
      </c>
      <c r="Z21" s="53">
        <f t="shared" si="13"/>
        <v>0</v>
      </c>
      <c r="AA21" s="53">
        <f t="shared" si="14"/>
        <v>0</v>
      </c>
      <c r="AB21" s="53">
        <f t="shared" si="15"/>
        <v>107.38995717458424</v>
      </c>
      <c r="AC21" s="53">
        <f t="shared" si="3"/>
        <v>0</v>
      </c>
      <c r="AD21" s="53">
        <f t="shared" si="6"/>
        <v>5</v>
      </c>
      <c r="AE21" s="89">
        <f t="shared" si="16"/>
        <v>4.2098658342926214</v>
      </c>
      <c r="AF21" s="1"/>
      <c r="AG21" s="1"/>
      <c r="AH21" s="1"/>
      <c r="AI21" s="1"/>
    </row>
    <row r="22" spans="2:35" x14ac:dyDescent="0.2">
      <c r="B22" s="18"/>
      <c r="C22" s="98" t="s">
        <v>10</v>
      </c>
      <c r="D22" s="59">
        <v>1</v>
      </c>
      <c r="E22" s="23"/>
      <c r="F22" s="1"/>
      <c r="G22" s="1"/>
      <c r="H22" s="1"/>
      <c r="I22" s="1"/>
      <c r="J22" s="1"/>
      <c r="K22" s="1"/>
      <c r="L22" s="1"/>
      <c r="M22" s="1"/>
      <c r="N22" s="12"/>
      <c r="O22" s="87">
        <v>6</v>
      </c>
      <c r="P22" s="76">
        <f t="shared" si="4"/>
        <v>2031</v>
      </c>
      <c r="Q22" s="52">
        <f t="shared" si="17"/>
        <v>0.81350064430775282</v>
      </c>
      <c r="R22" s="50">
        <f t="shared" si="18"/>
        <v>1.0615201506010001</v>
      </c>
      <c r="S22" s="50">
        <f t="shared" si="7"/>
        <v>1.2317557306939577</v>
      </c>
      <c r="T22" s="50">
        <f t="shared" si="5"/>
        <v>0.86354732645957644</v>
      </c>
      <c r="U22" s="50">
        <f t="shared" si="8"/>
        <v>1.0636793680920291</v>
      </c>
      <c r="V22" s="53">
        <f t="shared" si="9"/>
        <v>130.7533528749895</v>
      </c>
      <c r="W22" s="53">
        <f t="shared" si="10"/>
        <v>106.36793680920292</v>
      </c>
      <c r="X22" s="53">
        <f t="shared" si="11"/>
        <v>0</v>
      </c>
      <c r="Y22" s="53">
        <f t="shared" si="12"/>
        <v>0</v>
      </c>
      <c r="Z22" s="53">
        <f t="shared" si="13"/>
        <v>0</v>
      </c>
      <c r="AA22" s="53">
        <f t="shared" si="14"/>
        <v>0</v>
      </c>
      <c r="AB22" s="53">
        <f t="shared" si="15"/>
        <v>106.36793680920292</v>
      </c>
      <c r="AC22" s="53">
        <f t="shared" si="3"/>
        <v>0</v>
      </c>
      <c r="AD22" s="53">
        <f t="shared" si="6"/>
        <v>5</v>
      </c>
      <c r="AE22" s="89">
        <f t="shared" si="16"/>
        <v>4.0675032215387645</v>
      </c>
      <c r="AF22" s="1"/>
      <c r="AG22" s="1"/>
      <c r="AH22" s="1"/>
      <c r="AI22" s="1"/>
    </row>
    <row r="23" spans="2:35" x14ac:dyDescent="0.2">
      <c r="B23" s="18"/>
      <c r="C23" s="63" t="s">
        <v>17</v>
      </c>
      <c r="D23" s="60">
        <v>0</v>
      </c>
      <c r="E23" s="23"/>
      <c r="F23" s="1"/>
      <c r="G23" s="1"/>
      <c r="H23" s="1"/>
      <c r="I23" s="1"/>
      <c r="J23" s="1"/>
      <c r="K23" s="1"/>
      <c r="L23" s="1"/>
      <c r="M23" s="1"/>
      <c r="N23" s="12"/>
      <c r="O23" s="87">
        <v>7</v>
      </c>
      <c r="P23" s="76">
        <f t="shared" si="4"/>
        <v>2032</v>
      </c>
      <c r="Q23" s="52">
        <f t="shared" si="17"/>
        <v>0.78599096068381913</v>
      </c>
      <c r="R23" s="50">
        <f t="shared" si="18"/>
        <v>1.0721353521070098</v>
      </c>
      <c r="S23" s="50">
        <f t="shared" si="7"/>
        <v>1.2502320666543669</v>
      </c>
      <c r="T23" s="50">
        <f t="shared" si="5"/>
        <v>0.84268869538567337</v>
      </c>
      <c r="U23" s="50">
        <f t="shared" si="8"/>
        <v>1.0535564291783026</v>
      </c>
      <c r="V23" s="53">
        <f t="shared" si="9"/>
        <v>134.04179969979543</v>
      </c>
      <c r="W23" s="53">
        <f t="shared" si="10"/>
        <v>105.35564291783027</v>
      </c>
      <c r="X23" s="53">
        <f t="shared" si="11"/>
        <v>0</v>
      </c>
      <c r="Y23" s="53">
        <f t="shared" si="12"/>
        <v>0</v>
      </c>
      <c r="Z23" s="53">
        <f t="shared" si="13"/>
        <v>0</v>
      </c>
      <c r="AA23" s="53">
        <f t="shared" si="14"/>
        <v>0</v>
      </c>
      <c r="AB23" s="53">
        <f t="shared" si="15"/>
        <v>105.35564291783027</v>
      </c>
      <c r="AC23" s="53">
        <f t="shared" si="3"/>
        <v>0</v>
      </c>
      <c r="AD23" s="53">
        <f t="shared" si="6"/>
        <v>5</v>
      </c>
      <c r="AE23" s="89">
        <f t="shared" si="16"/>
        <v>3.9299548034190956</v>
      </c>
      <c r="AF23" s="1"/>
      <c r="AG23" s="1"/>
      <c r="AH23" s="1"/>
      <c r="AI23" s="1"/>
    </row>
    <row r="24" spans="2:35" x14ac:dyDescent="0.2">
      <c r="B24" s="18"/>
      <c r="C24" s="98" t="s">
        <v>9</v>
      </c>
      <c r="D24" s="59">
        <v>1</v>
      </c>
      <c r="E24" s="23"/>
      <c r="F24" s="1"/>
      <c r="G24" s="1"/>
      <c r="H24" s="1"/>
      <c r="I24" s="1"/>
      <c r="J24" s="1"/>
      <c r="K24" s="1"/>
      <c r="L24" s="1"/>
      <c r="M24" s="1"/>
      <c r="N24" s="13"/>
      <c r="O24" s="87">
        <v>8</v>
      </c>
      <c r="P24" s="76">
        <f t="shared" si="4"/>
        <v>2033</v>
      </c>
      <c r="Q24" s="52">
        <f t="shared" si="17"/>
        <v>0.75941155621625056</v>
      </c>
      <c r="R24" s="50">
        <f t="shared" si="18"/>
        <v>1.0828567056280802</v>
      </c>
      <c r="S24" s="50">
        <f t="shared" si="7"/>
        <v>1.2689855476541823</v>
      </c>
      <c r="T24" s="50">
        <f t="shared" si="5"/>
        <v>0.82233389598022277</v>
      </c>
      <c r="U24" s="50">
        <f t="shared" si="8"/>
        <v>1.0435298293450603</v>
      </c>
      <c r="V24" s="53">
        <f t="shared" si="9"/>
        <v>137.4129509622453</v>
      </c>
      <c r="W24" s="53">
        <f t="shared" si="10"/>
        <v>104.35298293450603</v>
      </c>
      <c r="X24" s="53">
        <f t="shared" si="11"/>
        <v>0</v>
      </c>
      <c r="Y24" s="53">
        <f t="shared" si="12"/>
        <v>0</v>
      </c>
      <c r="Z24" s="53">
        <f t="shared" si="13"/>
        <v>0</v>
      </c>
      <c r="AA24" s="53">
        <f t="shared" si="14"/>
        <v>0</v>
      </c>
      <c r="AB24" s="53">
        <f t="shared" si="15"/>
        <v>104.35298293450603</v>
      </c>
      <c r="AC24" s="53">
        <f t="shared" si="3"/>
        <v>0</v>
      </c>
      <c r="AD24" s="53">
        <f t="shared" si="6"/>
        <v>5</v>
      </c>
      <c r="AE24" s="89">
        <f t="shared" si="16"/>
        <v>3.7970577810812527</v>
      </c>
      <c r="AF24" s="1"/>
      <c r="AG24" s="1"/>
      <c r="AH24" s="1"/>
      <c r="AI24" s="1"/>
    </row>
    <row r="25" spans="2:35" x14ac:dyDescent="0.2">
      <c r="B25" s="18"/>
      <c r="C25" s="63" t="s">
        <v>18</v>
      </c>
      <c r="D25" s="60">
        <v>0</v>
      </c>
      <c r="E25" s="23"/>
      <c r="F25" s="1"/>
      <c r="G25" s="1"/>
      <c r="H25" s="1"/>
      <c r="I25" s="1"/>
      <c r="J25" s="1"/>
      <c r="K25" s="1"/>
      <c r="L25" s="1"/>
      <c r="M25" s="1"/>
      <c r="N25" s="1"/>
      <c r="O25" s="87">
        <v>9</v>
      </c>
      <c r="P25" s="76">
        <f t="shared" si="4"/>
        <v>2034</v>
      </c>
      <c r="Q25" s="52">
        <f t="shared" si="17"/>
        <v>0.73373097218961414</v>
      </c>
      <c r="R25" s="50">
        <f t="shared" si="18"/>
        <v>1.0936852726843611</v>
      </c>
      <c r="S25" s="50">
        <f t="shared" si="7"/>
        <v>1.2880203308689948</v>
      </c>
      <c r="T25" s="50">
        <f t="shared" si="5"/>
        <v>0.80247075839615956</v>
      </c>
      <c r="U25" s="50">
        <f t="shared" si="8"/>
        <v>1.0335986517421147</v>
      </c>
      <c r="V25" s="53">
        <f t="shared" si="9"/>
        <v>140.86888667894576</v>
      </c>
      <c r="W25" s="53">
        <f t="shared" si="10"/>
        <v>103.35986517421148</v>
      </c>
      <c r="X25" s="53">
        <f t="shared" si="11"/>
        <v>0</v>
      </c>
      <c r="Y25" s="53">
        <f t="shared" si="12"/>
        <v>0</v>
      </c>
      <c r="Z25" s="53">
        <f t="shared" si="13"/>
        <v>0</v>
      </c>
      <c r="AA25" s="53">
        <f t="shared" si="14"/>
        <v>0</v>
      </c>
      <c r="AB25" s="53">
        <f t="shared" si="15"/>
        <v>103.35986517421148</v>
      </c>
      <c r="AC25" s="53">
        <f t="shared" si="3"/>
        <v>0</v>
      </c>
      <c r="AD25" s="53">
        <f t="shared" si="6"/>
        <v>5</v>
      </c>
      <c r="AE25" s="89">
        <f t="shared" si="16"/>
        <v>3.6686548609480707</v>
      </c>
      <c r="AF25" s="1"/>
      <c r="AG25" s="1"/>
      <c r="AH25" s="1"/>
      <c r="AI25" s="1"/>
    </row>
    <row r="26" spans="2:35" x14ac:dyDescent="0.2">
      <c r="B26" s="18"/>
      <c r="C26" s="98" t="s">
        <v>11</v>
      </c>
      <c r="D26" s="59">
        <v>1</v>
      </c>
      <c r="E26" s="23"/>
      <c r="F26" s="1"/>
      <c r="H26" s="1"/>
      <c r="J26" s="1"/>
      <c r="O26" s="87">
        <v>10</v>
      </c>
      <c r="P26" s="76">
        <f t="shared" si="4"/>
        <v>2035</v>
      </c>
      <c r="Q26" s="52">
        <f t="shared" si="17"/>
        <v>0.70891881370977217</v>
      </c>
      <c r="R26" s="50">
        <f t="shared" si="18"/>
        <v>1.1046221254112047</v>
      </c>
      <c r="S26" s="50">
        <f t="shared" si="7"/>
        <v>1.3073406358320296</v>
      </c>
      <c r="T26" s="50">
        <f t="shared" si="5"/>
        <v>0.7830874067440784</v>
      </c>
      <c r="U26" s="50">
        <f t="shared" si="8"/>
        <v>1.0237619882448588</v>
      </c>
      <c r="V26" s="53">
        <f t="shared" si="9"/>
        <v>144.41173917892124</v>
      </c>
      <c r="W26" s="53">
        <f t="shared" si="10"/>
        <v>102.37619882448587</v>
      </c>
      <c r="X26" s="53">
        <f t="shared" si="11"/>
        <v>0</v>
      </c>
      <c r="Y26" s="53">
        <f t="shared" si="12"/>
        <v>0</v>
      </c>
      <c r="Z26" s="53">
        <f t="shared" si="13"/>
        <v>0</v>
      </c>
      <c r="AA26" s="53">
        <f t="shared" si="14"/>
        <v>0</v>
      </c>
      <c r="AB26" s="53">
        <f t="shared" si="15"/>
        <v>102.37619882448587</v>
      </c>
      <c r="AC26" s="53">
        <f t="shared" si="3"/>
        <v>0</v>
      </c>
      <c r="AD26" s="53">
        <f t="shared" si="6"/>
        <v>5</v>
      </c>
      <c r="AE26" s="89">
        <f t="shared" si="16"/>
        <v>3.5445940685488608</v>
      </c>
      <c r="AF26" s="1"/>
      <c r="AG26" s="1"/>
      <c r="AH26" s="1"/>
      <c r="AI26" s="1"/>
    </row>
    <row r="27" spans="2:35" x14ac:dyDescent="0.2">
      <c r="B27" s="18"/>
      <c r="C27" s="63" t="s">
        <v>19</v>
      </c>
      <c r="D27" s="60">
        <v>0</v>
      </c>
      <c r="E27" s="23"/>
      <c r="F27" s="1"/>
      <c r="H27" s="1"/>
      <c r="J27" s="1"/>
      <c r="O27" s="87">
        <v>11</v>
      </c>
      <c r="P27" s="76">
        <f t="shared" si="4"/>
        <v>2036</v>
      </c>
      <c r="Q27" s="52">
        <f t="shared" si="17"/>
        <v>0.68494571372924851</v>
      </c>
      <c r="R27" s="50">
        <f t="shared" si="18"/>
        <v>1.1156683466653166</v>
      </c>
      <c r="S27" s="50">
        <f t="shared" si="7"/>
        <v>1.32695074536951</v>
      </c>
      <c r="T27" s="50">
        <f t="shared" si="5"/>
        <v>0.76417225199180594</v>
      </c>
      <c r="U27" s="50">
        <f t="shared" si="8"/>
        <v>1.0140189393712238</v>
      </c>
      <c r="V27" s="53">
        <f t="shared" si="9"/>
        <v>148.04369441927108</v>
      </c>
      <c r="W27" s="53">
        <f t="shared" si="10"/>
        <v>101.40189393712238</v>
      </c>
      <c r="X27" s="53">
        <f t="shared" si="11"/>
        <v>0</v>
      </c>
      <c r="Y27" s="53">
        <f t="shared" si="12"/>
        <v>0</v>
      </c>
      <c r="Z27" s="53">
        <f t="shared" si="13"/>
        <v>0</v>
      </c>
      <c r="AA27" s="53">
        <f t="shared" si="14"/>
        <v>0</v>
      </c>
      <c r="AB27" s="53">
        <f t="shared" si="15"/>
        <v>101.40189393712238</v>
      </c>
      <c r="AC27" s="53">
        <f t="shared" si="3"/>
        <v>0</v>
      </c>
      <c r="AD27" s="53">
        <f t="shared" si="6"/>
        <v>5</v>
      </c>
      <c r="AE27" s="89">
        <f t="shared" si="16"/>
        <v>3.4247285686462425</v>
      </c>
      <c r="AF27" s="1"/>
      <c r="AG27" s="1"/>
      <c r="AH27" s="1"/>
      <c r="AI27" s="1"/>
    </row>
    <row r="28" spans="2:35" x14ac:dyDescent="0.2">
      <c r="B28" s="18"/>
      <c r="C28" s="98" t="s">
        <v>12</v>
      </c>
      <c r="D28" s="59">
        <v>1</v>
      </c>
      <c r="E28" s="23"/>
      <c r="F28" s="1"/>
      <c r="H28" s="1"/>
      <c r="J28" s="1"/>
      <c r="O28" s="87">
        <v>12</v>
      </c>
      <c r="P28" s="76">
        <f t="shared" si="4"/>
        <v>2037</v>
      </c>
      <c r="Q28" s="52">
        <f t="shared" si="17"/>
        <v>0.66178329828912896</v>
      </c>
      <c r="R28" s="50">
        <f t="shared" si="18"/>
        <v>1.1268250301319698</v>
      </c>
      <c r="S28" s="50">
        <f t="shared" si="7"/>
        <v>1.3468550065500522</v>
      </c>
      <c r="T28" s="50">
        <f t="shared" si="5"/>
        <v>0.74571398503548203</v>
      </c>
      <c r="U28" s="50">
        <f t="shared" si="8"/>
        <v>1.0043686141994297</v>
      </c>
      <c r="V28" s="53">
        <f t="shared" si="9"/>
        <v>151.76699333391568</v>
      </c>
      <c r="W28" s="53">
        <f t="shared" si="10"/>
        <v>100.43686141994297</v>
      </c>
      <c r="X28" s="53">
        <f t="shared" si="11"/>
        <v>0</v>
      </c>
      <c r="Y28" s="53">
        <f t="shared" si="12"/>
        <v>0</v>
      </c>
      <c r="Z28" s="53">
        <f t="shared" si="13"/>
        <v>0</v>
      </c>
      <c r="AA28" s="53">
        <f t="shared" si="14"/>
        <v>0</v>
      </c>
      <c r="AB28" s="53">
        <f t="shared" si="15"/>
        <v>100.43686141994297</v>
      </c>
      <c r="AC28" s="53">
        <f t="shared" si="3"/>
        <v>0</v>
      </c>
      <c r="AD28" s="53">
        <f t="shared" si="6"/>
        <v>5</v>
      </c>
      <c r="AE28" s="89">
        <f t="shared" si="16"/>
        <v>3.308916491445645</v>
      </c>
      <c r="AF28" s="1"/>
      <c r="AG28" s="1"/>
      <c r="AH28" s="1"/>
      <c r="AI28" s="1"/>
    </row>
    <row r="29" spans="2:35" x14ac:dyDescent="0.2">
      <c r="B29" s="18"/>
      <c r="C29" s="63" t="s">
        <v>23</v>
      </c>
      <c r="D29" s="60">
        <v>0</v>
      </c>
      <c r="E29" s="23"/>
      <c r="F29" s="1"/>
      <c r="G29" s="1"/>
      <c r="H29" s="1"/>
      <c r="I29" s="1"/>
      <c r="J29" s="1"/>
      <c r="O29" s="87">
        <v>13</v>
      </c>
      <c r="P29" s="76">
        <f t="shared" si="4"/>
        <v>2038</v>
      </c>
      <c r="Q29" s="52">
        <f t="shared" si="17"/>
        <v>0.63940415293635666</v>
      </c>
      <c r="R29" s="50">
        <f t="shared" si="18"/>
        <v>1.1380932804332895</v>
      </c>
      <c r="S29" s="50">
        <f t="shared" si="7"/>
        <v>1.3670578316483029</v>
      </c>
      <c r="T29" s="50">
        <f t="shared" si="5"/>
        <v>0.72770156993800694</v>
      </c>
      <c r="U29" s="50">
        <f t="shared" si="8"/>
        <v>0.99481013028651755</v>
      </c>
      <c r="V29" s="53">
        <f t="shared" si="9"/>
        <v>155.58393321626366</v>
      </c>
      <c r="W29" s="53">
        <f t="shared" si="10"/>
        <v>99.481013028651759</v>
      </c>
      <c r="X29" s="53">
        <f t="shared" si="11"/>
        <v>0</v>
      </c>
      <c r="Y29" s="53">
        <f t="shared" si="12"/>
        <v>0</v>
      </c>
      <c r="Z29" s="53">
        <f t="shared" si="13"/>
        <v>0</v>
      </c>
      <c r="AA29" s="53">
        <f t="shared" si="14"/>
        <v>0</v>
      </c>
      <c r="AB29" s="53">
        <f t="shared" si="15"/>
        <v>99.481013028651759</v>
      </c>
      <c r="AC29" s="53">
        <f t="shared" si="3"/>
        <v>0</v>
      </c>
      <c r="AD29" s="53">
        <f t="shared" si="6"/>
        <v>5</v>
      </c>
      <c r="AE29" s="89">
        <f t="shared" si="16"/>
        <v>3.1970207646817834</v>
      </c>
      <c r="AF29" s="1"/>
      <c r="AG29" s="1"/>
      <c r="AH29" s="1"/>
      <c r="AI29" s="1"/>
    </row>
    <row r="30" spans="2:35" ht="13.5" thickBot="1" x14ac:dyDescent="0.25">
      <c r="B30" s="18"/>
      <c r="C30" s="99" t="s">
        <v>15</v>
      </c>
      <c r="D30" s="61">
        <v>1</v>
      </c>
      <c r="E30" s="23"/>
      <c r="F30" s="1"/>
      <c r="G30" s="2"/>
      <c r="H30" s="1"/>
      <c r="I30" s="1"/>
      <c r="J30" s="1"/>
      <c r="O30" s="87">
        <v>14</v>
      </c>
      <c r="P30" s="76">
        <f t="shared" si="4"/>
        <v>2039</v>
      </c>
      <c r="Q30" s="52">
        <f t="shared" si="17"/>
        <v>0.61778179027667302</v>
      </c>
      <c r="R30" s="50">
        <f t="shared" si="18"/>
        <v>1.1494742132376226</v>
      </c>
      <c r="S30" s="50">
        <f t="shared" si="7"/>
        <v>1.3875636991230271</v>
      </c>
      <c r="T30" s="50">
        <f t="shared" si="5"/>
        <v>0.71012423733080865</v>
      </c>
      <c r="U30" s="50">
        <f t="shared" si="8"/>
        <v>0.98534261358765529</v>
      </c>
      <c r="V30" s="53">
        <f t="shared" si="9"/>
        <v>159.49686913665269</v>
      </c>
      <c r="W30" s="53">
        <f t="shared" si="10"/>
        <v>98.534261358765534</v>
      </c>
      <c r="X30" s="53">
        <f t="shared" si="11"/>
        <v>0</v>
      </c>
      <c r="Y30" s="53">
        <f t="shared" si="12"/>
        <v>0</v>
      </c>
      <c r="Z30" s="53">
        <f t="shared" si="13"/>
        <v>0</v>
      </c>
      <c r="AA30" s="53">
        <f t="shared" si="14"/>
        <v>0</v>
      </c>
      <c r="AB30" s="53">
        <f t="shared" si="15"/>
        <v>98.534261358765534</v>
      </c>
      <c r="AC30" s="53">
        <f t="shared" si="3"/>
        <v>0</v>
      </c>
      <c r="AD30" s="53">
        <f t="shared" si="6"/>
        <v>5</v>
      </c>
      <c r="AE30" s="89">
        <f t="shared" si="16"/>
        <v>3.088908951383365</v>
      </c>
      <c r="AF30" s="1"/>
      <c r="AG30" s="1"/>
      <c r="AH30" s="1"/>
      <c r="AI30" s="1"/>
    </row>
    <row r="31" spans="2:35" ht="13.5" thickBot="1" x14ac:dyDescent="0.25">
      <c r="B31" s="18"/>
      <c r="C31" s="64" t="s">
        <v>8</v>
      </c>
      <c r="D31" s="65">
        <f>D21*D22+D23*D24+D25*D26+D27*D28+D29*D30</f>
        <v>100</v>
      </c>
      <c r="E31" s="23"/>
      <c r="F31" s="1"/>
      <c r="G31" s="2"/>
      <c r="H31" s="11"/>
      <c r="I31" s="1"/>
      <c r="J31" s="1"/>
      <c r="O31" s="87">
        <v>15</v>
      </c>
      <c r="P31" s="76">
        <f t="shared" si="4"/>
        <v>2040</v>
      </c>
      <c r="Q31" s="52">
        <f t="shared" si="17"/>
        <v>0.59689061862480497</v>
      </c>
      <c r="R31" s="50">
        <f t="shared" si="18"/>
        <v>1.1609689553699984</v>
      </c>
      <c r="S31" s="50">
        <f t="shared" si="7"/>
        <v>1.4083771546098725</v>
      </c>
      <c r="T31" s="50">
        <f t="shared" si="5"/>
        <v>0.69297147797499192</v>
      </c>
      <c r="U31" s="50">
        <f t="shared" si="8"/>
        <v>0.97596519837621698</v>
      </c>
      <c r="V31" s="53">
        <f t="shared" si="9"/>
        <v>163.50821539543944</v>
      </c>
      <c r="W31" s="53">
        <f t="shared" si="10"/>
        <v>97.596519837621699</v>
      </c>
      <c r="X31" s="53">
        <f t="shared" si="11"/>
        <v>0</v>
      </c>
      <c r="Y31" s="53">
        <f t="shared" si="12"/>
        <v>0</v>
      </c>
      <c r="Z31" s="53">
        <f t="shared" si="13"/>
        <v>0</v>
      </c>
      <c r="AA31" s="53">
        <f t="shared" si="14"/>
        <v>0</v>
      </c>
      <c r="AB31" s="53">
        <f t="shared" si="15"/>
        <v>97.596519837621699</v>
      </c>
      <c r="AC31" s="53">
        <f t="shared" si="3"/>
        <v>0</v>
      </c>
      <c r="AD31" s="53">
        <f t="shared" si="6"/>
        <v>5</v>
      </c>
      <c r="AE31" s="89">
        <f t="shared" si="16"/>
        <v>2.9844530931240247</v>
      </c>
      <c r="AF31" s="1"/>
      <c r="AG31" s="1"/>
      <c r="AH31" s="1"/>
      <c r="AI31" s="1"/>
    </row>
    <row r="32" spans="2:35" x14ac:dyDescent="0.2">
      <c r="B32" s="18"/>
      <c r="C32" s="25"/>
      <c r="D32" s="25"/>
      <c r="E32" s="23"/>
      <c r="F32" s="1"/>
      <c r="G32" s="1"/>
      <c r="H32" s="6"/>
      <c r="I32" s="1"/>
      <c r="J32" s="1"/>
      <c r="O32" s="87">
        <v>16</v>
      </c>
      <c r="P32" s="76">
        <f t="shared" si="4"/>
        <v>2041</v>
      </c>
      <c r="Q32" s="52">
        <f t="shared" si="17"/>
        <v>0.57670591171478747</v>
      </c>
      <c r="R32" s="50">
        <f t="shared" si="18"/>
        <v>1.1725786449236983</v>
      </c>
      <c r="S32" s="50">
        <f t="shared" si="7"/>
        <v>1.4295028119290203</v>
      </c>
      <c r="T32" s="50">
        <f t="shared" si="5"/>
        <v>0.67623303647801147</v>
      </c>
      <c r="U32" s="50">
        <f t="shared" si="8"/>
        <v>0.96667702716461712</v>
      </c>
      <c r="V32" s="53">
        <f t="shared" si="9"/>
        <v>167.62044701263471</v>
      </c>
      <c r="W32" s="53">
        <f t="shared" si="10"/>
        <v>96.667702716461719</v>
      </c>
      <c r="X32" s="53">
        <f t="shared" si="11"/>
        <v>0</v>
      </c>
      <c r="Y32" s="53">
        <f t="shared" si="12"/>
        <v>0</v>
      </c>
      <c r="Z32" s="53">
        <f t="shared" si="13"/>
        <v>0</v>
      </c>
      <c r="AA32" s="53">
        <f t="shared" si="14"/>
        <v>0</v>
      </c>
      <c r="AB32" s="53">
        <f t="shared" si="15"/>
        <v>96.667702716461719</v>
      </c>
      <c r="AC32" s="53">
        <f t="shared" si="3"/>
        <v>0</v>
      </c>
      <c r="AD32" s="53">
        <f t="shared" si="6"/>
        <v>5</v>
      </c>
      <c r="AE32" s="89">
        <f t="shared" si="16"/>
        <v>2.8835295585739376</v>
      </c>
      <c r="AF32" s="1"/>
      <c r="AG32" s="1"/>
      <c r="AH32" s="1"/>
      <c r="AI32" s="1"/>
    </row>
    <row r="33" spans="2:36" ht="13.5" thickBot="1" x14ac:dyDescent="0.25">
      <c r="B33" s="18"/>
      <c r="C33" s="19" t="s">
        <v>29</v>
      </c>
      <c r="D33" s="25"/>
      <c r="E33" s="23"/>
      <c r="F33" s="1"/>
      <c r="G33" s="1"/>
      <c r="H33" s="6"/>
      <c r="I33" s="1"/>
      <c r="J33" s="1"/>
      <c r="O33" s="87">
        <v>17</v>
      </c>
      <c r="P33" s="76">
        <f t="shared" si="4"/>
        <v>2042</v>
      </c>
      <c r="Q33" s="52">
        <f t="shared" si="17"/>
        <v>0.55720377943457733</v>
      </c>
      <c r="R33" s="50">
        <f t="shared" si="18"/>
        <v>1.1843044313729354</v>
      </c>
      <c r="S33" s="50">
        <f t="shared" si="7"/>
        <v>1.4509453541079556</v>
      </c>
      <c r="T33" s="50">
        <f t="shared" si="5"/>
        <v>0.65989890516211758</v>
      </c>
      <c r="U33" s="50">
        <f t="shared" si="8"/>
        <v>0.95747725062590083</v>
      </c>
      <c r="V33" s="53">
        <f t="shared" si="9"/>
        <v>171.83610125500246</v>
      </c>
      <c r="W33" s="53">
        <f t="shared" si="10"/>
        <v>95.747725062590078</v>
      </c>
      <c r="X33" s="53">
        <f t="shared" si="11"/>
        <v>0</v>
      </c>
      <c r="Y33" s="53">
        <f t="shared" si="12"/>
        <v>0</v>
      </c>
      <c r="Z33" s="53">
        <f t="shared" si="13"/>
        <v>0</v>
      </c>
      <c r="AA33" s="53">
        <f t="shared" si="14"/>
        <v>0</v>
      </c>
      <c r="AB33" s="53">
        <f t="shared" si="15"/>
        <v>95.747725062590078</v>
      </c>
      <c r="AC33" s="53">
        <f t="shared" si="3"/>
        <v>0</v>
      </c>
      <c r="AD33" s="53">
        <f t="shared" si="6"/>
        <v>5</v>
      </c>
      <c r="AE33" s="89">
        <f t="shared" si="16"/>
        <v>2.7860188971728865</v>
      </c>
      <c r="AF33" s="1"/>
      <c r="AG33" s="1"/>
      <c r="AH33" s="1"/>
      <c r="AI33" s="1"/>
    </row>
    <row r="34" spans="2:36" ht="13.5" thickBot="1" x14ac:dyDescent="0.25">
      <c r="B34" s="18"/>
      <c r="C34" s="105" t="s">
        <v>20</v>
      </c>
      <c r="D34" s="28">
        <v>5</v>
      </c>
      <c r="E34" s="23"/>
      <c r="F34" s="1"/>
      <c r="G34" s="1"/>
      <c r="H34" s="3"/>
      <c r="I34" s="1"/>
      <c r="O34" s="87">
        <v>18</v>
      </c>
      <c r="P34" s="76">
        <f t="shared" si="4"/>
        <v>2043</v>
      </c>
      <c r="Q34" s="52">
        <f t="shared" si="17"/>
        <v>0.53836113955031628</v>
      </c>
      <c r="R34" s="50">
        <f t="shared" si="18"/>
        <v>1.1961474756866646</v>
      </c>
      <c r="S34" s="50">
        <f t="shared" si="7"/>
        <v>1.4727095344195746</v>
      </c>
      <c r="T34" s="50">
        <f t="shared" si="5"/>
        <v>0.64395931808090701</v>
      </c>
      <c r="U34" s="50">
        <f t="shared" si="8"/>
        <v>0.94836502751607932</v>
      </c>
      <c r="V34" s="53">
        <f t="shared" si="9"/>
        <v>176.15777920156572</v>
      </c>
      <c r="W34" s="53">
        <f t="shared" si="10"/>
        <v>94.836502751607938</v>
      </c>
      <c r="X34" s="53">
        <f t="shared" si="11"/>
        <v>0</v>
      </c>
      <c r="Y34" s="53">
        <f t="shared" si="12"/>
        <v>0</v>
      </c>
      <c r="Z34" s="53">
        <f t="shared" si="13"/>
        <v>0</v>
      </c>
      <c r="AA34" s="53">
        <f t="shared" si="14"/>
        <v>0</v>
      </c>
      <c r="AB34" s="53">
        <f t="shared" si="15"/>
        <v>94.836502751607938</v>
      </c>
      <c r="AC34" s="53">
        <f t="shared" si="3"/>
        <v>0</v>
      </c>
      <c r="AD34" s="53">
        <f t="shared" si="6"/>
        <v>5</v>
      </c>
      <c r="AE34" s="89">
        <f t="shared" si="16"/>
        <v>2.6918056977515814</v>
      </c>
      <c r="AF34" s="1"/>
      <c r="AG34" s="1"/>
      <c r="AH34" s="1"/>
      <c r="AI34" s="1"/>
      <c r="AJ34" s="1"/>
    </row>
    <row r="35" spans="2:36" x14ac:dyDescent="0.2">
      <c r="B35" s="18"/>
      <c r="C35" s="25"/>
      <c r="D35" s="25"/>
      <c r="E35" s="23"/>
      <c r="F35" s="1"/>
      <c r="G35" s="1"/>
      <c r="H35" s="6"/>
      <c r="I35" s="1"/>
      <c r="O35" s="87">
        <v>19</v>
      </c>
      <c r="P35" s="76">
        <f t="shared" si="4"/>
        <v>2044</v>
      </c>
      <c r="Q35" s="52">
        <f t="shared" si="17"/>
        <v>0.52015569038677911</v>
      </c>
      <c r="R35" s="50">
        <f t="shared" si="18"/>
        <v>1.2081089504435314</v>
      </c>
      <c r="S35" s="50">
        <f t="shared" si="7"/>
        <v>1.4948001774358681</v>
      </c>
      <c r="T35" s="50">
        <f t="shared" si="5"/>
        <v>0.62840474518040224</v>
      </c>
      <c r="U35" s="50">
        <f t="shared" si="8"/>
        <v>0.93933952459720671</v>
      </c>
      <c r="V35" s="53">
        <f t="shared" si="9"/>
        <v>180.58814734848514</v>
      </c>
      <c r="W35" s="53">
        <f t="shared" si="10"/>
        <v>93.933952459720672</v>
      </c>
      <c r="X35" s="53">
        <f t="shared" si="11"/>
        <v>0</v>
      </c>
      <c r="Y35" s="53">
        <f t="shared" si="12"/>
        <v>0</v>
      </c>
      <c r="Z35" s="53">
        <f t="shared" si="13"/>
        <v>0</v>
      </c>
      <c r="AA35" s="53">
        <f t="shared" si="14"/>
        <v>0</v>
      </c>
      <c r="AB35" s="53">
        <f t="shared" si="15"/>
        <v>93.933952459720672</v>
      </c>
      <c r="AC35" s="53">
        <f t="shared" si="3"/>
        <v>0</v>
      </c>
      <c r="AD35" s="53">
        <f t="shared" si="6"/>
        <v>5</v>
      </c>
      <c r="AE35" s="89">
        <f t="shared" si="16"/>
        <v>2.6007784519338957</v>
      </c>
      <c r="AF35" s="1"/>
      <c r="AG35" s="1"/>
      <c r="AH35" s="1"/>
      <c r="AI35" s="1"/>
      <c r="AJ35" s="1"/>
    </row>
    <row r="36" spans="2:36" ht="15.75" thickBot="1" x14ac:dyDescent="0.25">
      <c r="B36" s="18"/>
      <c r="C36" s="19" t="s">
        <v>21</v>
      </c>
      <c r="D36" s="26"/>
      <c r="E36" s="23"/>
      <c r="F36" s="1"/>
      <c r="G36" s="1"/>
      <c r="H36" s="6"/>
      <c r="I36" s="1"/>
      <c r="O36" s="87">
        <v>20</v>
      </c>
      <c r="P36" s="76">
        <f t="shared" si="4"/>
        <v>2045</v>
      </c>
      <c r="Q36" s="52">
        <f t="shared" si="17"/>
        <v>0.50256588443167061</v>
      </c>
      <c r="R36" s="50">
        <f t="shared" si="18"/>
        <v>1.2201900399479666</v>
      </c>
      <c r="S36" s="50">
        <f t="shared" si="7"/>
        <v>1.5172221800974057</v>
      </c>
      <c r="T36" s="50">
        <f t="shared" si="5"/>
        <v>0.61322588660116528</v>
      </c>
      <c r="U36" s="50">
        <f t="shared" si="8"/>
        <v>0.93039991656118448</v>
      </c>
      <c r="V36" s="53">
        <f t="shared" si="9"/>
        <v>185.12993925429944</v>
      </c>
      <c r="W36" s="53">
        <f t="shared" si="10"/>
        <v>93.039991656118445</v>
      </c>
      <c r="X36" s="53">
        <f t="shared" si="11"/>
        <v>0</v>
      </c>
      <c r="Y36" s="53">
        <f t="shared" si="12"/>
        <v>0</v>
      </c>
      <c r="Z36" s="53">
        <f t="shared" si="13"/>
        <v>0</v>
      </c>
      <c r="AA36" s="53">
        <f t="shared" si="14"/>
        <v>0</v>
      </c>
      <c r="AB36" s="53">
        <f t="shared" si="15"/>
        <v>93.039991656118445</v>
      </c>
      <c r="AC36" s="53">
        <f t="shared" si="3"/>
        <v>0</v>
      </c>
      <c r="AD36" s="53">
        <f t="shared" si="6"/>
        <v>5</v>
      </c>
      <c r="AE36" s="89">
        <f t="shared" si="16"/>
        <v>2.5128294221583531</v>
      </c>
      <c r="AF36" s="1"/>
      <c r="AG36" s="1"/>
      <c r="AH36" s="1"/>
      <c r="AI36" s="1"/>
      <c r="AJ36" s="1"/>
    </row>
    <row r="37" spans="2:36" x14ac:dyDescent="0.2">
      <c r="B37" s="18"/>
      <c r="C37" s="66">
        <f>Diskonteringsår-10</f>
        <v>2015</v>
      </c>
      <c r="D37" s="29"/>
      <c r="E37" s="23"/>
      <c r="F37" s="1"/>
      <c r="G37" s="1"/>
      <c r="H37" s="1"/>
      <c r="I37" s="1"/>
      <c r="O37" s="87">
        <v>21</v>
      </c>
      <c r="P37" s="76">
        <f t="shared" si="4"/>
        <v>2046</v>
      </c>
      <c r="Q37" s="52">
        <f t="shared" si="17"/>
        <v>0.48557090283253213</v>
      </c>
      <c r="R37" s="50">
        <f t="shared" si="18"/>
        <v>1.2323919403474466</v>
      </c>
      <c r="S37" s="50">
        <f t="shared" si="7"/>
        <v>1.5399805127988668</v>
      </c>
      <c r="T37" s="50">
        <f t="shared" si="5"/>
        <v>0.59841366711804567</v>
      </c>
      <c r="U37" s="50">
        <f t="shared" si="8"/>
        <v>0.92154538595429836</v>
      </c>
      <c r="V37" s="53">
        <f t="shared" si="9"/>
        <v>189.78595722654512</v>
      </c>
      <c r="W37" s="53">
        <f t="shared" si="10"/>
        <v>92.154538595429841</v>
      </c>
      <c r="X37" s="53">
        <f t="shared" si="11"/>
        <v>0</v>
      </c>
      <c r="Y37" s="53">
        <f t="shared" si="12"/>
        <v>0</v>
      </c>
      <c r="Z37" s="53">
        <f t="shared" si="13"/>
        <v>0</v>
      </c>
      <c r="AA37" s="53">
        <f t="shared" si="14"/>
        <v>0</v>
      </c>
      <c r="AB37" s="53">
        <f t="shared" si="15"/>
        <v>92.154538595429841</v>
      </c>
      <c r="AC37" s="53">
        <f t="shared" si="3"/>
        <v>0</v>
      </c>
      <c r="AD37" s="53">
        <f t="shared" si="6"/>
        <v>5</v>
      </c>
      <c r="AE37" s="89">
        <f t="shared" si="16"/>
        <v>2.4278545141626608</v>
      </c>
      <c r="AF37" s="1"/>
      <c r="AG37" s="1"/>
      <c r="AH37" s="1"/>
      <c r="AI37" s="1"/>
      <c r="AJ37" s="1"/>
    </row>
    <row r="38" spans="2:36" x14ac:dyDescent="0.2">
      <c r="B38" s="18"/>
      <c r="C38" s="67">
        <f>Diskonteringsår-9</f>
        <v>2016</v>
      </c>
      <c r="D38" s="30"/>
      <c r="E38" s="23"/>
      <c r="F38" s="1"/>
      <c r="G38" s="1"/>
      <c r="H38" s="1"/>
      <c r="I38" s="1"/>
      <c r="O38" s="87">
        <v>22</v>
      </c>
      <c r="P38" s="76">
        <f t="shared" si="4"/>
        <v>2047</v>
      </c>
      <c r="Q38" s="52">
        <f t="shared" si="17"/>
        <v>0.46915063075606966</v>
      </c>
      <c r="R38" s="50">
        <f t="shared" si="18"/>
        <v>1.2447158597509207</v>
      </c>
      <c r="S38" s="50">
        <f t="shared" si="7"/>
        <v>1.5630802204908494</v>
      </c>
      <c r="T38" s="50">
        <f t="shared" si="5"/>
        <v>0.58395923071422795</v>
      </c>
      <c r="U38" s="50">
        <f t="shared" si="8"/>
        <v>0.91277512310246223</v>
      </c>
      <c r="V38" s="53">
        <f t="shared" si="9"/>
        <v>194.55907405079262</v>
      </c>
      <c r="W38" s="53">
        <f t="shared" si="10"/>
        <v>91.277512310246223</v>
      </c>
      <c r="X38" s="53">
        <f t="shared" si="11"/>
        <v>0</v>
      </c>
      <c r="Y38" s="53">
        <f t="shared" si="12"/>
        <v>0</v>
      </c>
      <c r="Z38" s="53">
        <f t="shared" si="13"/>
        <v>0</v>
      </c>
      <c r="AA38" s="53">
        <f t="shared" si="14"/>
        <v>0</v>
      </c>
      <c r="AB38" s="53">
        <f t="shared" si="15"/>
        <v>91.277512310246223</v>
      </c>
      <c r="AC38" s="53">
        <f t="shared" si="3"/>
        <v>0</v>
      </c>
      <c r="AD38" s="53">
        <f t="shared" si="6"/>
        <v>5</v>
      </c>
      <c r="AE38" s="89">
        <f t="shared" si="16"/>
        <v>2.3457531537803482</v>
      </c>
      <c r="AF38" s="1"/>
      <c r="AG38" s="1"/>
      <c r="AH38" s="1"/>
      <c r="AI38" s="1"/>
      <c r="AJ38" s="1"/>
    </row>
    <row r="39" spans="2:36" x14ac:dyDescent="0.2">
      <c r="B39" s="18"/>
      <c r="C39" s="67">
        <f>Diskonteringsår-8</f>
        <v>2017</v>
      </c>
      <c r="D39" s="30"/>
      <c r="E39" s="23"/>
      <c r="F39" s="1"/>
      <c r="G39" s="1"/>
      <c r="H39" s="4"/>
      <c r="I39" s="1"/>
      <c r="O39" s="87">
        <v>23</v>
      </c>
      <c r="P39" s="76">
        <f t="shared" si="4"/>
        <v>2048</v>
      </c>
      <c r="Q39" s="52">
        <f t="shared" si="17"/>
        <v>0.45328563358074364</v>
      </c>
      <c r="R39" s="50">
        <f t="shared" si="18"/>
        <v>1.2571630183484301</v>
      </c>
      <c r="S39" s="50">
        <f t="shared" si="7"/>
        <v>1.586526423798212</v>
      </c>
      <c r="T39" s="50">
        <f t="shared" si="5"/>
        <v>0.5698539352863482</v>
      </c>
      <c r="U39" s="50">
        <f t="shared" si="8"/>
        <v>0.9040883260371877</v>
      </c>
      <c r="V39" s="53">
        <f t="shared" si="9"/>
        <v>199.45223476317008</v>
      </c>
      <c r="W39" s="53">
        <f t="shared" si="10"/>
        <v>90.408832603718764</v>
      </c>
      <c r="X39" s="53">
        <f t="shared" si="11"/>
        <v>0</v>
      </c>
      <c r="Y39" s="53">
        <f t="shared" si="12"/>
        <v>0</v>
      </c>
      <c r="Z39" s="53">
        <f t="shared" si="13"/>
        <v>0</v>
      </c>
      <c r="AA39" s="53">
        <f t="shared" si="14"/>
        <v>0</v>
      </c>
      <c r="AB39" s="53">
        <f t="shared" si="15"/>
        <v>90.408832603718764</v>
      </c>
      <c r="AC39" s="53">
        <f t="shared" si="3"/>
        <v>0</v>
      </c>
      <c r="AD39" s="53">
        <f t="shared" si="6"/>
        <v>5</v>
      </c>
      <c r="AE39" s="89">
        <f t="shared" si="16"/>
        <v>2.2664281679037184</v>
      </c>
      <c r="AF39" s="1"/>
      <c r="AG39" s="1"/>
      <c r="AH39" s="1"/>
      <c r="AI39" s="1"/>
      <c r="AJ39" s="1"/>
    </row>
    <row r="40" spans="2:36" x14ac:dyDescent="0.2">
      <c r="B40" s="18"/>
      <c r="C40" s="67">
        <f>Diskonteringsår-7</f>
        <v>2018</v>
      </c>
      <c r="D40" s="30"/>
      <c r="E40" s="23"/>
      <c r="F40" s="1"/>
      <c r="G40" s="1"/>
      <c r="H40" s="7"/>
      <c r="I40" s="4"/>
      <c r="O40" s="87">
        <v>24</v>
      </c>
      <c r="P40" s="76">
        <f t="shared" si="4"/>
        <v>2049</v>
      </c>
      <c r="Q40" s="52">
        <f t="shared" si="17"/>
        <v>0.43795713389443841</v>
      </c>
      <c r="R40" s="50">
        <f t="shared" si="18"/>
        <v>1.2697346485319145</v>
      </c>
      <c r="S40" s="50">
        <f t="shared" si="7"/>
        <v>1.6103243201551849</v>
      </c>
      <c r="T40" s="50">
        <f t="shared" si="5"/>
        <v>0.55608934747749938</v>
      </c>
      <c r="U40" s="50">
        <f t="shared" si="8"/>
        <v>0.89548420042224453</v>
      </c>
      <c r="V40" s="53">
        <f t="shared" si="9"/>
        <v>204.46845846746379</v>
      </c>
      <c r="W40" s="53">
        <f t="shared" si="10"/>
        <v>89.54842004222445</v>
      </c>
      <c r="X40" s="53">
        <f t="shared" si="11"/>
        <v>0</v>
      </c>
      <c r="Y40" s="53">
        <f t="shared" si="12"/>
        <v>0</v>
      </c>
      <c r="Z40" s="53">
        <f t="shared" si="13"/>
        <v>0</v>
      </c>
      <c r="AA40" s="53">
        <f t="shared" si="14"/>
        <v>0</v>
      </c>
      <c r="AB40" s="53">
        <f t="shared" si="15"/>
        <v>89.54842004222445</v>
      </c>
      <c r="AC40" s="53">
        <f t="shared" si="3"/>
        <v>0</v>
      </c>
      <c r="AD40" s="53">
        <f t="shared" si="6"/>
        <v>5</v>
      </c>
      <c r="AE40" s="89">
        <f t="shared" si="16"/>
        <v>2.189785669472192</v>
      </c>
      <c r="AF40" s="1"/>
      <c r="AG40" s="1"/>
      <c r="AH40" s="1"/>
      <c r="AI40" s="1"/>
      <c r="AJ40" s="1"/>
    </row>
    <row r="41" spans="2:36" x14ac:dyDescent="0.2">
      <c r="B41" s="18"/>
      <c r="C41" s="67">
        <f>Diskonteringsår-6</f>
        <v>2019</v>
      </c>
      <c r="D41" s="30"/>
      <c r="E41" s="23"/>
      <c r="F41" s="1"/>
      <c r="G41" s="1"/>
      <c r="H41" s="1"/>
      <c r="I41" s="1"/>
      <c r="O41" s="87">
        <v>25</v>
      </c>
      <c r="P41" s="76">
        <f t="shared" si="4"/>
        <v>2050</v>
      </c>
      <c r="Q41" s="52">
        <f t="shared" si="17"/>
        <v>0.42314698926998884</v>
      </c>
      <c r="R41" s="50">
        <f t="shared" si="18"/>
        <v>1.2824319950172338</v>
      </c>
      <c r="S41" s="50">
        <f t="shared" si="7"/>
        <v>1.6344791849575124</v>
      </c>
      <c r="T41" s="50">
        <f t="shared" si="5"/>
        <v>0.54265723763504781</v>
      </c>
      <c r="U41" s="50">
        <f t="shared" si="8"/>
        <v>0.88696195948102807</v>
      </c>
      <c r="V41" s="53">
        <f t="shared" si="9"/>
        <v>209.61084019792051</v>
      </c>
      <c r="W41" s="53">
        <f t="shared" si="10"/>
        <v>88.696195948102812</v>
      </c>
      <c r="X41" s="53">
        <f t="shared" si="11"/>
        <v>0</v>
      </c>
      <c r="Y41" s="53">
        <f t="shared" si="12"/>
        <v>0</v>
      </c>
      <c r="Z41" s="53">
        <f t="shared" si="13"/>
        <v>0</v>
      </c>
      <c r="AA41" s="53">
        <f t="shared" si="14"/>
        <v>0</v>
      </c>
      <c r="AB41" s="53">
        <f t="shared" si="15"/>
        <v>88.696195948102812</v>
      </c>
      <c r="AC41" s="53">
        <f t="shared" si="3"/>
        <v>0</v>
      </c>
      <c r="AD41" s="53">
        <f t="shared" si="6"/>
        <v>5</v>
      </c>
      <c r="AE41" s="89">
        <f t="shared" si="16"/>
        <v>2.115734946349944</v>
      </c>
      <c r="AF41" s="1"/>
      <c r="AG41" s="1"/>
      <c r="AH41" s="1"/>
      <c r="AI41" s="1"/>
      <c r="AJ41" s="1"/>
    </row>
    <row r="42" spans="2:36" x14ac:dyDescent="0.2">
      <c r="B42" s="18"/>
      <c r="C42" s="67">
        <f>Diskonteringsår-5</f>
        <v>2020</v>
      </c>
      <c r="D42" s="30"/>
      <c r="E42" s="23"/>
      <c r="F42" s="1"/>
      <c r="G42" s="1"/>
      <c r="H42" s="7"/>
      <c r="I42" s="4"/>
      <c r="J42" s="1"/>
      <c r="K42" s="1"/>
      <c r="O42" s="87">
        <v>26</v>
      </c>
      <c r="P42" s="76">
        <f t="shared" si="4"/>
        <v>2051</v>
      </c>
      <c r="Q42" s="52">
        <f t="shared" si="17"/>
        <v>0.40883767079225974</v>
      </c>
      <c r="R42" s="50">
        <f t="shared" si="18"/>
        <v>1.2952563149674059</v>
      </c>
      <c r="S42" s="50">
        <f t="shared" si="7"/>
        <v>1.6589963727318748</v>
      </c>
      <c r="T42" s="50">
        <f t="shared" si="5"/>
        <v>0.52954957489023979</v>
      </c>
      <c r="U42" s="50">
        <f t="shared" si="8"/>
        <v>0.87852082392461417</v>
      </c>
      <c r="V42" s="53">
        <f t="shared" si="9"/>
        <v>214.88255282889813</v>
      </c>
      <c r="W42" s="53">
        <f t="shared" si="10"/>
        <v>87.852082392461412</v>
      </c>
      <c r="X42" s="53">
        <f t="shared" si="11"/>
        <v>0</v>
      </c>
      <c r="Y42" s="53">
        <f t="shared" si="12"/>
        <v>0</v>
      </c>
      <c r="Z42" s="53">
        <f t="shared" si="13"/>
        <v>0</v>
      </c>
      <c r="AA42" s="53">
        <f t="shared" si="14"/>
        <v>0</v>
      </c>
      <c r="AB42" s="53">
        <f t="shared" si="15"/>
        <v>87.852082392461412</v>
      </c>
      <c r="AC42" s="53">
        <f t="shared" si="3"/>
        <v>0</v>
      </c>
      <c r="AD42" s="53">
        <f t="shared" si="6"/>
        <v>5</v>
      </c>
      <c r="AE42" s="89">
        <f t="shared" si="16"/>
        <v>2.0441883539612986</v>
      </c>
      <c r="AF42" s="1"/>
      <c r="AG42" s="1"/>
      <c r="AH42" s="1"/>
      <c r="AI42" s="1"/>
      <c r="AJ42" s="1"/>
    </row>
    <row r="43" spans="2:36" x14ac:dyDescent="0.2">
      <c r="B43" s="18"/>
      <c r="C43" s="67">
        <f>Diskonteringsår-4</f>
        <v>2021</v>
      </c>
      <c r="D43" s="30"/>
      <c r="E43" s="23"/>
      <c r="F43" s="1"/>
      <c r="G43" s="1"/>
      <c r="H43" s="1"/>
      <c r="I43" s="1"/>
      <c r="J43" s="1"/>
      <c r="K43" s="1"/>
      <c r="O43" s="87">
        <v>27</v>
      </c>
      <c r="P43" s="76">
        <f t="shared" si="4"/>
        <v>2052</v>
      </c>
      <c r="Q43" s="52">
        <f t="shared" si="17"/>
        <v>0.39501224231136206</v>
      </c>
      <c r="R43" s="50">
        <f t="shared" si="18"/>
        <v>1.30820887811708</v>
      </c>
      <c r="S43" s="50">
        <f t="shared" si="7"/>
        <v>1.6838813183228529</v>
      </c>
      <c r="T43" s="50">
        <f t="shared" si="5"/>
        <v>0.51675852235665909</v>
      </c>
      <c r="U43" s="50">
        <f t="shared" si="8"/>
        <v>0.87016002188050057</v>
      </c>
      <c r="V43" s="53">
        <f t="shared" si="9"/>
        <v>220.28684903254489</v>
      </c>
      <c r="W43" s="53">
        <f t="shared" si="10"/>
        <v>87.016002188050052</v>
      </c>
      <c r="X43" s="53">
        <f t="shared" si="11"/>
        <v>0</v>
      </c>
      <c r="Y43" s="53">
        <f t="shared" si="12"/>
        <v>0</v>
      </c>
      <c r="Z43" s="53">
        <f t="shared" si="13"/>
        <v>0</v>
      </c>
      <c r="AA43" s="53">
        <f t="shared" si="14"/>
        <v>0</v>
      </c>
      <c r="AB43" s="53">
        <f t="shared" si="15"/>
        <v>87.016002188050052</v>
      </c>
      <c r="AC43" s="53">
        <f t="shared" si="3"/>
        <v>0</v>
      </c>
      <c r="AD43" s="53">
        <f t="shared" si="6"/>
        <v>5</v>
      </c>
      <c r="AE43" s="89">
        <f t="shared" si="16"/>
        <v>1.9750612115568102</v>
      </c>
      <c r="AF43" s="1"/>
      <c r="AG43" s="1"/>
      <c r="AH43" s="1"/>
      <c r="AI43" s="1"/>
      <c r="AJ43" s="1"/>
    </row>
    <row r="44" spans="2:36" x14ac:dyDescent="0.2">
      <c r="B44" s="18"/>
      <c r="C44" s="67">
        <f>Diskonteringsår-3</f>
        <v>2022</v>
      </c>
      <c r="D44" s="30"/>
      <c r="E44" s="23"/>
      <c r="F44" s="1"/>
      <c r="G44" s="1"/>
      <c r="H44" s="1"/>
      <c r="I44" s="1"/>
      <c r="J44" s="1"/>
      <c r="K44" s="1"/>
      <c r="O44" s="87">
        <v>28</v>
      </c>
      <c r="P44" s="76">
        <f t="shared" si="4"/>
        <v>2053</v>
      </c>
      <c r="Q44" s="52">
        <f t="shared" si="17"/>
        <v>0.38165434039745127</v>
      </c>
      <c r="R44" s="50">
        <f t="shared" si="18"/>
        <v>1.3212909668982509</v>
      </c>
      <c r="S44" s="50">
        <f t="shared" si="7"/>
        <v>1.7091395380976955</v>
      </c>
      <c r="T44" s="50">
        <f t="shared" si="5"/>
        <v>0.50427643244466258</v>
      </c>
      <c r="U44" s="50">
        <f t="shared" si="8"/>
        <v>0.86187878882202429</v>
      </c>
      <c r="V44" s="53">
        <f t="shared" si="9"/>
        <v>225.82706328571336</v>
      </c>
      <c r="W44" s="53">
        <f t="shared" si="10"/>
        <v>86.187878882202426</v>
      </c>
      <c r="X44" s="53">
        <f t="shared" si="11"/>
        <v>0</v>
      </c>
      <c r="Y44" s="53">
        <f t="shared" si="12"/>
        <v>0</v>
      </c>
      <c r="Z44" s="53">
        <f t="shared" si="13"/>
        <v>0</v>
      </c>
      <c r="AA44" s="53">
        <f t="shared" si="14"/>
        <v>0</v>
      </c>
      <c r="AB44" s="53">
        <f t="shared" si="15"/>
        <v>86.187878882202426</v>
      </c>
      <c r="AC44" s="53">
        <f t="shared" si="3"/>
        <v>0</v>
      </c>
      <c r="AD44" s="53">
        <f t="shared" si="6"/>
        <v>5</v>
      </c>
      <c r="AE44" s="89">
        <f t="shared" si="16"/>
        <v>1.9082717019872564</v>
      </c>
      <c r="AF44" s="1"/>
      <c r="AG44" s="1"/>
      <c r="AH44" s="1"/>
      <c r="AI44" s="1"/>
      <c r="AJ44" s="1"/>
    </row>
    <row r="45" spans="2:36" x14ac:dyDescent="0.2">
      <c r="B45" s="18"/>
      <c r="C45" s="67">
        <f>Diskonteringsår-2</f>
        <v>2023</v>
      </c>
      <c r="D45" s="30">
        <v>1000</v>
      </c>
      <c r="E45" s="23"/>
      <c r="F45" s="1"/>
      <c r="G45" s="1"/>
      <c r="H45" s="1"/>
      <c r="I45" s="1"/>
      <c r="J45" s="1"/>
      <c r="K45" s="1"/>
      <c r="O45" s="87">
        <v>29</v>
      </c>
      <c r="P45" s="76">
        <f t="shared" si="4"/>
        <v>2054</v>
      </c>
      <c r="Q45" s="52">
        <f t="shared" si="17"/>
        <v>0.36874815497338298</v>
      </c>
      <c r="R45" s="50">
        <f t="shared" si="18"/>
        <v>1.3345038765672335</v>
      </c>
      <c r="S45" s="50">
        <f t="shared" si="7"/>
        <v>1.7347766311691606</v>
      </c>
      <c r="T45" s="50">
        <f t="shared" si="5"/>
        <v>0.49209584228899456</v>
      </c>
      <c r="U45" s="50">
        <f t="shared" si="8"/>
        <v>0.85367636749845255</v>
      </c>
      <c r="V45" s="53">
        <f t="shared" si="9"/>
        <v>231.50661392734904</v>
      </c>
      <c r="W45" s="53">
        <f t="shared" si="10"/>
        <v>85.367636749845261</v>
      </c>
      <c r="X45" s="53">
        <f t="shared" si="11"/>
        <v>0</v>
      </c>
      <c r="Y45" s="53">
        <f t="shared" si="12"/>
        <v>0</v>
      </c>
      <c r="Z45" s="53">
        <f t="shared" si="13"/>
        <v>0</v>
      </c>
      <c r="AA45" s="53">
        <f t="shared" si="14"/>
        <v>0</v>
      </c>
      <c r="AB45" s="53">
        <f t="shared" si="15"/>
        <v>85.367636749845261</v>
      </c>
      <c r="AC45" s="53">
        <f t="shared" si="3"/>
        <v>0</v>
      </c>
      <c r="AD45" s="53">
        <f t="shared" si="6"/>
        <v>5</v>
      </c>
      <c r="AE45" s="89">
        <f t="shared" si="16"/>
        <v>1.843740774866915</v>
      </c>
      <c r="AF45" s="1"/>
      <c r="AG45" s="1"/>
      <c r="AH45" s="1"/>
      <c r="AI45" s="1"/>
      <c r="AJ45" s="1"/>
    </row>
    <row r="46" spans="2:36" x14ac:dyDescent="0.2">
      <c r="B46" s="18"/>
      <c r="C46" s="67">
        <f>Diskonteringsår-1</f>
        <v>2024</v>
      </c>
      <c r="D46" s="30">
        <v>1000</v>
      </c>
      <c r="E46" s="23"/>
      <c r="F46" s="1"/>
      <c r="O46" s="87">
        <v>30</v>
      </c>
      <c r="P46" s="76">
        <f t="shared" si="4"/>
        <v>2055</v>
      </c>
      <c r="Q46" s="52">
        <f t="shared" si="17"/>
        <v>0.35627841060230236</v>
      </c>
      <c r="R46" s="50">
        <f t="shared" si="18"/>
        <v>1.3478489153329054</v>
      </c>
      <c r="S46" s="50">
        <f t="shared" si="7"/>
        <v>1.7607982806366977</v>
      </c>
      <c r="T46" s="50">
        <f t="shared" si="5"/>
        <v>0.48020946928684477</v>
      </c>
      <c r="U46" s="50">
        <f t="shared" si="8"/>
        <v>0.84555200786573737</v>
      </c>
      <c r="V46" s="53">
        <f t="shared" si="9"/>
        <v>237.32900526762177</v>
      </c>
      <c r="W46" s="53">
        <f t="shared" si="10"/>
        <v>84.555200786573735</v>
      </c>
      <c r="X46" s="53">
        <f t="shared" si="11"/>
        <v>0</v>
      </c>
      <c r="Y46" s="53">
        <f t="shared" si="12"/>
        <v>0</v>
      </c>
      <c r="Z46" s="53">
        <f t="shared" si="13"/>
        <v>0</v>
      </c>
      <c r="AA46" s="53">
        <f t="shared" si="14"/>
        <v>0</v>
      </c>
      <c r="AB46" s="53">
        <f t="shared" si="15"/>
        <v>84.555200786573735</v>
      </c>
      <c r="AC46" s="53">
        <f t="shared" si="3"/>
        <v>0</v>
      </c>
      <c r="AD46" s="53">
        <f t="shared" si="6"/>
        <v>5</v>
      </c>
      <c r="AE46" s="89">
        <f t="shared" si="16"/>
        <v>1.7813920530115119</v>
      </c>
      <c r="AF46" s="1"/>
      <c r="AG46" s="1"/>
      <c r="AH46" s="1"/>
      <c r="AI46" s="1"/>
      <c r="AJ46" s="1"/>
    </row>
    <row r="47" spans="2:36" x14ac:dyDescent="0.2">
      <c r="B47" s="18"/>
      <c r="C47" s="68">
        <f>Diskonteringsår-0</f>
        <v>2025</v>
      </c>
      <c r="D47" s="31"/>
      <c r="E47" s="23"/>
      <c r="F47" s="1"/>
      <c r="O47" s="87">
        <v>31</v>
      </c>
      <c r="P47" s="76">
        <f t="shared" si="4"/>
        <v>2056</v>
      </c>
      <c r="Q47" s="52">
        <f t="shared" si="17"/>
        <v>0.34423034840802164</v>
      </c>
      <c r="R47" s="50">
        <f t="shared" si="18"/>
        <v>1.3613274044862349</v>
      </c>
      <c r="S47" s="50">
        <f t="shared" si="7"/>
        <v>1.7872102548462478</v>
      </c>
      <c r="T47" s="50">
        <f t="shared" si="5"/>
        <v>0.46861020674368442</v>
      </c>
      <c r="U47" s="50">
        <f t="shared" si="8"/>
        <v>0.83750496701793309</v>
      </c>
      <c r="V47" s="53">
        <f t="shared" si="9"/>
        <v>243.29782975010249</v>
      </c>
      <c r="W47" s="53">
        <f t="shared" si="10"/>
        <v>83.75049670179331</v>
      </c>
      <c r="X47" s="53">
        <f t="shared" si="11"/>
        <v>0</v>
      </c>
      <c r="Y47" s="53">
        <f t="shared" si="12"/>
        <v>0</v>
      </c>
      <c r="Z47" s="53">
        <f t="shared" si="13"/>
        <v>0</v>
      </c>
      <c r="AA47" s="53">
        <f t="shared" si="14"/>
        <v>0</v>
      </c>
      <c r="AB47" s="53">
        <f t="shared" si="15"/>
        <v>83.75049670179331</v>
      </c>
      <c r="AC47" s="53">
        <f t="shared" si="3"/>
        <v>0</v>
      </c>
      <c r="AD47" s="53">
        <f t="shared" si="6"/>
        <v>5</v>
      </c>
      <c r="AE47" s="89">
        <f t="shared" si="16"/>
        <v>1.7211517420401081</v>
      </c>
      <c r="AF47" s="1"/>
      <c r="AG47" s="1"/>
      <c r="AH47" s="1"/>
      <c r="AI47" s="1"/>
      <c r="AJ47" s="1"/>
    </row>
    <row r="48" spans="2:36" x14ac:dyDescent="0.2">
      <c r="B48" s="18"/>
      <c r="C48" s="68">
        <f>Diskonteringsår+1</f>
        <v>2026</v>
      </c>
      <c r="D48" s="31"/>
      <c r="E48" s="23"/>
      <c r="F48" s="1"/>
      <c r="O48" s="87">
        <v>32</v>
      </c>
      <c r="P48" s="76">
        <f t="shared" ref="P48:P76" si="19">Trafikstartår+O48</f>
        <v>2057</v>
      </c>
      <c r="Q48" s="52">
        <f t="shared" ref="Q48:Q75" si="20">($D$9)^-($D$12-$D$10+O48)</f>
        <v>0.33258970860678427</v>
      </c>
      <c r="R48" s="50">
        <f t="shared" si="18"/>
        <v>1.3749406785310974</v>
      </c>
      <c r="S48" s="50">
        <f t="shared" si="7"/>
        <v>1.8140184086689415</v>
      </c>
      <c r="T48" s="50">
        <f t="shared" ref="T48:T75" si="21">IF(O48&lt;(KALKYLPERIOD),R48*Q48,0)</f>
        <v>0.45729111962427194</v>
      </c>
      <c r="U48" s="50">
        <f t="shared" si="8"/>
        <v>0.8295345091192603</v>
      </c>
      <c r="V48" s="53">
        <f t="shared" ref="V48:V75" si="22">IF(O48&lt;KALKYLPERIOD,$D$31*R48*S48,0)</f>
        <v>249.41677016831756</v>
      </c>
      <c r="W48" s="53">
        <f t="shared" ref="W48:W75" si="23">U48*D$21*D$22</f>
        <v>82.953450911926026</v>
      </c>
      <c r="X48" s="53">
        <f t="shared" ref="X48:X75" si="24">U48*D$23*D$24</f>
        <v>0</v>
      </c>
      <c r="Y48" s="53">
        <f t="shared" ref="Y48:Y75" si="25">U48*D$25*D$26</f>
        <v>0</v>
      </c>
      <c r="Z48" s="53">
        <f t="shared" ref="Z48:Z75" si="26">U48*D$27*D$28</f>
        <v>0</v>
      </c>
      <c r="AA48" s="53">
        <f t="shared" ref="AA48:AA75" si="27">T48*D$29*D$30</f>
        <v>0</v>
      </c>
      <c r="AB48" s="53">
        <f t="shared" si="15"/>
        <v>82.953450911926026</v>
      </c>
      <c r="AC48" s="53">
        <f t="shared" si="3"/>
        <v>0</v>
      </c>
      <c r="AD48" s="53">
        <f t="shared" ref="AD48:AD75" si="28">IF(O48&lt;KALKYLPERIOD,$D$34,0)</f>
        <v>5</v>
      </c>
      <c r="AE48" s="89">
        <f t="shared" si="16"/>
        <v>1.6629485430339215</v>
      </c>
      <c r="AF48" s="1"/>
      <c r="AG48" s="1"/>
      <c r="AH48" s="1"/>
      <c r="AI48" s="1"/>
      <c r="AJ48" s="1"/>
    </row>
    <row r="49" spans="2:36" x14ac:dyDescent="0.2">
      <c r="B49" s="18"/>
      <c r="C49" s="68">
        <f>Diskonteringsår+2</f>
        <v>2027</v>
      </c>
      <c r="D49" s="31"/>
      <c r="E49" s="23"/>
      <c r="F49" s="1"/>
      <c r="O49" s="87">
        <v>33</v>
      </c>
      <c r="P49" s="76">
        <f t="shared" si="19"/>
        <v>2058</v>
      </c>
      <c r="Q49" s="52">
        <f t="shared" si="20"/>
        <v>0.32134271362974326</v>
      </c>
      <c r="R49" s="50">
        <f t="shared" si="18"/>
        <v>1.3886900853164084</v>
      </c>
      <c r="S49" s="50">
        <f t="shared" si="7"/>
        <v>1.8412286847989754</v>
      </c>
      <c r="T49" s="50">
        <f t="shared" si="21"/>
        <v>0.44624544040629432</v>
      </c>
      <c r="U49" s="50">
        <f t="shared" si="8"/>
        <v>0.82163990533682085</v>
      </c>
      <c r="V49" s="53">
        <f t="shared" si="22"/>
        <v>255.68960193805077</v>
      </c>
      <c r="W49" s="53">
        <f t="shared" si="23"/>
        <v>82.163990533682082</v>
      </c>
      <c r="X49" s="53">
        <f t="shared" si="24"/>
        <v>0</v>
      </c>
      <c r="Y49" s="53">
        <f t="shared" si="25"/>
        <v>0</v>
      </c>
      <c r="Z49" s="53">
        <f t="shared" si="26"/>
        <v>0</v>
      </c>
      <c r="AA49" s="53">
        <f t="shared" si="27"/>
        <v>0</v>
      </c>
      <c r="AB49" s="53">
        <f t="shared" si="15"/>
        <v>82.163990533682082</v>
      </c>
      <c r="AC49" s="53">
        <f t="shared" si="3"/>
        <v>0</v>
      </c>
      <c r="AD49" s="53">
        <f t="shared" si="28"/>
        <v>5</v>
      </c>
      <c r="AE49" s="89">
        <f t="shared" si="16"/>
        <v>1.6067135681487164</v>
      </c>
      <c r="AF49" s="1"/>
      <c r="AG49" s="1"/>
      <c r="AH49" s="1"/>
      <c r="AI49" s="1"/>
      <c r="AJ49" s="1"/>
    </row>
    <row r="50" spans="2:36" x14ac:dyDescent="0.2">
      <c r="B50" s="18"/>
      <c r="C50" s="68">
        <f>Diskonteringsår+3</f>
        <v>2028</v>
      </c>
      <c r="D50" s="31"/>
      <c r="E50" s="23"/>
      <c r="F50" s="1"/>
      <c r="O50" s="87">
        <v>34</v>
      </c>
      <c r="P50" s="76">
        <f t="shared" si="19"/>
        <v>2059</v>
      </c>
      <c r="Q50" s="52">
        <f t="shared" si="20"/>
        <v>0.3104760518161771</v>
      </c>
      <c r="R50" s="50">
        <f t="shared" si="18"/>
        <v>1.402576986169572</v>
      </c>
      <c r="S50" s="50">
        <f t="shared" si="7"/>
        <v>1.8688471150709598</v>
      </c>
      <c r="T50" s="50">
        <f t="shared" si="21"/>
        <v>0.43546656503416159</v>
      </c>
      <c r="U50" s="50">
        <f t="shared" si="8"/>
        <v>0.81382043377395341</v>
      </c>
      <c r="V50" s="53">
        <f t="shared" si="22"/>
        <v>262.12019542679263</v>
      </c>
      <c r="W50" s="53">
        <f t="shared" si="23"/>
        <v>81.382043377395348</v>
      </c>
      <c r="X50" s="53">
        <f t="shared" si="24"/>
        <v>0</v>
      </c>
      <c r="Y50" s="53">
        <f t="shared" si="25"/>
        <v>0</v>
      </c>
      <c r="Z50" s="53">
        <f t="shared" si="26"/>
        <v>0</v>
      </c>
      <c r="AA50" s="53">
        <f t="shared" si="27"/>
        <v>0</v>
      </c>
      <c r="AB50" s="53">
        <f t="shared" si="15"/>
        <v>81.382043377395348</v>
      </c>
      <c r="AC50" s="53">
        <f t="shared" si="3"/>
        <v>0</v>
      </c>
      <c r="AD50" s="53">
        <f t="shared" si="28"/>
        <v>5</v>
      </c>
      <c r="AE50" s="89">
        <f t="shared" si="16"/>
        <v>1.5523802590808855</v>
      </c>
      <c r="AF50" s="1"/>
      <c r="AG50" s="1"/>
      <c r="AH50" s="1"/>
      <c r="AI50" s="1"/>
      <c r="AJ50" s="1"/>
    </row>
    <row r="51" spans="2:36" x14ac:dyDescent="0.2">
      <c r="B51" s="18"/>
      <c r="C51" s="68">
        <f>Diskonteringsår+4</f>
        <v>2029</v>
      </c>
      <c r="D51" s="31"/>
      <c r="E51" s="23"/>
      <c r="F51" s="1"/>
      <c r="O51" s="87">
        <v>35</v>
      </c>
      <c r="P51" s="76">
        <f t="shared" si="19"/>
        <v>2060</v>
      </c>
      <c r="Q51" s="52">
        <f t="shared" si="20"/>
        <v>0.29997686165814214</v>
      </c>
      <c r="R51" s="50">
        <f t="shared" si="18"/>
        <v>1.416602756031268</v>
      </c>
      <c r="S51" s="50">
        <f t="shared" si="7"/>
        <v>1.896879821797024</v>
      </c>
      <c r="T51" s="50">
        <f t="shared" si="21"/>
        <v>0.42494804897053456</v>
      </c>
      <c r="U51" s="50">
        <f t="shared" si="8"/>
        <v>0.80607537940422058</v>
      </c>
      <c r="V51" s="53">
        <f t="shared" si="22"/>
        <v>268.71251834177644</v>
      </c>
      <c r="W51" s="53">
        <f t="shared" si="23"/>
        <v>80.607537940422063</v>
      </c>
      <c r="X51" s="53">
        <f t="shared" si="24"/>
        <v>0</v>
      </c>
      <c r="Y51" s="53">
        <f t="shared" si="25"/>
        <v>0</v>
      </c>
      <c r="Z51" s="53">
        <f t="shared" si="26"/>
        <v>0</v>
      </c>
      <c r="AA51" s="53">
        <f t="shared" si="27"/>
        <v>0</v>
      </c>
      <c r="AB51" s="53">
        <f t="shared" si="15"/>
        <v>80.607537940422063</v>
      </c>
      <c r="AC51" s="53">
        <f t="shared" si="3"/>
        <v>0</v>
      </c>
      <c r="AD51" s="53">
        <f t="shared" si="28"/>
        <v>5</v>
      </c>
      <c r="AE51" s="89">
        <f t="shared" si="16"/>
        <v>1.4998843082907107</v>
      </c>
      <c r="AF51" s="1"/>
      <c r="AG51" s="1"/>
      <c r="AH51" s="1"/>
      <c r="AI51" s="1"/>
      <c r="AJ51" s="1"/>
    </row>
    <row r="52" spans="2:36" ht="13.5" thickBot="1" x14ac:dyDescent="0.25">
      <c r="B52" s="18"/>
      <c r="C52" s="69">
        <f>Diskonteringsår+5</f>
        <v>2030</v>
      </c>
      <c r="D52" s="32"/>
      <c r="E52" s="23"/>
      <c r="F52" s="1"/>
      <c r="O52" s="87">
        <v>36</v>
      </c>
      <c r="P52" s="76">
        <f t="shared" si="19"/>
        <v>2061</v>
      </c>
      <c r="Q52" s="52">
        <f t="shared" si="20"/>
        <v>0.28983271657791515</v>
      </c>
      <c r="R52" s="50">
        <f t="shared" si="18"/>
        <v>1.4307687835915806</v>
      </c>
      <c r="S52" s="50">
        <f t="shared" si="7"/>
        <v>1.9253330191239788</v>
      </c>
      <c r="T52" s="50">
        <f t="shared" si="21"/>
        <v>0.41468360334322696</v>
      </c>
      <c r="U52" s="50">
        <f t="shared" si="8"/>
        <v>0.79840403400602566</v>
      </c>
      <c r="V52" s="53">
        <f t="shared" si="22"/>
        <v>275.47063817807208</v>
      </c>
      <c r="W52" s="53">
        <f t="shared" si="23"/>
        <v>79.840403400602568</v>
      </c>
      <c r="X52" s="53">
        <f t="shared" si="24"/>
        <v>0</v>
      </c>
      <c r="Y52" s="53">
        <f t="shared" si="25"/>
        <v>0</v>
      </c>
      <c r="Z52" s="53">
        <f t="shared" si="26"/>
        <v>0</v>
      </c>
      <c r="AA52" s="53">
        <f t="shared" si="27"/>
        <v>0</v>
      </c>
      <c r="AB52" s="53">
        <f t="shared" si="15"/>
        <v>79.840403400602568</v>
      </c>
      <c r="AC52" s="53">
        <f t="shared" si="3"/>
        <v>0</v>
      </c>
      <c r="AD52" s="53">
        <f t="shared" si="28"/>
        <v>5</v>
      </c>
      <c r="AE52" s="89">
        <f t="shared" si="16"/>
        <v>1.4491635828895757</v>
      </c>
      <c r="AF52" s="1"/>
      <c r="AG52" s="1"/>
      <c r="AH52" s="1"/>
      <c r="AI52" s="1"/>
      <c r="AJ52" s="1"/>
    </row>
    <row r="53" spans="2:36" ht="13.5" thickBot="1" x14ac:dyDescent="0.25">
      <c r="B53" s="22"/>
      <c r="C53" s="27"/>
      <c r="D53" s="27"/>
      <c r="E53" s="24"/>
      <c r="F53" s="1"/>
      <c r="O53" s="87">
        <v>37</v>
      </c>
      <c r="P53" s="76">
        <f t="shared" si="19"/>
        <v>2062</v>
      </c>
      <c r="Q53" s="52">
        <f t="shared" si="20"/>
        <v>0.28003161022020789</v>
      </c>
      <c r="R53" s="50">
        <f t="shared" si="18"/>
        <v>1.4450764714274966</v>
      </c>
      <c r="S53" s="50">
        <f t="shared" si="7"/>
        <v>1.9542130144108385</v>
      </c>
      <c r="T53" s="50">
        <f t="shared" si="21"/>
        <v>0.40466709118517813</v>
      </c>
      <c r="U53" s="50">
        <f t="shared" si="8"/>
        <v>0.79080569609785256</v>
      </c>
      <c r="V53" s="53">
        <f t="shared" si="22"/>
        <v>282.39872472825061</v>
      </c>
      <c r="W53" s="53">
        <f t="shared" si="23"/>
        <v>79.080569609785258</v>
      </c>
      <c r="X53" s="53">
        <f t="shared" si="24"/>
        <v>0</v>
      </c>
      <c r="Y53" s="53">
        <f t="shared" si="25"/>
        <v>0</v>
      </c>
      <c r="Z53" s="53">
        <f t="shared" si="26"/>
        <v>0</v>
      </c>
      <c r="AA53" s="53">
        <f t="shared" si="27"/>
        <v>0</v>
      </c>
      <c r="AB53" s="53">
        <f t="shared" si="15"/>
        <v>79.080569609785258</v>
      </c>
      <c r="AC53" s="53">
        <f t="shared" si="3"/>
        <v>0</v>
      </c>
      <c r="AD53" s="53">
        <f t="shared" si="28"/>
        <v>5</v>
      </c>
      <c r="AE53" s="89">
        <f t="shared" si="16"/>
        <v>1.4001580511010394</v>
      </c>
      <c r="AF53" s="1"/>
      <c r="AG53" s="1"/>
      <c r="AH53" s="1"/>
      <c r="AI53" s="1"/>
      <c r="AJ53" s="1"/>
    </row>
    <row r="54" spans="2:36" x14ac:dyDescent="0.2">
      <c r="F54" s="1"/>
      <c r="O54" s="87">
        <v>38</v>
      </c>
      <c r="P54" s="76">
        <f t="shared" si="19"/>
        <v>2063</v>
      </c>
      <c r="Q54" s="52">
        <f t="shared" si="20"/>
        <v>0.27056194224174673</v>
      </c>
      <c r="R54" s="50">
        <f t="shared" si="18"/>
        <v>1.4595272361417715</v>
      </c>
      <c r="S54" s="50">
        <f t="shared" si="7"/>
        <v>1.9835262096270005</v>
      </c>
      <c r="T54" s="50">
        <f t="shared" si="21"/>
        <v>0.39489252376524625</v>
      </c>
      <c r="U54" s="50">
        <f t="shared" si="8"/>
        <v>0.78327967087411909</v>
      </c>
      <c r="V54" s="53">
        <f t="shared" si="22"/>
        <v>289.50105265516606</v>
      </c>
      <c r="W54" s="53">
        <f t="shared" si="23"/>
        <v>78.327967087411906</v>
      </c>
      <c r="X54" s="53">
        <f t="shared" si="24"/>
        <v>0</v>
      </c>
      <c r="Y54" s="53">
        <f t="shared" si="25"/>
        <v>0</v>
      </c>
      <c r="Z54" s="53">
        <f t="shared" si="26"/>
        <v>0</v>
      </c>
      <c r="AA54" s="53">
        <f t="shared" si="27"/>
        <v>0</v>
      </c>
      <c r="AB54" s="53">
        <f t="shared" si="15"/>
        <v>78.327967087411906</v>
      </c>
      <c r="AC54" s="53">
        <f t="shared" si="3"/>
        <v>0</v>
      </c>
      <c r="AD54" s="53">
        <f t="shared" si="28"/>
        <v>5</v>
      </c>
      <c r="AE54" s="89">
        <f t="shared" si="16"/>
        <v>1.3528097112087336</v>
      </c>
      <c r="AF54" s="1"/>
      <c r="AG54" s="1"/>
      <c r="AH54" s="1"/>
      <c r="AI54" s="1"/>
      <c r="AJ54" s="1"/>
    </row>
    <row r="55" spans="2:36" x14ac:dyDescent="0.2">
      <c r="O55" s="87">
        <v>39</v>
      </c>
      <c r="P55" s="76">
        <f t="shared" si="19"/>
        <v>2064</v>
      </c>
      <c r="Q55" s="52">
        <f t="shared" si="20"/>
        <v>0.26141250458139786</v>
      </c>
      <c r="R55" s="50">
        <f t="shared" si="18"/>
        <v>1.4741225085031895</v>
      </c>
      <c r="S55" s="50">
        <f t="shared" si="7"/>
        <v>2.0132791027714054</v>
      </c>
      <c r="T55" s="50">
        <f t="shared" si="21"/>
        <v>0.38535405700763176</v>
      </c>
      <c r="U55" s="50">
        <f t="shared" si="8"/>
        <v>0.77582527014164593</v>
      </c>
      <c r="V55" s="53">
        <f t="shared" si="22"/>
        <v>296.78200412944346</v>
      </c>
      <c r="W55" s="53">
        <f>U55*D$21*D$22</f>
        <v>77.582527014164597</v>
      </c>
      <c r="X55" s="53">
        <f t="shared" si="24"/>
        <v>0</v>
      </c>
      <c r="Y55" s="53">
        <f t="shared" si="25"/>
        <v>0</v>
      </c>
      <c r="Z55" s="53">
        <f t="shared" si="26"/>
        <v>0</v>
      </c>
      <c r="AA55" s="53">
        <f t="shared" si="27"/>
        <v>0</v>
      </c>
      <c r="AB55" s="53">
        <f t="shared" si="15"/>
        <v>77.582527014164597</v>
      </c>
      <c r="AC55" s="53">
        <f t="shared" si="3"/>
        <v>0</v>
      </c>
      <c r="AD55" s="53">
        <f t="shared" si="28"/>
        <v>5</v>
      </c>
      <c r="AE55" s="89">
        <f t="shared" si="16"/>
        <v>1.3070625229069894</v>
      </c>
      <c r="AF55" s="1"/>
      <c r="AG55" s="1"/>
      <c r="AH55" s="1"/>
      <c r="AI55" s="1"/>
      <c r="AJ55" s="1"/>
    </row>
    <row r="56" spans="2:36" x14ac:dyDescent="0.2">
      <c r="O56" s="87">
        <v>40</v>
      </c>
      <c r="P56" s="51">
        <f t="shared" si="19"/>
        <v>2065</v>
      </c>
      <c r="Q56" s="52">
        <f t="shared" si="20"/>
        <v>0.25257246819458734</v>
      </c>
      <c r="R56" s="50">
        <f t="shared" si="18"/>
        <v>1.4888637335882215</v>
      </c>
      <c r="S56" s="50">
        <f t="shared" si="7"/>
        <v>2.0434782893129761</v>
      </c>
      <c r="T56" s="50">
        <f t="shared" si="21"/>
        <v>0.37604598799778566</v>
      </c>
      <c r="U56" s="50">
        <f>S56*T56</f>
        <v>0.76844181225672303</v>
      </c>
      <c r="V56" s="53">
        <f t="shared" si="22"/>
        <v>304.24607153329896</v>
      </c>
      <c r="W56" s="53">
        <f t="shared" si="23"/>
        <v>76.844181225672301</v>
      </c>
      <c r="X56" s="53">
        <f t="shared" si="24"/>
        <v>0</v>
      </c>
      <c r="Y56" s="53">
        <f t="shared" si="25"/>
        <v>0</v>
      </c>
      <c r="Z56" s="53">
        <f t="shared" si="26"/>
        <v>0</v>
      </c>
      <c r="AA56" s="53">
        <f t="shared" si="27"/>
        <v>0</v>
      </c>
      <c r="AB56" s="53">
        <f t="shared" si="15"/>
        <v>76.844181225672301</v>
      </c>
      <c r="AC56" s="53">
        <f t="shared" si="3"/>
        <v>0</v>
      </c>
      <c r="AD56" s="53">
        <f t="shared" si="28"/>
        <v>5</v>
      </c>
      <c r="AE56" s="89">
        <f t="shared" si="16"/>
        <v>1.2628623409729367</v>
      </c>
      <c r="AF56" s="1"/>
      <c r="AG56" s="1"/>
      <c r="AH56" s="1"/>
      <c r="AI56" s="1"/>
      <c r="AJ56" s="1"/>
    </row>
    <row r="57" spans="2:36" x14ac:dyDescent="0.2">
      <c r="O57" s="87">
        <v>41</v>
      </c>
      <c r="P57" s="70">
        <f t="shared" si="19"/>
        <v>2066</v>
      </c>
      <c r="Q57" s="52">
        <f t="shared" si="20"/>
        <v>0.24403137023631633</v>
      </c>
      <c r="R57" s="50">
        <f t="shared" si="18"/>
        <v>1.5037523709241036</v>
      </c>
      <c r="S57" s="50">
        <f t="shared" si="7"/>
        <v>2.0741304636526703</v>
      </c>
      <c r="T57" s="50">
        <f t="shared" si="21"/>
        <v>0.3669627515727184</v>
      </c>
      <c r="U57" s="50">
        <f t="shared" si="8"/>
        <v>0.76112862206278209</v>
      </c>
      <c r="V57" s="50">
        <f t="shared" si="22"/>
        <v>311.89786023236132</v>
      </c>
      <c r="W57" s="50">
        <f t="shared" si="23"/>
        <v>76.112862206278209</v>
      </c>
      <c r="X57" s="50">
        <f t="shared" si="24"/>
        <v>0</v>
      </c>
      <c r="Y57" s="50">
        <f t="shared" si="25"/>
        <v>0</v>
      </c>
      <c r="Z57" s="50">
        <f t="shared" si="26"/>
        <v>0</v>
      </c>
      <c r="AA57" s="50">
        <f t="shared" si="27"/>
        <v>0</v>
      </c>
      <c r="AB57" s="50">
        <f t="shared" si="15"/>
        <v>76.112862206278209</v>
      </c>
      <c r="AC57" s="50">
        <f t="shared" si="3"/>
        <v>0</v>
      </c>
      <c r="AD57" s="50">
        <f t="shared" si="28"/>
        <v>5</v>
      </c>
      <c r="AE57" s="90">
        <f t="shared" si="16"/>
        <v>1.2201568511815817</v>
      </c>
      <c r="AF57" s="1"/>
      <c r="AG57" s="1"/>
      <c r="AH57" s="1"/>
      <c r="AI57" s="1"/>
      <c r="AJ57" s="1"/>
    </row>
    <row r="58" spans="2:36" x14ac:dyDescent="0.2">
      <c r="O58" s="87">
        <v>42</v>
      </c>
      <c r="P58" s="76">
        <f t="shared" si="19"/>
        <v>2067</v>
      </c>
      <c r="Q58" s="52">
        <f t="shared" si="20"/>
        <v>0.2357791016776003</v>
      </c>
      <c r="R58" s="50">
        <f t="shared" si="18"/>
        <v>1.5187898946333442</v>
      </c>
      <c r="S58" s="50">
        <f t="shared" si="7"/>
        <v>2.1052424206074605</v>
      </c>
      <c r="T58" s="50">
        <f t="shared" si="21"/>
        <v>0.35809891699366714</v>
      </c>
      <c r="U58" s="50">
        <f t="shared" si="8"/>
        <v>0.75388503082865788</v>
      </c>
      <c r="V58" s="50">
        <f t="shared" si="22"/>
        <v>319.74209141720513</v>
      </c>
      <c r="W58" s="50">
        <f t="shared" si="23"/>
        <v>75.388503082865782</v>
      </c>
      <c r="X58" s="50">
        <f t="shared" si="24"/>
        <v>0</v>
      </c>
      <c r="Y58" s="50">
        <f t="shared" si="25"/>
        <v>0</v>
      </c>
      <c r="Z58" s="50">
        <f t="shared" si="26"/>
        <v>0</v>
      </c>
      <c r="AA58" s="50">
        <f t="shared" si="27"/>
        <v>0</v>
      </c>
      <c r="AB58" s="50">
        <f t="shared" si="15"/>
        <v>75.388503082865782</v>
      </c>
      <c r="AC58" s="50">
        <f t="shared" si="3"/>
        <v>0</v>
      </c>
      <c r="AD58" s="50">
        <f t="shared" si="28"/>
        <v>5</v>
      </c>
      <c r="AE58" s="90">
        <f t="shared" si="16"/>
        <v>1.1788955083880015</v>
      </c>
      <c r="AF58" s="1"/>
      <c r="AG58" s="1"/>
      <c r="AH58" s="1"/>
      <c r="AI58" s="1"/>
      <c r="AJ58" s="1"/>
    </row>
    <row r="59" spans="2:36" x14ac:dyDescent="0.2">
      <c r="O59" s="87">
        <v>43</v>
      </c>
      <c r="P59" s="76">
        <f t="shared" si="19"/>
        <v>2068</v>
      </c>
      <c r="Q59" s="52">
        <f t="shared" si="20"/>
        <v>0.22780589534067661</v>
      </c>
      <c r="R59" s="50">
        <f t="shared" si="18"/>
        <v>1.5339777935796777</v>
      </c>
      <c r="S59" s="50">
        <f t="shared" si="7"/>
        <v>2.1368210569165722</v>
      </c>
      <c r="T59" s="50">
        <f t="shared" si="21"/>
        <v>0.34944918469913405</v>
      </c>
      <c r="U59" s="50">
        <f t="shared" si="8"/>
        <v>0.74671037618743807</v>
      </c>
      <c r="V59" s="50">
        <f t="shared" si="22"/>
        <v>327.78360501634785</v>
      </c>
      <c r="W59" s="50">
        <f t="shared" si="23"/>
        <v>74.67103761874381</v>
      </c>
      <c r="X59" s="50">
        <f t="shared" si="24"/>
        <v>0</v>
      </c>
      <c r="Y59" s="50">
        <f t="shared" si="25"/>
        <v>0</v>
      </c>
      <c r="Z59" s="50">
        <f t="shared" si="26"/>
        <v>0</v>
      </c>
      <c r="AA59" s="50">
        <f t="shared" si="27"/>
        <v>0</v>
      </c>
      <c r="AB59" s="50">
        <f t="shared" si="15"/>
        <v>74.67103761874381</v>
      </c>
      <c r="AC59" s="50">
        <f t="shared" si="3"/>
        <v>0</v>
      </c>
      <c r="AD59" s="50">
        <f t="shared" si="28"/>
        <v>5</v>
      </c>
      <c r="AE59" s="90">
        <f t="shared" si="16"/>
        <v>1.1390294767033831</v>
      </c>
      <c r="AF59" s="1"/>
      <c r="AG59" s="1"/>
      <c r="AH59" s="1"/>
      <c r="AI59" s="1"/>
      <c r="AJ59" s="1"/>
    </row>
    <row r="60" spans="2:36" x14ac:dyDescent="0.2">
      <c r="O60" s="87">
        <v>44</v>
      </c>
      <c r="P60" s="70">
        <f t="shared" si="19"/>
        <v>2069</v>
      </c>
      <c r="Q60" s="52">
        <f t="shared" si="20"/>
        <v>0.22010231433881802</v>
      </c>
      <c r="R60" s="50">
        <f t="shared" si="18"/>
        <v>1.5493175715154746</v>
      </c>
      <c r="S60" s="50">
        <f t="shared" si="7"/>
        <v>2.16887337277032</v>
      </c>
      <c r="T60" s="50">
        <f t="shared" si="21"/>
        <v>0.34100838313635318</v>
      </c>
      <c r="U60" s="50">
        <f t="shared" si="8"/>
        <v>0.73960400207589583</v>
      </c>
      <c r="V60" s="50">
        <f t="shared" si="22"/>
        <v>336.02736268250891</v>
      </c>
      <c r="W60" s="50">
        <f t="shared" si="23"/>
        <v>73.960400207589586</v>
      </c>
      <c r="X60" s="50">
        <f t="shared" si="24"/>
        <v>0</v>
      </c>
      <c r="Y60" s="50">
        <f t="shared" si="25"/>
        <v>0</v>
      </c>
      <c r="Z60" s="50">
        <f t="shared" si="26"/>
        <v>0</v>
      </c>
      <c r="AA60" s="50">
        <f t="shared" si="27"/>
        <v>0</v>
      </c>
      <c r="AB60" s="50">
        <f t="shared" si="15"/>
        <v>73.960400207589586</v>
      </c>
      <c r="AC60" s="50">
        <f t="shared" si="3"/>
        <v>0</v>
      </c>
      <c r="AD60" s="50">
        <f t="shared" si="28"/>
        <v>5</v>
      </c>
      <c r="AE60" s="90">
        <f t="shared" si="16"/>
        <v>1.1005115716940901</v>
      </c>
      <c r="AF60" s="1"/>
      <c r="AG60" s="1"/>
      <c r="AH60" s="1"/>
      <c r="AI60" s="1"/>
      <c r="AJ60" s="1"/>
    </row>
    <row r="61" spans="2:36" x14ac:dyDescent="0.2">
      <c r="O61" s="87">
        <v>45</v>
      </c>
      <c r="P61" s="70">
        <f t="shared" si="19"/>
        <v>2070</v>
      </c>
      <c r="Q61" s="52">
        <f t="shared" si="20"/>
        <v>0.21265924090707056</v>
      </c>
      <c r="R61" s="50">
        <f t="shared" si="18"/>
        <v>1.5648107472306296</v>
      </c>
      <c r="S61" s="50">
        <f t="shared" si="7"/>
        <v>2.2014064733618746</v>
      </c>
      <c r="T61" s="50">
        <f t="shared" si="21"/>
        <v>0.33277146566929156</v>
      </c>
      <c r="U61" s="50">
        <f t="shared" si="8"/>
        <v>0.73256525867449729</v>
      </c>
      <c r="V61" s="50">
        <f t="shared" si="22"/>
        <v>344.47845085397398</v>
      </c>
      <c r="W61" s="50">
        <f t="shared" si="23"/>
        <v>73.256525867449724</v>
      </c>
      <c r="X61" s="50">
        <f t="shared" si="24"/>
        <v>0</v>
      </c>
      <c r="Y61" s="50">
        <f t="shared" si="25"/>
        <v>0</v>
      </c>
      <c r="Z61" s="50">
        <f t="shared" si="26"/>
        <v>0</v>
      </c>
      <c r="AA61" s="50">
        <f t="shared" si="27"/>
        <v>0</v>
      </c>
      <c r="AB61" s="50">
        <f t="shared" si="15"/>
        <v>73.256525867449724</v>
      </c>
      <c r="AC61" s="50">
        <f t="shared" si="3"/>
        <v>0</v>
      </c>
      <c r="AD61" s="50">
        <f t="shared" si="28"/>
        <v>5</v>
      </c>
      <c r="AE61" s="90">
        <f t="shared" si="16"/>
        <v>1.0632962045353529</v>
      </c>
      <c r="AF61" s="1"/>
      <c r="AG61" s="1"/>
      <c r="AH61" s="1"/>
      <c r="AI61" s="1"/>
      <c r="AJ61" s="1"/>
    </row>
    <row r="62" spans="2:36" x14ac:dyDescent="0.2">
      <c r="O62" s="87">
        <v>46</v>
      </c>
      <c r="P62" s="70">
        <f t="shared" si="19"/>
        <v>2071</v>
      </c>
      <c r="Q62" s="52">
        <f t="shared" si="20"/>
        <v>0.20546786561069619</v>
      </c>
      <c r="R62" s="50">
        <f t="shared" si="18"/>
        <v>1.5804588547029355</v>
      </c>
      <c r="S62" s="50">
        <f t="shared" si="7"/>
        <v>2.234427570462302</v>
      </c>
      <c r="T62" s="50">
        <f t="shared" si="21"/>
        <v>0.32473350756133756</v>
      </c>
      <c r="U62" s="50">
        <f t="shared" si="8"/>
        <v>0.72559350234798103</v>
      </c>
      <c r="V62" s="50">
        <f t="shared" si="22"/>
        <v>353.14208389295123</v>
      </c>
      <c r="W62" s="50">
        <f t="shared" si="23"/>
        <v>72.559350234798103</v>
      </c>
      <c r="X62" s="50">
        <f t="shared" si="24"/>
        <v>0</v>
      </c>
      <c r="Y62" s="50">
        <f t="shared" si="25"/>
        <v>0</v>
      </c>
      <c r="Z62" s="50">
        <f t="shared" si="26"/>
        <v>0</v>
      </c>
      <c r="AA62" s="50">
        <f t="shared" si="27"/>
        <v>0</v>
      </c>
      <c r="AB62" s="50">
        <f t="shared" si="15"/>
        <v>72.559350234798103</v>
      </c>
      <c r="AC62" s="50">
        <f t="shared" si="3"/>
        <v>0</v>
      </c>
      <c r="AD62" s="50">
        <f t="shared" si="28"/>
        <v>5</v>
      </c>
      <c r="AE62" s="90">
        <f t="shared" si="16"/>
        <v>1.0273393280534808</v>
      </c>
      <c r="AF62" s="1"/>
      <c r="AG62" s="1"/>
      <c r="AH62" s="1"/>
      <c r="AI62" s="1"/>
      <c r="AJ62" s="1"/>
    </row>
    <row r="63" spans="2:36" x14ac:dyDescent="0.2">
      <c r="O63" s="87">
        <v>47</v>
      </c>
      <c r="P63" s="70">
        <f t="shared" si="19"/>
        <v>2072</v>
      </c>
      <c r="Q63" s="52">
        <f t="shared" si="20"/>
        <v>0.19851967691854708</v>
      </c>
      <c r="R63" s="50">
        <f t="shared" si="18"/>
        <v>1.5962634432499652</v>
      </c>
      <c r="S63" s="50">
        <f t="shared" si="7"/>
        <v>2.2679439840192366</v>
      </c>
      <c r="T63" s="50">
        <f t="shared" si="21"/>
        <v>0.31688970303087061</v>
      </c>
      <c r="U63" s="50">
        <f t="shared" si="8"/>
        <v>0.71868809558650548</v>
      </c>
      <c r="V63" s="50">
        <f t="shared" si="22"/>
        <v>362.02360730285909</v>
      </c>
      <c r="W63" s="50">
        <f t="shared" si="23"/>
        <v>71.868809558650554</v>
      </c>
      <c r="X63" s="50">
        <f t="shared" si="24"/>
        <v>0</v>
      </c>
      <c r="Y63" s="50">
        <f t="shared" si="25"/>
        <v>0</v>
      </c>
      <c r="Z63" s="50">
        <f t="shared" si="26"/>
        <v>0</v>
      </c>
      <c r="AA63" s="50">
        <f t="shared" si="27"/>
        <v>0</v>
      </c>
      <c r="AB63" s="50">
        <f t="shared" si="15"/>
        <v>71.868809558650554</v>
      </c>
      <c r="AC63" s="50">
        <f t="shared" si="3"/>
        <v>0</v>
      </c>
      <c r="AD63" s="50">
        <f t="shared" si="28"/>
        <v>5</v>
      </c>
      <c r="AE63" s="90">
        <f t="shared" si="16"/>
        <v>0.99259838459273542</v>
      </c>
      <c r="AF63" s="1"/>
      <c r="AG63" s="1"/>
      <c r="AH63" s="1"/>
      <c r="AI63" s="1"/>
      <c r="AJ63" s="1"/>
    </row>
    <row r="64" spans="2:36" x14ac:dyDescent="0.2">
      <c r="O64" s="87">
        <v>48</v>
      </c>
      <c r="P64" s="70">
        <f t="shared" si="19"/>
        <v>2073</v>
      </c>
      <c r="Q64" s="52">
        <f t="shared" si="20"/>
        <v>0.19180645112903102</v>
      </c>
      <c r="R64" s="50">
        <f t="shared" si="18"/>
        <v>1.6122260776824648</v>
      </c>
      <c r="S64" s="50">
        <f t="shared" si="7"/>
        <v>2.3019631437795249</v>
      </c>
      <c r="T64" s="50">
        <f t="shared" si="21"/>
        <v>0.30923536237795107</v>
      </c>
      <c r="U64" s="50">
        <f t="shared" si="8"/>
        <v>0.71184840694734886</v>
      </c>
      <c r="V64" s="50">
        <f t="shared" si="22"/>
        <v>371.12850102652595</v>
      </c>
      <c r="W64" s="50">
        <f t="shared" si="23"/>
        <v>71.184840694734888</v>
      </c>
      <c r="X64" s="50">
        <f t="shared" si="24"/>
        <v>0</v>
      </c>
      <c r="Y64" s="50">
        <f t="shared" si="25"/>
        <v>0</v>
      </c>
      <c r="Z64" s="50">
        <f t="shared" si="26"/>
        <v>0</v>
      </c>
      <c r="AA64" s="50">
        <f t="shared" si="27"/>
        <v>0</v>
      </c>
      <c r="AB64" s="50">
        <f t="shared" si="15"/>
        <v>71.184840694734888</v>
      </c>
      <c r="AC64" s="50">
        <f t="shared" si="3"/>
        <v>0</v>
      </c>
      <c r="AD64" s="50">
        <f t="shared" si="28"/>
        <v>5</v>
      </c>
      <c r="AE64" s="90">
        <f t="shared" si="16"/>
        <v>0.95903225564515515</v>
      </c>
      <c r="AF64" s="1"/>
      <c r="AG64" s="1"/>
      <c r="AH64" s="1"/>
      <c r="AI64" s="1"/>
      <c r="AJ64" s="1"/>
    </row>
    <row r="65" spans="3:36" x14ac:dyDescent="0.2">
      <c r="O65" s="87">
        <v>49</v>
      </c>
      <c r="P65" s="70">
        <f t="shared" si="19"/>
        <v>2074</v>
      </c>
      <c r="Q65" s="52">
        <f t="shared" si="20"/>
        <v>0.18532024263674499</v>
      </c>
      <c r="R65" s="50">
        <f t="shared" si="18"/>
        <v>1.6283483384592896</v>
      </c>
      <c r="S65" s="50">
        <f t="shared" si="7"/>
        <v>2.3364925909362175</v>
      </c>
      <c r="T65" s="50">
        <f t="shared" si="21"/>
        <v>0.30176590918041613</v>
      </c>
      <c r="U65" s="50">
        <f t="shared" si="8"/>
        <v>0.70507381099717381</v>
      </c>
      <c r="V65" s="50">
        <f t="shared" si="22"/>
        <v>380.46238282734305</v>
      </c>
      <c r="W65" s="50">
        <f t="shared" si="23"/>
        <v>70.507381099717378</v>
      </c>
      <c r="X65" s="50">
        <f t="shared" si="24"/>
        <v>0</v>
      </c>
      <c r="Y65" s="50">
        <f t="shared" si="25"/>
        <v>0</v>
      </c>
      <c r="Z65" s="50">
        <f t="shared" si="26"/>
        <v>0</v>
      </c>
      <c r="AA65" s="50">
        <f t="shared" si="27"/>
        <v>0</v>
      </c>
      <c r="AB65" s="50">
        <f t="shared" si="15"/>
        <v>70.507381099717378</v>
      </c>
      <c r="AC65" s="50">
        <f t="shared" si="3"/>
        <v>0</v>
      </c>
      <c r="AD65" s="50">
        <f t="shared" si="28"/>
        <v>5</v>
      </c>
      <c r="AE65" s="90">
        <f t="shared" si="16"/>
        <v>0.9266012131837249</v>
      </c>
      <c r="AF65" s="1"/>
      <c r="AG65" s="1"/>
      <c r="AH65" s="1"/>
      <c r="AI65" s="1"/>
      <c r="AJ65" s="1"/>
    </row>
    <row r="66" spans="3:36" x14ac:dyDescent="0.2">
      <c r="C66" s="1"/>
      <c r="D66" s="1"/>
      <c r="E66" s="1"/>
      <c r="O66" s="87">
        <v>50</v>
      </c>
      <c r="P66" s="70">
        <f t="shared" si="19"/>
        <v>2075</v>
      </c>
      <c r="Q66" s="52">
        <f t="shared" si="20"/>
        <v>0.17905337452825601</v>
      </c>
      <c r="R66" s="50">
        <f t="shared" si="18"/>
        <v>1.6446318218438822</v>
      </c>
      <c r="S66" s="50">
        <f t="shared" si="7"/>
        <v>2.3715399798002603</v>
      </c>
      <c r="T66" s="50">
        <f t="shared" si="21"/>
        <v>0.29447687755770063</v>
      </c>
      <c r="U66" s="50">
        <f t="shared" si="8"/>
        <v>0.69836368825483308</v>
      </c>
      <c r="V66" s="50">
        <f t="shared" si="22"/>
        <v>390.03101175545055</v>
      </c>
      <c r="W66" s="50">
        <f t="shared" si="23"/>
        <v>69.836368825483305</v>
      </c>
      <c r="X66" s="50">
        <f t="shared" si="24"/>
        <v>0</v>
      </c>
      <c r="Y66" s="50">
        <f t="shared" si="25"/>
        <v>0</v>
      </c>
      <c r="Z66" s="50">
        <f t="shared" si="26"/>
        <v>0</v>
      </c>
      <c r="AA66" s="50">
        <f t="shared" si="27"/>
        <v>0</v>
      </c>
      <c r="AB66" s="50">
        <f t="shared" si="15"/>
        <v>69.836368825483305</v>
      </c>
      <c r="AC66" s="50">
        <f t="shared" si="3"/>
        <v>0</v>
      </c>
      <c r="AD66" s="50">
        <f t="shared" si="28"/>
        <v>5</v>
      </c>
      <c r="AE66" s="90">
        <f t="shared" si="16"/>
        <v>0.89526687264128002</v>
      </c>
      <c r="AF66" s="1"/>
      <c r="AG66" s="1"/>
      <c r="AH66" s="1"/>
      <c r="AI66" s="1"/>
      <c r="AJ66" s="1"/>
    </row>
    <row r="67" spans="3:36" x14ac:dyDescent="0.2">
      <c r="O67" s="87">
        <v>51</v>
      </c>
      <c r="P67" s="70">
        <f t="shared" si="19"/>
        <v>2076</v>
      </c>
      <c r="Q67" s="52">
        <f t="shared" si="20"/>
        <v>0.17299842949589955</v>
      </c>
      <c r="R67" s="50">
        <f t="shared" si="18"/>
        <v>1.6610781400623211</v>
      </c>
      <c r="S67" s="50">
        <f t="shared" si="7"/>
        <v>2.4071130794972642</v>
      </c>
      <c r="T67" s="50">
        <f t="shared" si="21"/>
        <v>0.28736390950075141</v>
      </c>
      <c r="U67" s="50">
        <f t="shared" si="8"/>
        <v>0.69171742513472689</v>
      </c>
      <c r="V67" s="50">
        <f t="shared" si="22"/>
        <v>399.84029170110017</v>
      </c>
      <c r="W67" s="50">
        <f t="shared" si="23"/>
        <v>69.171742513472694</v>
      </c>
      <c r="X67" s="50">
        <f t="shared" si="24"/>
        <v>0</v>
      </c>
      <c r="Y67" s="50">
        <f t="shared" si="25"/>
        <v>0</v>
      </c>
      <c r="Z67" s="50">
        <f t="shared" si="26"/>
        <v>0</v>
      </c>
      <c r="AA67" s="50">
        <f t="shared" si="27"/>
        <v>0</v>
      </c>
      <c r="AB67" s="50">
        <f t="shared" si="15"/>
        <v>69.171742513472694</v>
      </c>
      <c r="AC67" s="50">
        <f t="shared" si="3"/>
        <v>0</v>
      </c>
      <c r="AD67" s="50">
        <f t="shared" si="28"/>
        <v>5</v>
      </c>
      <c r="AE67" s="90">
        <f t="shared" si="16"/>
        <v>0.86499214747949771</v>
      </c>
      <c r="AF67" s="1"/>
      <c r="AG67" s="1"/>
      <c r="AH67" s="1"/>
      <c r="AI67" s="1"/>
      <c r="AJ67" s="1"/>
    </row>
    <row r="68" spans="3:36" x14ac:dyDescent="0.2">
      <c r="O68" s="87">
        <v>52</v>
      </c>
      <c r="P68" s="70">
        <f t="shared" si="19"/>
        <v>2077</v>
      </c>
      <c r="Q68" s="52">
        <f t="shared" si="20"/>
        <v>0.16714824105884016</v>
      </c>
      <c r="R68" s="50">
        <f t="shared" si="18"/>
        <v>1.6776889214629445</v>
      </c>
      <c r="S68" s="50">
        <f t="shared" si="7"/>
        <v>2.4432197756897223</v>
      </c>
      <c r="T68" s="50">
        <f t="shared" si="21"/>
        <v>0.28042275226643382</v>
      </c>
      <c r="U68" s="50">
        <f t="shared" si="8"/>
        <v>0.68513441389069096</v>
      </c>
      <c r="V68" s="50">
        <f t="shared" si="22"/>
        <v>409.89627503738268</v>
      </c>
      <c r="W68" s="50">
        <f t="shared" si="23"/>
        <v>68.513441389069101</v>
      </c>
      <c r="X68" s="50">
        <f t="shared" si="24"/>
        <v>0</v>
      </c>
      <c r="Y68" s="50">
        <f t="shared" si="25"/>
        <v>0</v>
      </c>
      <c r="Z68" s="50">
        <f t="shared" si="26"/>
        <v>0</v>
      </c>
      <c r="AA68" s="50">
        <f t="shared" si="27"/>
        <v>0</v>
      </c>
      <c r="AB68" s="50">
        <f t="shared" si="15"/>
        <v>68.513441389069101</v>
      </c>
      <c r="AC68" s="50">
        <f t="shared" si="3"/>
        <v>0</v>
      </c>
      <c r="AD68" s="50">
        <f t="shared" si="28"/>
        <v>5</v>
      </c>
      <c r="AE68" s="90">
        <f t="shared" si="16"/>
        <v>0.83574120529420082</v>
      </c>
      <c r="AF68" s="1"/>
      <c r="AG68" s="1"/>
      <c r="AH68" s="1"/>
      <c r="AI68" s="1"/>
      <c r="AJ68" s="1"/>
    </row>
    <row r="69" spans="3:36" x14ac:dyDescent="0.2">
      <c r="O69" s="87">
        <v>53</v>
      </c>
      <c r="P69" s="70">
        <f t="shared" si="19"/>
        <v>2078</v>
      </c>
      <c r="Q69" s="52">
        <f t="shared" si="20"/>
        <v>0.16149588508100501</v>
      </c>
      <c r="R69" s="50">
        <f t="shared" si="18"/>
        <v>1.6944658106775741</v>
      </c>
      <c r="S69" s="50">
        <f t="shared" si="7"/>
        <v>2.4798680723250683</v>
      </c>
      <c r="T69" s="50">
        <f t="shared" si="21"/>
        <v>0.27364925583487748</v>
      </c>
      <c r="U69" s="50">
        <f t="shared" si="8"/>
        <v>0.67861405256042706</v>
      </c>
      <c r="V69" s="50">
        <f t="shared" si="22"/>
        <v>420.20516635457295</v>
      </c>
      <c r="W69" s="50">
        <f t="shared" si="23"/>
        <v>67.861405256042701</v>
      </c>
      <c r="X69" s="50">
        <f t="shared" si="24"/>
        <v>0</v>
      </c>
      <c r="Y69" s="50">
        <f t="shared" si="25"/>
        <v>0</v>
      </c>
      <c r="Z69" s="50">
        <f t="shared" si="26"/>
        <v>0</v>
      </c>
      <c r="AA69" s="50">
        <f t="shared" si="27"/>
        <v>0</v>
      </c>
      <c r="AB69" s="50">
        <f t="shared" si="15"/>
        <v>67.861405256042701</v>
      </c>
      <c r="AC69" s="50">
        <f t="shared" si="3"/>
        <v>0</v>
      </c>
      <c r="AD69" s="50">
        <f t="shared" si="28"/>
        <v>5</v>
      </c>
      <c r="AE69" s="90">
        <f t="shared" si="16"/>
        <v>0.80747942540502504</v>
      </c>
      <c r="AF69" s="1"/>
      <c r="AG69" s="1"/>
      <c r="AH69" s="1"/>
      <c r="AI69" s="1"/>
      <c r="AJ69" s="1"/>
    </row>
    <row r="70" spans="3:36" x14ac:dyDescent="0.2">
      <c r="O70" s="87">
        <v>54</v>
      </c>
      <c r="P70" s="70">
        <f t="shared" si="19"/>
        <v>2079</v>
      </c>
      <c r="Q70" s="52">
        <f t="shared" si="20"/>
        <v>0.15603467157585027</v>
      </c>
      <c r="R70" s="50">
        <f t="shared" si="18"/>
        <v>1.7114104687843492</v>
      </c>
      <c r="S70" s="50">
        <f t="shared" si="7"/>
        <v>2.5170660934099436</v>
      </c>
      <c r="T70" s="50">
        <f t="shared" si="21"/>
        <v>0.26703937042823789</v>
      </c>
      <c r="U70" s="50">
        <f t="shared" si="8"/>
        <v>0.6721557449104556</v>
      </c>
      <c r="V70" s="50">
        <f t="shared" si="22"/>
        <v>430.77332628839025</v>
      </c>
      <c r="W70" s="50">
        <f t="shared" si="23"/>
        <v>67.215574491045558</v>
      </c>
      <c r="X70" s="50">
        <f t="shared" si="24"/>
        <v>0</v>
      </c>
      <c r="Y70" s="50">
        <f t="shared" si="25"/>
        <v>0</v>
      </c>
      <c r="Z70" s="50">
        <f t="shared" si="26"/>
        <v>0</v>
      </c>
      <c r="AA70" s="50">
        <f t="shared" si="27"/>
        <v>0</v>
      </c>
      <c r="AB70" s="50">
        <f t="shared" si="15"/>
        <v>67.215574491045558</v>
      </c>
      <c r="AC70" s="50">
        <f t="shared" si="3"/>
        <v>0</v>
      </c>
      <c r="AD70" s="50">
        <f t="shared" si="28"/>
        <v>5</v>
      </c>
      <c r="AE70" s="90">
        <f t="shared" si="16"/>
        <v>0.78017335787925135</v>
      </c>
      <c r="AF70" s="1"/>
      <c r="AG70" s="1"/>
      <c r="AH70" s="1"/>
      <c r="AI70" s="1"/>
      <c r="AJ70" s="1"/>
    </row>
    <row r="71" spans="3:36" x14ac:dyDescent="0.2">
      <c r="O71" s="87">
        <v>55</v>
      </c>
      <c r="P71" s="70">
        <f t="shared" si="19"/>
        <v>2080</v>
      </c>
      <c r="Q71" s="52">
        <f t="shared" si="20"/>
        <v>0.15075813678826111</v>
      </c>
      <c r="R71" s="50">
        <f t="shared" si="18"/>
        <v>1.7285245734721932</v>
      </c>
      <c r="S71" s="50">
        <f t="shared" si="7"/>
        <v>2.5548220848110925</v>
      </c>
      <c r="T71" s="50">
        <f t="shared" si="21"/>
        <v>0.2605891440893916</v>
      </c>
      <c r="U71" s="50">
        <f t="shared" si="8"/>
        <v>0.66575890038159768</v>
      </c>
      <c r="V71" s="50">
        <f t="shared" si="22"/>
        <v>441.60727544454329</v>
      </c>
      <c r="W71" s="50">
        <f t="shared" si="23"/>
        <v>66.57589003815977</v>
      </c>
      <c r="X71" s="50">
        <f t="shared" si="24"/>
        <v>0</v>
      </c>
      <c r="Y71" s="50">
        <f t="shared" si="25"/>
        <v>0</v>
      </c>
      <c r="Z71" s="50">
        <f t="shared" si="26"/>
        <v>0</v>
      </c>
      <c r="AA71" s="50">
        <f t="shared" si="27"/>
        <v>0</v>
      </c>
      <c r="AB71" s="50">
        <f t="shared" si="15"/>
        <v>66.57589003815977</v>
      </c>
      <c r="AC71" s="50">
        <f t="shared" ref="AC71:AC75" si="29">D102*Q71</f>
        <v>0</v>
      </c>
      <c r="AD71" s="50">
        <f t="shared" si="28"/>
        <v>5</v>
      </c>
      <c r="AE71" s="90">
        <f t="shared" si="16"/>
        <v>0.75379068394130555</v>
      </c>
      <c r="AF71" s="1"/>
      <c r="AG71" s="1"/>
      <c r="AH71" s="1"/>
      <c r="AI71" s="1"/>
      <c r="AJ71" s="1"/>
    </row>
    <row r="72" spans="3:36" x14ac:dyDescent="0.2">
      <c r="O72" s="87">
        <v>56</v>
      </c>
      <c r="P72" s="70">
        <f t="shared" si="19"/>
        <v>2081</v>
      </c>
      <c r="Q72" s="52">
        <f t="shared" si="20"/>
        <v>0.14566003554421367</v>
      </c>
      <c r="R72" s="50">
        <f t="shared" si="18"/>
        <v>1.7458098192069154</v>
      </c>
      <c r="S72" s="50">
        <f t="shared" si="7"/>
        <v>2.5931444160832586</v>
      </c>
      <c r="T72" s="50">
        <f t="shared" si="21"/>
        <v>0.25429472031911654</v>
      </c>
      <c r="U72" s="50">
        <f t="shared" si="8"/>
        <v>0.65942293403497099</v>
      </c>
      <c r="V72" s="50">
        <f t="shared" si="22"/>
        <v>452.71369842197356</v>
      </c>
      <c r="W72" s="50">
        <f t="shared" si="23"/>
        <v>65.942293403497104</v>
      </c>
      <c r="X72" s="50">
        <f t="shared" si="24"/>
        <v>0</v>
      </c>
      <c r="Y72" s="50">
        <f t="shared" si="25"/>
        <v>0</v>
      </c>
      <c r="Z72" s="50">
        <f t="shared" si="26"/>
        <v>0</v>
      </c>
      <c r="AA72" s="50">
        <f t="shared" si="27"/>
        <v>0</v>
      </c>
      <c r="AB72" s="50">
        <f t="shared" si="15"/>
        <v>65.942293403497104</v>
      </c>
      <c r="AC72" s="50">
        <f t="shared" si="29"/>
        <v>0</v>
      </c>
      <c r="AD72" s="50">
        <f t="shared" si="28"/>
        <v>5</v>
      </c>
      <c r="AE72" s="90">
        <f t="shared" si="16"/>
        <v>0.72830017772106836</v>
      </c>
      <c r="AF72" s="1"/>
      <c r="AG72" s="1"/>
      <c r="AH72" s="1"/>
      <c r="AI72" s="1"/>
      <c r="AJ72" s="1"/>
    </row>
    <row r="73" spans="3:36" x14ac:dyDescent="0.2">
      <c r="O73" s="87">
        <v>57</v>
      </c>
      <c r="P73" s="70">
        <f t="shared" si="19"/>
        <v>2082</v>
      </c>
      <c r="Q73" s="52">
        <f t="shared" si="20"/>
        <v>0.14073433385914366</v>
      </c>
      <c r="R73" s="50">
        <f t="shared" si="18"/>
        <v>1.7632679173989847</v>
      </c>
      <c r="S73" s="50">
        <f t="shared" si="7"/>
        <v>2.6320415823245074</v>
      </c>
      <c r="T73" s="50">
        <f t="shared" si="21"/>
        <v>0.24815233577034565</v>
      </c>
      <c r="U73" s="50">
        <f t="shared" si="8"/>
        <v>0.65314726649850297</v>
      </c>
      <c r="V73" s="50">
        <f t="shared" si="22"/>
        <v>464.0994479372863</v>
      </c>
      <c r="W73" s="50">
        <f t="shared" si="23"/>
        <v>65.3147266498503</v>
      </c>
      <c r="X73" s="50">
        <f t="shared" si="24"/>
        <v>0</v>
      </c>
      <c r="Y73" s="50">
        <f t="shared" si="25"/>
        <v>0</v>
      </c>
      <c r="Z73" s="50">
        <f t="shared" si="26"/>
        <v>0</v>
      </c>
      <c r="AA73" s="50">
        <f t="shared" si="27"/>
        <v>0</v>
      </c>
      <c r="AB73" s="50">
        <f t="shared" si="15"/>
        <v>65.3147266498503</v>
      </c>
      <c r="AC73" s="50">
        <f t="shared" si="29"/>
        <v>0</v>
      </c>
      <c r="AD73" s="50">
        <f t="shared" si="28"/>
        <v>5</v>
      </c>
      <c r="AE73" s="90">
        <f t="shared" si="16"/>
        <v>0.70367166929571834</v>
      </c>
      <c r="AF73" s="1"/>
      <c r="AG73" s="1"/>
      <c r="AH73" s="1"/>
      <c r="AI73" s="1"/>
      <c r="AJ73" s="1"/>
    </row>
    <row r="74" spans="3:36" x14ac:dyDescent="0.2">
      <c r="O74" s="87">
        <v>58</v>
      </c>
      <c r="P74" s="70">
        <f t="shared" si="19"/>
        <v>2083</v>
      </c>
      <c r="Q74" s="52">
        <f t="shared" si="20"/>
        <v>0.13597520179627406</v>
      </c>
      <c r="R74" s="50">
        <f t="shared" si="18"/>
        <v>1.7809005965729741</v>
      </c>
      <c r="S74" s="50">
        <f t="shared" si="7"/>
        <v>2.6715222060593744</v>
      </c>
      <c r="T74" s="50">
        <f t="shared" si="21"/>
        <v>0.24215831799811502</v>
      </c>
      <c r="U74" s="50">
        <f t="shared" si="8"/>
        <v>0.64693132391395169</v>
      </c>
      <c r="V74" s="50">
        <f t="shared" si="22"/>
        <v>475.77154905290877</v>
      </c>
      <c r="W74" s="50">
        <f t="shared" si="23"/>
        <v>64.693132391395167</v>
      </c>
      <c r="X74" s="50">
        <f t="shared" si="24"/>
        <v>0</v>
      </c>
      <c r="Y74" s="50">
        <f t="shared" si="25"/>
        <v>0</v>
      </c>
      <c r="Z74" s="50">
        <f t="shared" si="26"/>
        <v>0</v>
      </c>
      <c r="AA74" s="50">
        <f t="shared" si="27"/>
        <v>0</v>
      </c>
      <c r="AB74" s="50">
        <f t="shared" si="15"/>
        <v>64.693132391395167</v>
      </c>
      <c r="AC74" s="50">
        <f t="shared" si="29"/>
        <v>0</v>
      </c>
      <c r="AD74" s="50">
        <f t="shared" si="28"/>
        <v>5</v>
      </c>
      <c r="AE74" s="90">
        <f t="shared" si="16"/>
        <v>0.67987600898137035</v>
      </c>
      <c r="AF74" s="1"/>
      <c r="AG74" s="1"/>
      <c r="AH74" s="1"/>
      <c r="AI74" s="1"/>
      <c r="AJ74" s="1"/>
    </row>
    <row r="75" spans="3:36" ht="13.5" thickBot="1" x14ac:dyDescent="0.25">
      <c r="O75" s="106">
        <v>59</v>
      </c>
      <c r="P75" s="107">
        <f t="shared" si="19"/>
        <v>2084</v>
      </c>
      <c r="Q75" s="108">
        <f t="shared" si="20"/>
        <v>0.13137700656644835</v>
      </c>
      <c r="R75" s="50">
        <f t="shared" si="18"/>
        <v>1.7987096025387039</v>
      </c>
      <c r="S75" s="50">
        <f t="shared" si="7"/>
        <v>2.7115950391502648</v>
      </c>
      <c r="T75" s="50">
        <f t="shared" si="21"/>
        <v>0.23630908326386102</v>
      </c>
      <c r="U75" s="109">
        <f t="shared" si="8"/>
        <v>0.64077453788443239</v>
      </c>
      <c r="V75" s="109">
        <f t="shared" si="22"/>
        <v>487.73720351158943</v>
      </c>
      <c r="W75" s="109">
        <f t="shared" si="23"/>
        <v>64.077453788443236</v>
      </c>
      <c r="X75" s="109">
        <f t="shared" si="24"/>
        <v>0</v>
      </c>
      <c r="Y75" s="109">
        <f t="shared" si="25"/>
        <v>0</v>
      </c>
      <c r="Z75" s="109">
        <f t="shared" si="26"/>
        <v>0</v>
      </c>
      <c r="AA75" s="109">
        <f t="shared" si="27"/>
        <v>0</v>
      </c>
      <c r="AB75" s="109">
        <f t="shared" si="15"/>
        <v>64.077453788443236</v>
      </c>
      <c r="AC75" s="109">
        <f t="shared" si="29"/>
        <v>0</v>
      </c>
      <c r="AD75" s="109">
        <f t="shared" si="28"/>
        <v>5</v>
      </c>
      <c r="AE75" s="110">
        <f t="shared" si="16"/>
        <v>0.65688503283224176</v>
      </c>
      <c r="AF75" s="1"/>
      <c r="AG75" s="1"/>
      <c r="AH75" s="1"/>
      <c r="AI75" s="1"/>
      <c r="AJ75" s="1"/>
    </row>
    <row r="76" spans="3:36" ht="13.5" hidden="1" thickBot="1" x14ac:dyDescent="0.25">
      <c r="O76" s="100">
        <v>60</v>
      </c>
      <c r="P76" s="101">
        <f t="shared" si="19"/>
        <v>2085</v>
      </c>
      <c r="Q76" s="102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4"/>
      <c r="AF76" s="1"/>
      <c r="AG76" s="1"/>
      <c r="AH76" s="1"/>
      <c r="AI76" s="1"/>
      <c r="AJ76" s="1"/>
    </row>
    <row r="77" spans="3:36" x14ac:dyDescent="0.2">
      <c r="S77" s="10"/>
      <c r="T77" s="8"/>
      <c r="U77" s="10"/>
      <c r="V77" s="80"/>
      <c r="W77" s="10"/>
      <c r="X77" s="10"/>
      <c r="Y77" s="10"/>
      <c r="Z77" s="10"/>
      <c r="AA77" s="10"/>
      <c r="AB77" s="10"/>
      <c r="AC77" s="10"/>
      <c r="AD77" s="10"/>
      <c r="AE77" s="10"/>
      <c r="AF77" s="1"/>
      <c r="AG77" s="1"/>
      <c r="AH77" s="1"/>
      <c r="AI77" s="1"/>
      <c r="AJ77" s="1"/>
    </row>
    <row r="78" spans="3:36" x14ac:dyDescent="0.2">
      <c r="S78" s="10"/>
      <c r="T78" s="8"/>
      <c r="U78" s="10"/>
      <c r="W78" s="10"/>
      <c r="X78" s="10"/>
      <c r="Y78" s="10"/>
      <c r="Z78" s="10"/>
      <c r="AA78" s="10"/>
      <c r="AB78" s="10"/>
      <c r="AC78" s="10"/>
      <c r="AD78" s="10"/>
      <c r="AE78" s="10"/>
      <c r="AF78" s="1"/>
      <c r="AG78" s="1"/>
      <c r="AH78" s="1"/>
      <c r="AI78" s="1"/>
      <c r="AJ78" s="1"/>
    </row>
    <row r="79" spans="3:36" x14ac:dyDescent="0.2">
      <c r="S79" s="10"/>
      <c r="T79" s="8"/>
      <c r="U79" s="10"/>
      <c r="W79" s="10"/>
      <c r="X79" s="10"/>
      <c r="Y79" s="10"/>
      <c r="Z79" s="10"/>
      <c r="AA79" s="10"/>
      <c r="AB79" s="10"/>
      <c r="AC79" s="10"/>
      <c r="AD79" s="10"/>
      <c r="AE79" s="10"/>
      <c r="AF79" s="1"/>
      <c r="AG79" s="1"/>
      <c r="AH79" s="1"/>
      <c r="AI79" s="1"/>
      <c r="AJ79" s="1"/>
    </row>
    <row r="80" spans="3:36" x14ac:dyDescent="0.2">
      <c r="C80" s="1"/>
      <c r="D80" s="1"/>
      <c r="E80" s="1"/>
      <c r="S80" s="10"/>
      <c r="T80" s="8"/>
      <c r="U80" s="10"/>
      <c r="W80" s="10"/>
      <c r="X80" s="10"/>
      <c r="Y80" s="10"/>
      <c r="Z80" s="10"/>
      <c r="AA80" s="10"/>
      <c r="AB80" s="10"/>
      <c r="AC80" s="10"/>
      <c r="AD80" s="10"/>
      <c r="AE80" s="10"/>
      <c r="AF80" s="1"/>
      <c r="AG80" s="1"/>
      <c r="AH80" s="1"/>
      <c r="AI80" s="1"/>
      <c r="AJ80" s="1"/>
    </row>
    <row r="81" spans="3:36" x14ac:dyDescent="0.2">
      <c r="C81" s="1"/>
      <c r="D81" s="1"/>
      <c r="E81" s="1"/>
      <c r="S81" s="10"/>
      <c r="T81" s="8"/>
      <c r="U81" s="10"/>
      <c r="W81" s="10"/>
      <c r="X81" s="10"/>
      <c r="Y81" s="10"/>
      <c r="Z81" s="10"/>
      <c r="AA81" s="10"/>
      <c r="AB81" s="10"/>
      <c r="AC81" s="10"/>
      <c r="AD81" s="10"/>
      <c r="AE81" s="10"/>
      <c r="AF81" s="1"/>
      <c r="AG81" s="1"/>
      <c r="AH81" s="1"/>
      <c r="AI81" s="1"/>
      <c r="AJ81" s="1"/>
    </row>
    <row r="82" spans="3:36" x14ac:dyDescent="0.2">
      <c r="C82" s="1"/>
      <c r="D82" s="1"/>
      <c r="E82" s="1"/>
      <c r="S82" s="10"/>
      <c r="T82" s="8"/>
      <c r="U82" s="10"/>
      <c r="W82" s="10"/>
      <c r="X82" s="10"/>
      <c r="Y82" s="10"/>
      <c r="Z82" s="10"/>
      <c r="AA82" s="10"/>
      <c r="AB82" s="10"/>
      <c r="AC82" s="10"/>
      <c r="AD82" s="10"/>
      <c r="AE82" s="10"/>
      <c r="AF82" s="1"/>
      <c r="AG82" s="1"/>
      <c r="AH82" s="1"/>
      <c r="AI82" s="1"/>
      <c r="AJ82" s="1"/>
    </row>
    <row r="83" spans="3:36" x14ac:dyDescent="0.2">
      <c r="C83" s="1"/>
      <c r="D83" s="1"/>
      <c r="E83" s="1"/>
      <c r="S83" s="10"/>
      <c r="T83" s="8"/>
      <c r="U83" s="10"/>
      <c r="W83" s="10"/>
      <c r="X83" s="10"/>
      <c r="Y83" s="10"/>
      <c r="Z83" s="10"/>
      <c r="AA83" s="10"/>
      <c r="AB83" s="10"/>
      <c r="AC83" s="10"/>
      <c r="AD83" s="10"/>
      <c r="AE83" s="10"/>
      <c r="AF83" s="1"/>
      <c r="AG83" s="1"/>
      <c r="AH83" s="1"/>
      <c r="AI83" s="1"/>
      <c r="AJ83" s="1"/>
    </row>
    <row r="84" spans="3:36" x14ac:dyDescent="0.2">
      <c r="C84" s="1"/>
      <c r="D84" s="1"/>
      <c r="E84" s="1"/>
      <c r="S84" s="10"/>
      <c r="T84" s="8"/>
      <c r="U84" s="10"/>
      <c r="W84" s="10"/>
      <c r="X84" s="10"/>
      <c r="Y84" s="10"/>
      <c r="Z84" s="10"/>
      <c r="AA84" s="10"/>
      <c r="AB84" s="10"/>
      <c r="AC84" s="10"/>
      <c r="AD84" s="10"/>
      <c r="AE84" s="10"/>
      <c r="AF84" s="1"/>
      <c r="AG84" s="1"/>
      <c r="AH84" s="1"/>
      <c r="AI84" s="1"/>
      <c r="AJ84" s="1"/>
    </row>
    <row r="85" spans="3:36" x14ac:dyDescent="0.2">
      <c r="C85" s="1"/>
      <c r="D85" s="1"/>
      <c r="E85" s="1"/>
      <c r="S85" s="10"/>
      <c r="T85" s="8"/>
      <c r="U85" s="10"/>
      <c r="W85" s="10"/>
      <c r="X85" s="10"/>
      <c r="Y85" s="10"/>
      <c r="Z85" s="10"/>
      <c r="AA85" s="10"/>
      <c r="AB85" s="10"/>
      <c r="AC85" s="10"/>
      <c r="AD85" s="10"/>
      <c r="AE85" s="10"/>
      <c r="AF85" s="1"/>
      <c r="AG85" s="1"/>
      <c r="AH85" s="1"/>
      <c r="AI85" s="1"/>
      <c r="AJ85" s="1"/>
    </row>
    <row r="86" spans="3:36" x14ac:dyDescent="0.2">
      <c r="C86" s="1"/>
      <c r="D86" s="1"/>
      <c r="E86" s="1"/>
      <c r="S86" s="10"/>
      <c r="T86" s="8"/>
      <c r="U86" s="10"/>
      <c r="W86" s="10"/>
      <c r="X86" s="10"/>
      <c r="Y86" s="10"/>
      <c r="Z86" s="10"/>
      <c r="AA86" s="10"/>
      <c r="AB86" s="10"/>
      <c r="AC86" s="10"/>
      <c r="AD86" s="10"/>
      <c r="AE86" s="10"/>
      <c r="AF86" s="1"/>
      <c r="AG86" s="1"/>
      <c r="AH86" s="1"/>
      <c r="AI86" s="1"/>
      <c r="AJ86" s="1"/>
    </row>
    <row r="87" spans="3:36" x14ac:dyDescent="0.2">
      <c r="C87" s="1"/>
      <c r="D87" s="1"/>
      <c r="E87" s="1"/>
      <c r="S87" s="10"/>
      <c r="T87" s="8"/>
      <c r="U87" s="10"/>
      <c r="W87" s="10"/>
      <c r="X87" s="10"/>
      <c r="Y87" s="10"/>
      <c r="Z87" s="10"/>
      <c r="AA87" s="10"/>
      <c r="AB87" s="10"/>
      <c r="AC87" s="10"/>
      <c r="AD87" s="10"/>
      <c r="AE87" s="10"/>
      <c r="AF87" s="1"/>
      <c r="AG87" s="1"/>
      <c r="AH87" s="1"/>
      <c r="AI87" s="1"/>
      <c r="AJ87" s="1"/>
    </row>
    <row r="88" spans="3:36" x14ac:dyDescent="0.2">
      <c r="C88" s="1"/>
      <c r="D88" s="1"/>
      <c r="E88" s="1"/>
      <c r="S88" s="10"/>
      <c r="T88" s="8"/>
      <c r="U88" s="10"/>
      <c r="W88" s="10"/>
      <c r="X88" s="10"/>
      <c r="Y88" s="10"/>
      <c r="Z88" s="10"/>
      <c r="AA88" s="10"/>
      <c r="AB88" s="10"/>
      <c r="AC88" s="10"/>
      <c r="AD88" s="10"/>
      <c r="AE88" s="10"/>
      <c r="AF88" s="1"/>
      <c r="AG88" s="1"/>
      <c r="AH88" s="1"/>
      <c r="AI88" s="1"/>
      <c r="AJ88" s="1"/>
    </row>
    <row r="89" spans="3:36" x14ac:dyDescent="0.2">
      <c r="C89" s="1"/>
      <c r="D89" s="1"/>
      <c r="E89" s="1"/>
      <c r="S89" s="10"/>
      <c r="T89" s="8"/>
      <c r="U89" s="10"/>
      <c r="W89" s="10"/>
      <c r="X89" s="10"/>
      <c r="Y89" s="10"/>
      <c r="Z89" s="10"/>
      <c r="AA89" s="10"/>
      <c r="AB89" s="10"/>
      <c r="AC89" s="10"/>
      <c r="AD89" s="10"/>
      <c r="AE89" s="10"/>
      <c r="AF89" s="1"/>
      <c r="AG89" s="1"/>
      <c r="AH89" s="1"/>
      <c r="AI89" s="1"/>
      <c r="AJ89" s="1"/>
    </row>
    <row r="90" spans="3:36" x14ac:dyDescent="0.2">
      <c r="C90" s="1"/>
      <c r="D90" s="1"/>
      <c r="E90" s="1"/>
      <c r="S90" s="10"/>
      <c r="T90" s="8"/>
      <c r="U90" s="10"/>
      <c r="W90" s="10"/>
      <c r="X90" s="10"/>
      <c r="Y90" s="10"/>
      <c r="Z90" s="10"/>
      <c r="AA90" s="10"/>
      <c r="AB90" s="10"/>
      <c r="AC90" s="10"/>
      <c r="AD90" s="10"/>
      <c r="AE90" s="10"/>
      <c r="AF90" s="1"/>
      <c r="AG90" s="1"/>
      <c r="AH90" s="1"/>
      <c r="AI90" s="1"/>
      <c r="AJ90" s="1"/>
    </row>
    <row r="91" spans="3:36" x14ac:dyDescent="0.2">
      <c r="C91" s="1"/>
      <c r="D91" s="1"/>
      <c r="E91" s="1"/>
      <c r="S91" s="10"/>
      <c r="T91" s="8"/>
      <c r="U91" s="10"/>
      <c r="W91" s="10"/>
      <c r="X91" s="10"/>
      <c r="Y91" s="10"/>
      <c r="Z91" s="10"/>
      <c r="AA91" s="10"/>
      <c r="AB91" s="10"/>
      <c r="AF91" s="1"/>
      <c r="AG91" s="1"/>
      <c r="AH91" s="1"/>
      <c r="AI91" s="1"/>
      <c r="AJ91" s="1"/>
    </row>
    <row r="92" spans="3:36" x14ac:dyDescent="0.2">
      <c r="C92" s="1"/>
      <c r="D92" s="1"/>
      <c r="E92" s="1"/>
      <c r="S92" s="10"/>
      <c r="T92" s="8"/>
      <c r="U92" s="10"/>
      <c r="W92" s="10"/>
      <c r="X92" s="10"/>
      <c r="Y92" s="10"/>
      <c r="Z92" s="10"/>
      <c r="AA92" s="10"/>
      <c r="AB92" s="10"/>
      <c r="AF92" s="1"/>
      <c r="AG92" s="1"/>
      <c r="AH92" s="1"/>
      <c r="AI92" s="1"/>
      <c r="AJ92" s="1"/>
    </row>
    <row r="93" spans="3:36" x14ac:dyDescent="0.2">
      <c r="C93" s="1"/>
      <c r="D93" s="1"/>
      <c r="E93" s="1"/>
      <c r="S93" s="10"/>
      <c r="T93" s="8"/>
      <c r="U93" s="10"/>
      <c r="W93" s="10"/>
      <c r="X93" s="10"/>
      <c r="Y93" s="10"/>
      <c r="Z93" s="10"/>
      <c r="AA93" s="10"/>
      <c r="AB93" s="10"/>
    </row>
    <row r="94" spans="3:36" x14ac:dyDescent="0.2">
      <c r="C94" s="1"/>
      <c r="D94" s="1"/>
      <c r="E94" s="1"/>
      <c r="S94" s="10"/>
      <c r="T94" s="8"/>
      <c r="U94" s="10"/>
      <c r="W94" s="10"/>
      <c r="X94" s="10"/>
      <c r="Y94" s="10"/>
      <c r="Z94" s="10"/>
      <c r="AA94" s="10"/>
      <c r="AB94" s="10"/>
    </row>
    <row r="95" spans="3:36" x14ac:dyDescent="0.2">
      <c r="C95" s="1"/>
      <c r="D95" s="1"/>
      <c r="S95" s="10"/>
      <c r="T95" s="8"/>
      <c r="U95" s="10"/>
      <c r="W95" s="10"/>
      <c r="X95" s="10"/>
      <c r="Y95" s="10"/>
      <c r="Z95" s="10"/>
      <c r="AA95" s="10"/>
      <c r="AB95" s="10"/>
    </row>
    <row r="96" spans="3:36" x14ac:dyDescent="0.2">
      <c r="C96" s="1"/>
      <c r="D96" s="1"/>
      <c r="S96" s="10"/>
      <c r="T96" s="8"/>
      <c r="U96" s="10"/>
      <c r="W96" s="10"/>
      <c r="X96" s="10"/>
      <c r="Y96" s="10"/>
      <c r="Z96" s="10"/>
      <c r="AA96" s="10"/>
      <c r="AB96" s="10"/>
    </row>
    <row r="97" spans="20:20" x14ac:dyDescent="0.2">
      <c r="T97" s="79"/>
    </row>
    <row r="98" spans="20:20" x14ac:dyDescent="0.2">
      <c r="T98" s="79"/>
    </row>
    <row r="99" spans="20:20" x14ac:dyDescent="0.2">
      <c r="T99" s="79"/>
    </row>
  </sheetData>
  <conditionalFormatting sqref="H7:H9 H12">
    <cfRule type="expression" priority="111">
      <formula>IF(D10&gt;$D$16,TRUE,FALSE)</formula>
    </cfRule>
  </conditionalFormatting>
  <conditionalFormatting sqref="Q4">
    <cfRule type="expression" priority="113">
      <formula>IF(L30&gt;$D$16,TRUE,FALSE)</formula>
    </cfRule>
  </conditionalFormatting>
  <conditionalFormatting sqref="H11">
    <cfRule type="expression" priority="114">
      <formula>IF(#REF!&gt;$D$16,TRUE,FALSE)</formula>
    </cfRule>
  </conditionalFormatting>
  <conditionalFormatting sqref="H13">
    <cfRule type="expression" priority="115">
      <formula>IF(D14&gt;$D$16,TRUE,FALSE)</formula>
    </cfRule>
  </conditionalFormatting>
  <conditionalFormatting sqref="H10">
    <cfRule type="expression" priority="116">
      <formula>IF(#REF!&gt;$D$16,TRUE,FALSE)</formula>
    </cfRule>
  </conditionalFormatting>
  <conditionalFormatting sqref="Q4">
    <cfRule type="expression" priority="117">
      <formula>IF(#REF!&gt;$D$16,TRUE,FALSE)</formula>
    </cfRule>
  </conditionalFormatting>
  <conditionalFormatting sqref="H16">
    <cfRule type="expression" priority="118">
      <formula>IF(#REF!&gt;$D$16,TRUE,FALSE)</formula>
    </cfRule>
  </conditionalFormatting>
  <conditionalFormatting sqref="H16">
    <cfRule type="expression" priority="119">
      <formula>IF(D50&gt;$D$16,TRUE,FALSE)</formula>
    </cfRule>
  </conditionalFormatting>
  <conditionalFormatting sqref="H7:H12">
    <cfRule type="expression" priority="120">
      <formula>IF(D38&gt;$D$16,TRUE,FALSE)</formula>
    </cfRule>
  </conditionalFormatting>
  <conditionalFormatting sqref="H13">
    <cfRule type="expression" priority="121">
      <formula>IF(D42&gt;$D$16,TRUE,FALSE)</formula>
    </cfRule>
  </conditionalFormatting>
  <conditionalFormatting sqref="H14">
    <cfRule type="expression" priority="1">
      <formula>IF(#REF!&gt;$D$16,TRUE,FALSE)</formula>
    </cfRule>
  </conditionalFormatting>
  <conditionalFormatting sqref="H14">
    <cfRule type="expression" priority="2">
      <formula>IF(D45&gt;$D$16,TRUE,FALSE)</formula>
    </cfRule>
  </conditionalFormatting>
  <pageMargins left="0.25" right="0.25" top="0.75" bottom="0.75" header="0.3" footer="0.3"/>
  <pageSetup paperSize="9" scale="70" orientation="portrait" r:id="rId1"/>
  <headerFooter alignWithMargins="0">
    <oddHeader>&amp;LFil: &amp;F&amp;CLönkalk 3.0 version 2016-04-01&amp;RUtförd: &amp;D</oddHeader>
    <oddFooter>&amp;C&amp;P(&amp;N)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6ad2b8f-2181-4457-9253-31459ed4b018">
      <Value>149</Value>
      <Value>159</Value>
    </TaxCatchAll>
    <Dokumentdatum_x0020_NY xmlns="Trafikverket">2022-07-07T22:00:00+00:00</Dokumentdatum_x0020_NY>
    <Skapat_x0020_av_x0020_NY xmlns="Trafikverket">Kristina Mattsson</Skapat_x0020_av_x0020_NY>
    <TrvUploadedDocumentTypeTaxHTField0 xmlns="36ad2b8f-2181-4457-9253-31459ed4b018">
      <Terms xmlns="http://schemas.microsoft.com/office/infopath/2007/PartnerControls">
        <TermInfo xmlns="http://schemas.microsoft.com/office/infopath/2007/PartnerControls">
          <TermName xmlns="http://schemas.microsoft.com/office/infopath/2007/PartnerControls">UPPLADDAT DOKUMENT</TermName>
          <TermId xmlns="http://schemas.microsoft.com/office/infopath/2007/PartnerControls">7c5b34d8-57da-44ed-9451-2f10a78af863</TermId>
        </TermInfo>
      </Terms>
    </TrvUploadedDocumentTypeTaxHTField0>
    <TrvConfidentialityLevelTaxHTField0 xmlns="36ad2b8f-2181-4457-9253-31459ed4b01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Intern</TermName>
          <TermId xmlns="http://schemas.microsoft.com/office/infopath/2007/PartnerControls">13d1762d-2ea9-450d-b05e-1ff9ba31b2a4</TermId>
        </TermInfo>
      </Terms>
    </TrvConfidentialityLevelTaxHTField0>
    <TRVversionNY xmlns="Trafikverket">0.1</TRVversionN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ppladdat arbetsrumsdokument" ma:contentTypeID="0x0101002EE44F411E754ABAB6EB27FC7D8442BF00FBDC29B7F7B140FA848AB6ABEF7636D900C7B4A579F8BA8D40B7676CF6BA55D0EF" ma:contentTypeVersion="4" ma:contentTypeDescription="Dokument som inte utgår från en av Trafikverket godkänd dokumentmall." ma:contentTypeScope="" ma:versionID="c766dcaad0c6d1b528504a9b7381286d">
  <xsd:schema xmlns:xsd="http://www.w3.org/2001/XMLSchema" xmlns:xs="http://www.w3.org/2001/XMLSchema" xmlns:p="http://schemas.microsoft.com/office/2006/metadata/properties" xmlns:ns1="Trafikverket" xmlns:ns3="36ad2b8f-2181-4457-9253-31459ed4b018" targetNamespace="http://schemas.microsoft.com/office/2006/metadata/properties" ma:root="true" ma:fieldsID="6b8c88df11331125eeaca5ecb53db9ce" ns1:_="" ns3:_="">
    <xsd:import namespace="Trafikverket"/>
    <xsd:import namespace="36ad2b8f-2181-4457-9253-31459ed4b018"/>
    <xsd:element name="properties">
      <xsd:complexType>
        <xsd:sequence>
          <xsd:element name="documentManagement">
            <xsd:complexType>
              <xsd:all>
                <xsd:element ref="ns1:Skapat_x0020_av_x0020_NY"/>
                <xsd:element ref="ns1:Dokumentdatum_x0020_NY"/>
                <xsd:element ref="ns1:TRVversionNY" minOccurs="0"/>
                <xsd:element ref="ns1:TrvDocumentTemplateId" minOccurs="0"/>
                <xsd:element ref="ns1:TrvDocumentTemplateVersion" minOccurs="0"/>
                <xsd:element ref="ns3:TrvUploadedDocumentTypeTaxHTField0" minOccurs="0"/>
                <xsd:element ref="ns3:TaxCatchAll" minOccurs="0"/>
                <xsd:element ref="ns3:TaxCatchAllLabel" minOccurs="0"/>
                <xsd:element ref="ns3:TrvConfidentialityLevel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Trafikverket" elementFormDefault="qualified">
    <xsd:import namespace="http://schemas.microsoft.com/office/2006/documentManagement/types"/>
    <xsd:import namespace="http://schemas.microsoft.com/office/infopath/2007/PartnerControls"/>
    <xsd:element name="Skapat_x0020_av_x0020_NY" ma:index="0" ma:displayName="Skapat av" ma:description="Namn och organisationsbeteckning för den person som skapat dokumentet." ma:internalName="TrvCreatedBy" ma:readOnly="false">
      <xsd:simpleType>
        <xsd:restriction base="dms:Text"/>
      </xsd:simpleType>
    </xsd:element>
    <xsd:element name="Dokumentdatum_x0020_NY" ma:index="2" ma:displayName="Dokumentdatum" ma:description="Datum för nuvarande version" ma:format="DateOnly" ma:internalName="TrvDocumentDate" ma:readOnly="false">
      <xsd:simpleType>
        <xsd:restriction base="dms:DateTime"/>
      </xsd:simpleType>
    </xsd:element>
    <xsd:element name="TRVversionNY" ma:index="8" nillable="true" ma:displayName="Version" ma:description="Dokumentets versionsnummer" ma:internalName="TrvVersion" ma:readOnly="true">
      <xsd:simpleType>
        <xsd:restriction base="dms:Text"/>
      </xsd:simpleType>
    </xsd:element>
    <xsd:element name="TrvDocumentTemplateId" ma:index="9" nillable="true" ma:displayName="TMALL-nummer" ma:description="Unik sträng eller nummer som identifierar dokumentmallen. Värdet sätts av respektive system." ma:internalName="TrvDocumentTemplateId" ma:readOnly="true">
      <xsd:simpleType>
        <xsd:restriction base="dms:Text"/>
      </xsd:simpleType>
    </xsd:element>
    <xsd:element name="TrvDocumentTemplateVersion" ma:index="10" nillable="true" ma:displayName="Mallversion" ma:description="Dokumentmallens versionsnummer" ma:internalName="TrvDocumentTemplateVers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d2b8f-2181-4457-9253-31459ed4b018" elementFormDefault="qualified">
    <xsd:import namespace="http://schemas.microsoft.com/office/2006/documentManagement/types"/>
    <xsd:import namespace="http://schemas.microsoft.com/office/infopath/2007/PartnerControls"/>
    <xsd:element name="TrvUploadedDocumentTypeTaxHTField0" ma:index="13" ma:taxonomy="true" ma:internalName="TrvUploadedDocumentTypeTaxHTField0" ma:taxonomyFieldName="TrvUploadedDocumentType" ma:displayName="Dokumenttyp för uppladdade dokument" ma:readOnly="false" ma:default="149;#UPPLADDAT DOKUMENT|7c5b34d8-57da-44ed-9451-2f10a78af863" ma:fieldId="{eb96df49-af7b-4885-ae87-85b965eb0ad2}" ma:sspId="186cccb1-9fab-4187-b54f-d2fc3705fc8a" ma:termSetId="152f56a5-fdb2-4180-8a6e-79ef00400bc3" ma:anchorId="238613c4-8162-47c5-b0c8-3db178651ae8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289d0a56-51c6-4062-bcef-f5e7a34ed71c}" ma:internalName="TaxCatchAll" ma:showField="CatchAllData" ma:web="36ad2b8f-2181-4457-9253-31459ed4b0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289d0a56-51c6-4062-bcef-f5e7a34ed71c}" ma:internalName="TaxCatchAllLabel" ma:readOnly="true" ma:showField="CatchAllDataLabel" ma:web="36ad2b8f-2181-4457-9253-31459ed4b0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vConfidentialityLevelTaxHTField0" ma:index="17" ma:taxonomy="true" ma:internalName="TrvConfidentialityLevelTaxHTField0" ma:taxonomyFieldName="TrvConfidentialityLevel" ma:displayName="Konfidentialitetsnivå" ma:readOnly="false" ma:default="" ma:fieldId="{a84a37ca-5c43-43e3-a37a-c23c41d1607d}" ma:sspId="186cccb1-9fab-4187-b54f-d2fc3705fc8a" ma:termSetId="4d666f29-dc73-4030-952a-63de8896f39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nehållstyp"/>
        <xsd:element ref="dc:title" maxOccurs="1" ma:index="1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ED87DC-645A-480C-861D-79D40F137725}">
  <ds:schemaRefs>
    <ds:schemaRef ds:uri="36ad2b8f-2181-4457-9253-31459ed4b01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Trafikverket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BAE72F0-BF2F-4A53-9E49-9E00B96378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Trafikverket"/>
    <ds:schemaRef ds:uri="36ad2b8f-2181-4457-9253-31459ed4b0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2FEC2F-E1C6-4FD6-AB66-6A36727B9D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5</vt:i4>
      </vt:variant>
    </vt:vector>
  </HeadingPairs>
  <TitlesOfParts>
    <vt:vector size="6" baseType="lpstr">
      <vt:lpstr>Lönkalk</vt:lpstr>
      <vt:lpstr>Lönkalk!Diskonteringsår</vt:lpstr>
      <vt:lpstr>Lönkalk!Diskonteringsåret</vt:lpstr>
      <vt:lpstr>Lönkalk!KALKYLPERIOD</vt:lpstr>
      <vt:lpstr>Lönkalk!Trafikstartår</vt:lpstr>
      <vt:lpstr>Lönkalk!Utskriftsområde</vt:lpstr>
    </vt:vector>
  </TitlesOfParts>
  <Company>Vägverket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lonkalk-2020-1.0-_med felsökning</dc:title>
  <dc:creator>Franzon, Anita Konsult</dc:creator>
  <cp:lastModifiedBy>Grudemo Stefan, PLee</cp:lastModifiedBy>
  <cp:lastPrinted>2016-03-16T08:08:10Z</cp:lastPrinted>
  <dcterms:created xsi:type="dcterms:W3CDTF">2007-11-21T18:15:52Z</dcterms:created>
  <dcterms:modified xsi:type="dcterms:W3CDTF">2023-03-02T07:21:25Z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0x0101002EE44F411E754ABAB6EB27FC7D8442BF00FBDC29B7F7B140FA848AB6ABEF7636D900C7B4A579F8BA8D40B7676CF6BA55D0EF</vt:lpwstr>
  </property>
  <property fmtid="{D5CDD505-2E9C-101B-9397-08002B2CF9AE}" pid="3" name="TrvUploadedDocumentType">
    <vt:lpwstr>149</vt:lpwstr>
  </property>
  <property fmtid="{D5CDD505-2E9C-101B-9397-08002B2CF9AE}" pid="4" name="TrvConfidentialityLevel">
    <vt:lpwstr>159</vt:lpwstr>
  </property>
  <property fmtid="{D5CDD505-2E9C-101B-9397-08002B2CF9AE}" pid="5" name="TrvDocumentType">
    <vt:lpwstr>149</vt:lpwstr>
  </property>
  <property fmtid="{D5CDD505-2E9C-101B-9397-08002B2CF9AE}" pid="6" name="TrvDocumentTypeTaxHTField0">
    <vt:lpwstr>UPPLADDAT DOKUMENT|7c5b34d8-57da-44ed-9451-2f10a78af863</vt:lpwstr>
  </property>
</Properties>
</file>