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manda\2026\"/>
    </mc:Choice>
  </mc:AlternateContent>
  <xr:revisionPtr revIDLastSave="0" documentId="13_ncr:1_{0201925B-0BD0-4E9C-A946-1078B431A005}" xr6:coauthVersionLast="47" xr6:coauthVersionMax="47" xr10:uidLastSave="{00000000-0000-0000-0000-000000000000}"/>
  <bookViews>
    <workbookView xWindow="28680" yWindow="-120" windowWidth="38640" windowHeight="21120" tabRatio="766" activeTab="7" xr2:uid="{00000000-000D-0000-FFFF-FFFF00000000}"/>
  </bookViews>
  <sheets>
    <sheet name="Om TS-EVA" sheetId="38" r:id="rId1"/>
    <sheet name="Beräkna - Länk" sheetId="36" r:id="rId2"/>
    <sheet name="Beräkna - Nod" sheetId="37" r:id="rId3"/>
    <sheet name="Matris - Länk" sheetId="21" r:id="rId4"/>
    <sheet name="Matris - Nod" sheetId="25" r:id="rId5"/>
    <sheet name="Värdemängder" sheetId="26" r:id="rId6"/>
    <sheet name="RPMI" sheetId="35" r:id="rId7"/>
    <sheet name="Faktorer" sheetId="27" r:id="rId8"/>
  </sheets>
  <definedNames>
    <definedName name="_xlnm._FilterDatabase" localSheetId="3" hidden="1">'Matris - Länk'!$A$8:$J$135</definedName>
    <definedName name="_xlnm._FilterDatabase" localSheetId="4" hidden="1">'Matris - Nod'!$A$14:$F$350</definedName>
    <definedName name="_Toc380577640" localSheetId="7">Faktorer!$B$66</definedName>
    <definedName name="Index">'Matris - Länk'!#REF!</definedName>
    <definedName name="solver_adj" localSheetId="7" hidden="1">Faktorer!$AB$18</definedName>
    <definedName name="solver_cvg" localSheetId="7" hidden="1">0.0001</definedName>
    <definedName name="solver_drv" localSheetId="7" hidden="1">1</definedName>
    <definedName name="solver_eng" localSheetId="7" hidden="1">1</definedName>
    <definedName name="solver_est" localSheetId="7" hidden="1">1</definedName>
    <definedName name="solver_itr" localSheetId="7" hidden="1">2147483647</definedName>
    <definedName name="solver_mip" localSheetId="7" hidden="1">2147483647</definedName>
    <definedName name="solver_mni" localSheetId="7" hidden="1">30</definedName>
    <definedName name="solver_mrt" localSheetId="7" hidden="1">0.075</definedName>
    <definedName name="solver_msl" localSheetId="7" hidden="1">2</definedName>
    <definedName name="solver_neg" localSheetId="7" hidden="1">1</definedName>
    <definedName name="solver_nod" localSheetId="7" hidden="1">2147483647</definedName>
    <definedName name="solver_num" localSheetId="7" hidden="1">0</definedName>
    <definedName name="solver_nwt" localSheetId="7" hidden="1">1</definedName>
    <definedName name="solver_opt" localSheetId="7" hidden="1">Faktorer!$AB$23</definedName>
    <definedName name="solver_pre" localSheetId="7" hidden="1">0.000001</definedName>
    <definedName name="solver_rbv" localSheetId="7" hidden="1">1</definedName>
    <definedName name="solver_rlx" localSheetId="7" hidden="1">2</definedName>
    <definedName name="solver_rsd" localSheetId="7" hidden="1">0</definedName>
    <definedName name="solver_scl" localSheetId="7" hidden="1">1</definedName>
    <definedName name="solver_sho" localSheetId="7" hidden="1">2</definedName>
    <definedName name="solver_ssz" localSheetId="7" hidden="1">100</definedName>
    <definedName name="solver_tim" localSheetId="7" hidden="1">2147483647</definedName>
    <definedName name="solver_tol" localSheetId="7" hidden="1">0.01</definedName>
    <definedName name="solver_typ" localSheetId="7" hidden="1">3</definedName>
    <definedName name="solver_val" localSheetId="7" hidden="1">0</definedName>
    <definedName name="solver_ver" localSheetId="7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9" i="37" l="1"/>
  <c r="C99" i="37"/>
  <c r="C98" i="37"/>
  <c r="C97" i="37"/>
  <c r="H19" i="27"/>
  <c r="H15" i="27"/>
  <c r="H11" i="27"/>
  <c r="H38" i="27"/>
  <c r="H34" i="27"/>
  <c r="H42" i="27"/>
  <c r="H46" i="27"/>
  <c r="H23" i="27"/>
  <c r="C16" i="27"/>
  <c r="C15" i="27"/>
  <c r="C14" i="27"/>
  <c r="F41" i="27"/>
  <c r="E41" i="27"/>
  <c r="D41" i="27"/>
  <c r="B15" i="27"/>
  <c r="F22" i="27"/>
  <c r="P25" i="27" s="1"/>
  <c r="F17" i="27"/>
  <c r="C17" i="27"/>
  <c r="I24" i="27" s="1"/>
  <c r="D17" i="27"/>
  <c r="N24" i="27" s="1"/>
  <c r="E17" i="27"/>
  <c r="M24" i="27" s="1"/>
  <c r="E22" i="27"/>
  <c r="O25" i="27" s="1"/>
  <c r="D22" i="27"/>
  <c r="B22" i="27"/>
  <c r="C22" i="27"/>
  <c r="I25" i="27" s="1"/>
  <c r="C9" i="27"/>
  <c r="I20" i="27" s="1"/>
  <c r="B17" i="27"/>
  <c r="O24" i="27" l="1"/>
  <c r="L24" i="27"/>
  <c r="I39" i="27" l="1"/>
  <c r="P48" i="27"/>
  <c r="P41" i="27"/>
  <c r="P40" i="27"/>
  <c r="J39" i="27"/>
  <c r="L39" i="27"/>
  <c r="N39" i="27"/>
  <c r="P39" i="27"/>
  <c r="P35" i="27"/>
  <c r="L36" i="27"/>
  <c r="J35" i="27"/>
  <c r="L35" i="27"/>
  <c r="L40" i="27"/>
  <c r="J40" i="27"/>
  <c r="B83" i="37" l="1"/>
  <c r="B73" i="37"/>
  <c r="B93" i="37"/>
  <c r="B88" i="36" l="1"/>
  <c r="K48" i="27" l="1"/>
  <c r="J48" i="27"/>
  <c r="O48" i="27"/>
  <c r="N48" i="27"/>
  <c r="M48" i="27"/>
  <c r="L48" i="27"/>
  <c r="N41" i="27"/>
  <c r="I41" i="27"/>
  <c r="N40" i="27"/>
  <c r="I40" i="27"/>
  <c r="N16" i="27"/>
  <c r="L16" i="27"/>
  <c r="J16" i="27"/>
  <c r="I16" i="27"/>
  <c r="I35" i="27"/>
  <c r="P36" i="27"/>
  <c r="N36" i="27"/>
  <c r="J36" i="27"/>
  <c r="I36" i="27"/>
  <c r="N35" i="27"/>
  <c r="L33" i="27"/>
  <c r="L32" i="27"/>
  <c r="L31" i="27"/>
  <c r="J33" i="27"/>
  <c r="J32" i="27"/>
  <c r="J31" i="27"/>
  <c r="I33" i="27"/>
  <c r="I32" i="27"/>
  <c r="I31" i="27"/>
  <c r="D39" i="27"/>
  <c r="E39" i="27"/>
  <c r="F39" i="27"/>
  <c r="C39" i="27"/>
  <c r="C41" i="27" s="1"/>
  <c r="I48" i="27" s="1"/>
  <c r="C20" i="27"/>
  <c r="B41" i="27"/>
  <c r="B39" i="27"/>
  <c r="B36" i="27"/>
  <c r="B34" i="27"/>
  <c r="F34" i="27"/>
  <c r="F36" i="27" s="1"/>
  <c r="P47" i="27" s="1"/>
  <c r="E34" i="27"/>
  <c r="E36" i="27" s="1"/>
  <c r="O47" i="27" s="1"/>
  <c r="D34" i="27"/>
  <c r="D36" i="27" s="1"/>
  <c r="C34" i="27"/>
  <c r="C36" i="27" s="1"/>
  <c r="I47" i="27" s="1"/>
  <c r="N8" i="27"/>
  <c r="N12" i="27" s="1"/>
  <c r="N14" i="27" s="1"/>
  <c r="N13" i="27"/>
  <c r="L17" i="27"/>
  <c r="B20" i="27"/>
  <c r="D20" i="27"/>
  <c r="E20" i="27"/>
  <c r="F20" i="27"/>
  <c r="F15" i="27"/>
  <c r="E15" i="27"/>
  <c r="D15" i="27"/>
  <c r="I13" i="27"/>
  <c r="I17" i="27" s="1"/>
  <c r="B78" i="36"/>
  <c r="B68" i="36"/>
  <c r="I49" i="27" l="1"/>
  <c r="O49" i="27"/>
  <c r="K47" i="27"/>
  <c r="K49" i="27" s="1"/>
  <c r="M47" i="27"/>
  <c r="M49" i="27" s="1"/>
  <c r="L47" i="27"/>
  <c r="L49" i="27" s="1"/>
  <c r="N47" i="27"/>
  <c r="N49" i="27" s="1"/>
  <c r="J47" i="27"/>
  <c r="J49" i="27" s="1"/>
  <c r="J41" i="27"/>
  <c r="L41" i="27"/>
  <c r="I37" i="27"/>
  <c r="N37" i="27"/>
  <c r="M25" i="27"/>
  <c r="N10" i="27"/>
  <c r="L25" i="27"/>
  <c r="N17" i="27"/>
  <c r="N25" i="27" l="1"/>
  <c r="O26" i="27"/>
  <c r="N18" i="27"/>
  <c r="N26" i="27" l="1"/>
  <c r="B105" i="37" l="1"/>
  <c r="I8" i="27" l="1"/>
  <c r="I12" i="27" l="1"/>
  <c r="I14" i="27" s="1"/>
  <c r="I10" i="27"/>
  <c r="O24" i="21"/>
  <c r="I18" i="27" l="1"/>
  <c r="I26" i="27"/>
  <c r="P13" i="27" l="1"/>
  <c r="P17" i="27" s="1"/>
  <c r="J8" i="27" l="1"/>
  <c r="J13" i="27"/>
  <c r="J17" i="27" s="1"/>
  <c r="BZ9" i="21"/>
  <c r="AZ9" i="21"/>
  <c r="L42" i="35"/>
  <c r="L43" i="35"/>
  <c r="L44" i="35"/>
  <c r="L45" i="35"/>
  <c r="L46" i="35"/>
  <c r="I42" i="35"/>
  <c r="I43" i="35"/>
  <c r="I44" i="35"/>
  <c r="I45" i="35"/>
  <c r="I46" i="35"/>
  <c r="B46" i="37"/>
  <c r="B41" i="36"/>
  <c r="K25" i="27" l="1"/>
  <c r="J25" i="27"/>
  <c r="K24" i="27"/>
  <c r="J18" i="27"/>
  <c r="J24" i="27"/>
  <c r="J10" i="27"/>
  <c r="J12" i="27"/>
  <c r="J14" i="27" s="1"/>
  <c r="J26" i="27" l="1"/>
  <c r="K26" i="27"/>
  <c r="P12" i="27"/>
  <c r="P16" i="27" s="1"/>
  <c r="P24" i="27" s="1"/>
  <c r="P26" i="27" s="1"/>
  <c r="L8" i="27"/>
  <c r="L12" i="27" l="1"/>
  <c r="P14" i="27"/>
  <c r="M26" i="27" l="1"/>
  <c r="L18" i="27"/>
  <c r="L26" i="27"/>
  <c r="P18" i="27"/>
  <c r="C28" i="27"/>
  <c r="C27" i="27"/>
  <c r="C33" i="27" s="1"/>
  <c r="C35" i="27" s="1"/>
  <c r="I43" i="27" s="1"/>
  <c r="C38" i="27" l="1"/>
  <c r="E9" i="25"/>
  <c r="E8" i="25"/>
  <c r="E7" i="25"/>
  <c r="C40" i="27" l="1"/>
  <c r="I44" i="27" s="1"/>
  <c r="I45" i="27" s="1"/>
  <c r="P32" i="27"/>
  <c r="P31" i="27"/>
  <c r="N32" i="27"/>
  <c r="N31" i="27"/>
  <c r="T26" i="27"/>
  <c r="X26" i="27"/>
  <c r="W26" i="27"/>
  <c r="V26" i="27"/>
  <c r="U26" i="27"/>
  <c r="S26" i="27"/>
  <c r="B106" i="37" l="1"/>
  <c r="B94" i="37" l="1"/>
  <c r="B66" i="37"/>
  <c r="B89" i="36" l="1"/>
  <c r="B101" i="36"/>
  <c r="E28" i="27"/>
  <c r="F27" i="27"/>
  <c r="E27" i="27"/>
  <c r="D27" i="27"/>
  <c r="P33" i="27"/>
  <c r="N33" i="27"/>
  <c r="B100" i="36"/>
  <c r="B61" i="36"/>
  <c r="B51" i="36"/>
  <c r="W11" i="27"/>
  <c r="L13" i="27"/>
  <c r="C8" i="27"/>
  <c r="P10" i="27"/>
  <c r="L10" i="27"/>
  <c r="X11" i="27"/>
  <c r="V11" i="27"/>
  <c r="U11" i="27"/>
  <c r="T11" i="27"/>
  <c r="S11" i="27"/>
  <c r="C19" i="27" l="1"/>
  <c r="C21" i="27" s="1"/>
  <c r="I21" i="27" s="1"/>
  <c r="E33" i="27"/>
  <c r="E35" i="27" s="1"/>
  <c r="E38" i="27"/>
  <c r="E40" i="27" s="1"/>
  <c r="F28" i="27"/>
  <c r="D28" i="27"/>
  <c r="D38" i="27" s="1"/>
  <c r="D40" i="27" s="1"/>
  <c r="L14" i="27"/>
  <c r="L44" i="27" l="1"/>
  <c r="N44" i="27"/>
  <c r="J44" i="27"/>
  <c r="O44" i="27"/>
  <c r="M44" i="27"/>
  <c r="K44" i="27"/>
  <c r="O43" i="27"/>
  <c r="O45" i="27" s="1"/>
  <c r="M43" i="27"/>
  <c r="K43" i="27"/>
  <c r="F33" i="27"/>
  <c r="F35" i="27" s="1"/>
  <c r="P43" i="27" s="1"/>
  <c r="F38" i="27"/>
  <c r="D33" i="27"/>
  <c r="D35" i="27" s="1"/>
  <c r="F40" i="27" l="1"/>
  <c r="P44" i="27" s="1"/>
  <c r="P45" i="27" s="1"/>
  <c r="L43" i="27"/>
  <c r="J43" i="27"/>
  <c r="N43" i="27"/>
  <c r="N45" i="27" s="1"/>
  <c r="I22" i="27"/>
  <c r="B56" i="37" l="1"/>
  <c r="B48" i="37"/>
  <c r="L15" i="35" l="1"/>
  <c r="O9" i="21"/>
  <c r="B43" i="36" l="1"/>
  <c r="AZ77" i="21"/>
  <c r="N4" i="21" l="1"/>
  <c r="AZ56" i="21" l="1"/>
  <c r="N5" i="21" l="1"/>
  <c r="N6" i="21"/>
  <c r="D16" i="37" l="1"/>
  <c r="B10" i="25" l="1"/>
  <c r="B9" i="25"/>
  <c r="B8" i="25"/>
  <c r="B7" i="25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O57" i="21"/>
  <c r="O58" i="21"/>
  <c r="O59" i="21"/>
  <c r="O60" i="21"/>
  <c r="O61" i="21"/>
  <c r="O62" i="21"/>
  <c r="O63" i="21"/>
  <c r="O64" i="21"/>
  <c r="O65" i="21"/>
  <c r="O66" i="21"/>
  <c r="O67" i="21"/>
  <c r="O68" i="21"/>
  <c r="O69" i="21"/>
  <c r="O70" i="21"/>
  <c r="O71" i="21"/>
  <c r="O72" i="21"/>
  <c r="O73" i="21"/>
  <c r="O74" i="21"/>
  <c r="O75" i="21"/>
  <c r="O76" i="21"/>
  <c r="O77" i="21"/>
  <c r="O78" i="21"/>
  <c r="O79" i="21"/>
  <c r="O80" i="21"/>
  <c r="O81" i="21"/>
  <c r="O82" i="21"/>
  <c r="O83" i="21"/>
  <c r="O84" i="21"/>
  <c r="O85" i="21"/>
  <c r="O86" i="21"/>
  <c r="O87" i="21"/>
  <c r="O88" i="21"/>
  <c r="O89" i="21"/>
  <c r="O90" i="21"/>
  <c r="O91" i="21"/>
  <c r="O92" i="21"/>
  <c r="O93" i="21"/>
  <c r="O94" i="21"/>
  <c r="O95" i="21"/>
  <c r="O96" i="21"/>
  <c r="O97" i="21"/>
  <c r="O98" i="21"/>
  <c r="O99" i="21"/>
  <c r="O100" i="21"/>
  <c r="O101" i="21"/>
  <c r="O102" i="21"/>
  <c r="O103" i="21"/>
  <c r="O104" i="21"/>
  <c r="O105" i="21"/>
  <c r="O106" i="21"/>
  <c r="O107" i="21"/>
  <c r="O108" i="21"/>
  <c r="O109" i="21"/>
  <c r="O110" i="21"/>
  <c r="O111" i="21"/>
  <c r="O112" i="21"/>
  <c r="O113" i="21"/>
  <c r="O114" i="21"/>
  <c r="O115" i="21"/>
  <c r="O116" i="21"/>
  <c r="O117" i="21"/>
  <c r="O118" i="21"/>
  <c r="O119" i="21"/>
  <c r="O120" i="21"/>
  <c r="O121" i="21"/>
  <c r="O122" i="21"/>
  <c r="O123" i="21"/>
  <c r="O124" i="21"/>
  <c r="O125" i="21"/>
  <c r="O126" i="21"/>
  <c r="O127" i="21"/>
  <c r="O128" i="21"/>
  <c r="O129" i="21"/>
  <c r="O130" i="21"/>
  <c r="O131" i="21"/>
  <c r="O132" i="21"/>
  <c r="O133" i="21"/>
  <c r="O134" i="21"/>
  <c r="O135" i="21"/>
  <c r="BG69" i="25" l="1"/>
  <c r="BH69" i="25" s="1"/>
  <c r="BI69" i="25" s="1"/>
  <c r="AD15" i="25"/>
  <c r="BG15" i="25"/>
  <c r="BH15" i="25" s="1"/>
  <c r="AD19" i="25"/>
  <c r="AD23" i="25"/>
  <c r="AD27" i="25"/>
  <c r="AD31" i="25"/>
  <c r="AD35" i="25"/>
  <c r="AD39" i="25"/>
  <c r="AD43" i="25"/>
  <c r="AD47" i="25"/>
  <c r="AD51" i="25"/>
  <c r="AD55" i="25"/>
  <c r="AD59" i="25"/>
  <c r="AD63" i="25"/>
  <c r="AD67" i="25"/>
  <c r="AD71" i="25"/>
  <c r="AD75" i="25"/>
  <c r="AD79" i="25"/>
  <c r="AD83" i="25"/>
  <c r="AD87" i="25"/>
  <c r="AD91" i="25"/>
  <c r="AD95" i="25"/>
  <c r="AD99" i="25"/>
  <c r="AD103" i="25"/>
  <c r="AD107" i="25"/>
  <c r="AD111" i="25"/>
  <c r="AD115" i="25"/>
  <c r="AD119" i="25"/>
  <c r="AD123" i="25"/>
  <c r="AD127" i="25"/>
  <c r="AD131" i="25"/>
  <c r="AD135" i="25"/>
  <c r="AD139" i="25"/>
  <c r="AD143" i="25"/>
  <c r="AD147" i="25"/>
  <c r="AD151" i="25"/>
  <c r="AD155" i="25"/>
  <c r="AD159" i="25"/>
  <c r="AD163" i="25"/>
  <c r="AD167" i="25"/>
  <c r="AD171" i="25"/>
  <c r="AD175" i="25"/>
  <c r="AD179" i="25"/>
  <c r="AD183" i="25"/>
  <c r="AD187" i="25"/>
  <c r="AD191" i="25"/>
  <c r="AD195" i="25"/>
  <c r="AD199" i="25"/>
  <c r="AD203" i="25"/>
  <c r="AD207" i="25"/>
  <c r="AD211" i="25"/>
  <c r="AD215" i="25"/>
  <c r="AD219" i="25"/>
  <c r="AD223" i="25"/>
  <c r="AD227" i="25"/>
  <c r="AD231" i="25"/>
  <c r="AD235" i="25"/>
  <c r="AD239" i="25"/>
  <c r="AD243" i="25"/>
  <c r="AD247" i="25"/>
  <c r="AD251" i="25"/>
  <c r="AD255" i="25"/>
  <c r="AD259" i="25"/>
  <c r="AD263" i="25"/>
  <c r="AD267" i="25"/>
  <c r="AD271" i="25"/>
  <c r="AD275" i="25"/>
  <c r="AD279" i="25"/>
  <c r="AD283" i="25"/>
  <c r="AD287" i="25"/>
  <c r="AD291" i="25"/>
  <c r="AD295" i="25"/>
  <c r="AD299" i="25"/>
  <c r="AD303" i="25"/>
  <c r="AD307" i="25"/>
  <c r="AD311" i="25"/>
  <c r="AD315" i="25"/>
  <c r="AD319" i="25"/>
  <c r="AD323" i="25"/>
  <c r="AD327" i="25"/>
  <c r="AD331" i="25"/>
  <c r="AD335" i="25"/>
  <c r="AD339" i="25"/>
  <c r="AD343" i="25"/>
  <c r="AD347" i="25"/>
  <c r="AD16" i="25"/>
  <c r="AD20" i="25"/>
  <c r="AD24" i="25"/>
  <c r="AD28" i="25"/>
  <c r="AD32" i="25"/>
  <c r="AD36" i="25"/>
  <c r="AD40" i="25"/>
  <c r="AD44" i="25"/>
  <c r="AD48" i="25"/>
  <c r="AD52" i="25"/>
  <c r="AD56" i="25"/>
  <c r="AD60" i="25"/>
  <c r="AD64" i="25"/>
  <c r="AD68" i="25"/>
  <c r="AD72" i="25"/>
  <c r="AD76" i="25"/>
  <c r="AD80" i="25"/>
  <c r="AD84" i="25"/>
  <c r="AD88" i="25"/>
  <c r="AD92" i="25"/>
  <c r="AD96" i="25"/>
  <c r="AD100" i="25"/>
  <c r="AD104" i="25"/>
  <c r="AD108" i="25"/>
  <c r="AD112" i="25"/>
  <c r="AD116" i="25"/>
  <c r="AD120" i="25"/>
  <c r="AD124" i="25"/>
  <c r="AD128" i="25"/>
  <c r="AD132" i="25"/>
  <c r="AD136" i="25"/>
  <c r="AD140" i="25"/>
  <c r="AD144" i="25"/>
  <c r="AD148" i="25"/>
  <c r="AD152" i="25"/>
  <c r="AD156" i="25"/>
  <c r="AD160" i="25"/>
  <c r="AD164" i="25"/>
  <c r="AD168" i="25"/>
  <c r="AD172" i="25"/>
  <c r="AD176" i="25"/>
  <c r="AD180" i="25"/>
  <c r="AD184" i="25"/>
  <c r="AD188" i="25"/>
  <c r="AD192" i="25"/>
  <c r="AD196" i="25"/>
  <c r="AD200" i="25"/>
  <c r="AD204" i="25"/>
  <c r="AD208" i="25"/>
  <c r="AD212" i="25"/>
  <c r="AD216" i="25"/>
  <c r="AD220" i="25"/>
  <c r="AD224" i="25"/>
  <c r="AD228" i="25"/>
  <c r="AD232" i="25"/>
  <c r="AD236" i="25"/>
  <c r="AD240" i="25"/>
  <c r="AD244" i="25"/>
  <c r="AD248" i="25"/>
  <c r="AD252" i="25"/>
  <c r="AD256" i="25"/>
  <c r="AD260" i="25"/>
  <c r="AD264" i="25"/>
  <c r="AD268" i="25"/>
  <c r="AD272" i="25"/>
  <c r="AD276" i="25"/>
  <c r="AD280" i="25"/>
  <c r="AD284" i="25"/>
  <c r="AD288" i="25"/>
  <c r="AD292" i="25"/>
  <c r="AD296" i="25"/>
  <c r="AD300" i="25"/>
  <c r="AD304" i="25"/>
  <c r="AD308" i="25"/>
  <c r="AD312" i="25"/>
  <c r="AD316" i="25"/>
  <c r="AD320" i="25"/>
  <c r="AD324" i="25"/>
  <c r="AD328" i="25"/>
  <c r="AD332" i="25"/>
  <c r="AD336" i="25"/>
  <c r="AD340" i="25"/>
  <c r="AD344" i="25"/>
  <c r="AD348" i="25"/>
  <c r="CG16" i="25"/>
  <c r="AD17" i="25"/>
  <c r="AD21" i="25"/>
  <c r="AD25" i="25"/>
  <c r="AD29" i="25"/>
  <c r="AD33" i="25"/>
  <c r="AD37" i="25"/>
  <c r="AD41" i="25"/>
  <c r="AD45" i="25"/>
  <c r="AD49" i="25"/>
  <c r="AD53" i="25"/>
  <c r="AD57" i="25"/>
  <c r="AD61" i="25"/>
  <c r="AD65" i="25"/>
  <c r="AD69" i="25"/>
  <c r="AE69" i="25" s="1"/>
  <c r="AF69" i="25" s="1"/>
  <c r="AD73" i="25"/>
  <c r="AD77" i="25"/>
  <c r="AD81" i="25"/>
  <c r="AD85" i="25"/>
  <c r="AD89" i="25"/>
  <c r="AD93" i="25"/>
  <c r="AD97" i="25"/>
  <c r="AD101" i="25"/>
  <c r="AD105" i="25"/>
  <c r="AD109" i="25"/>
  <c r="AD113" i="25"/>
  <c r="AD117" i="25"/>
  <c r="AD121" i="25"/>
  <c r="AD125" i="25"/>
  <c r="AD129" i="25"/>
  <c r="AD133" i="25"/>
  <c r="AD137" i="25"/>
  <c r="AD141" i="25"/>
  <c r="AD145" i="25"/>
  <c r="AD149" i="25"/>
  <c r="AD153" i="25"/>
  <c r="AD157" i="25"/>
  <c r="AD161" i="25"/>
  <c r="AD165" i="25"/>
  <c r="AD169" i="25"/>
  <c r="AD173" i="25"/>
  <c r="AD177" i="25"/>
  <c r="AD181" i="25"/>
  <c r="AD185" i="25"/>
  <c r="AD189" i="25"/>
  <c r="AD193" i="25"/>
  <c r="AD197" i="25"/>
  <c r="AD201" i="25"/>
  <c r="AD205" i="25"/>
  <c r="AD209" i="25"/>
  <c r="AD213" i="25"/>
  <c r="AD217" i="25"/>
  <c r="AD221" i="25"/>
  <c r="AD225" i="25"/>
  <c r="AD229" i="25"/>
  <c r="AD233" i="25"/>
  <c r="AD237" i="25"/>
  <c r="AD241" i="25"/>
  <c r="AD245" i="25"/>
  <c r="AD249" i="25"/>
  <c r="AD253" i="25"/>
  <c r="AD257" i="25"/>
  <c r="AD261" i="25"/>
  <c r="AD265" i="25"/>
  <c r="AD269" i="25"/>
  <c r="AD273" i="25"/>
  <c r="AD277" i="25"/>
  <c r="AD281" i="25"/>
  <c r="AD285" i="25"/>
  <c r="AD289" i="25"/>
  <c r="AD293" i="25"/>
  <c r="AD297" i="25"/>
  <c r="AD301" i="25"/>
  <c r="AD305" i="25"/>
  <c r="AD309" i="25"/>
  <c r="AD313" i="25"/>
  <c r="AD317" i="25"/>
  <c r="AD321" i="25"/>
  <c r="AD325" i="25"/>
  <c r="AD329" i="25"/>
  <c r="AD333" i="25"/>
  <c r="AD337" i="25"/>
  <c r="AD341" i="25"/>
  <c r="AD345" i="25"/>
  <c r="AD349" i="25"/>
  <c r="CG17" i="25"/>
  <c r="AD18" i="25"/>
  <c r="AD34" i="25"/>
  <c r="AD50" i="25"/>
  <c r="AD66" i="25"/>
  <c r="AD82" i="25"/>
  <c r="AD98" i="25"/>
  <c r="AD114" i="25"/>
  <c r="AD130" i="25"/>
  <c r="AD146" i="25"/>
  <c r="AD162" i="25"/>
  <c r="AD178" i="25"/>
  <c r="AD194" i="25"/>
  <c r="AD210" i="25"/>
  <c r="AD226" i="25"/>
  <c r="AD242" i="25"/>
  <c r="AD258" i="25"/>
  <c r="AD274" i="25"/>
  <c r="AD290" i="25"/>
  <c r="AD306" i="25"/>
  <c r="AD322" i="25"/>
  <c r="AD338" i="25"/>
  <c r="CG18" i="25"/>
  <c r="CG22" i="25"/>
  <c r="CG26" i="25"/>
  <c r="CG30" i="25"/>
  <c r="CG34" i="25"/>
  <c r="CG38" i="25"/>
  <c r="CG42" i="25"/>
  <c r="CG46" i="25"/>
  <c r="CG50" i="25"/>
  <c r="CG54" i="25"/>
  <c r="CG58" i="25"/>
  <c r="CG62" i="25"/>
  <c r="CG66" i="25"/>
  <c r="CG70" i="25"/>
  <c r="CG74" i="25"/>
  <c r="CG78" i="25"/>
  <c r="CG82" i="25"/>
  <c r="CG86" i="25"/>
  <c r="CG90" i="25"/>
  <c r="CG94" i="25"/>
  <c r="CG98" i="25"/>
  <c r="CG102" i="25"/>
  <c r="CG106" i="25"/>
  <c r="CG110" i="25"/>
  <c r="CG114" i="25"/>
  <c r="CG118" i="25"/>
  <c r="CG122" i="25"/>
  <c r="CG126" i="25"/>
  <c r="CG130" i="25"/>
  <c r="CG134" i="25"/>
  <c r="CG138" i="25"/>
  <c r="CG142" i="25"/>
  <c r="CG146" i="25"/>
  <c r="CG150" i="25"/>
  <c r="CG154" i="25"/>
  <c r="CG158" i="25"/>
  <c r="CG162" i="25"/>
  <c r="CG166" i="25"/>
  <c r="CG170" i="25"/>
  <c r="CG174" i="25"/>
  <c r="CG178" i="25"/>
  <c r="CG182" i="25"/>
  <c r="CG186" i="25"/>
  <c r="CG190" i="25"/>
  <c r="CG194" i="25"/>
  <c r="CG198" i="25"/>
  <c r="CG202" i="25"/>
  <c r="CG206" i="25"/>
  <c r="CG210" i="25"/>
  <c r="CG214" i="25"/>
  <c r="CG218" i="25"/>
  <c r="CG222" i="25"/>
  <c r="CG226" i="25"/>
  <c r="CG230" i="25"/>
  <c r="CG234" i="25"/>
  <c r="CG238" i="25"/>
  <c r="CG242" i="25"/>
  <c r="CG246" i="25"/>
  <c r="CG250" i="25"/>
  <c r="CG254" i="25"/>
  <c r="CG258" i="25"/>
  <c r="CG262" i="25"/>
  <c r="CG266" i="25"/>
  <c r="CG270" i="25"/>
  <c r="CG274" i="25"/>
  <c r="AD22" i="25"/>
  <c r="AD38" i="25"/>
  <c r="AD54" i="25"/>
  <c r="AD70" i="25"/>
  <c r="AD86" i="25"/>
  <c r="AD102" i="25"/>
  <c r="AD118" i="25"/>
  <c r="AD134" i="25"/>
  <c r="AD150" i="25"/>
  <c r="AD166" i="25"/>
  <c r="AD182" i="25"/>
  <c r="AD198" i="25"/>
  <c r="AD214" i="25"/>
  <c r="AD230" i="25"/>
  <c r="AD246" i="25"/>
  <c r="AD262" i="25"/>
  <c r="AD278" i="25"/>
  <c r="AD294" i="25"/>
  <c r="AD310" i="25"/>
  <c r="AD326" i="25"/>
  <c r="AD342" i="25"/>
  <c r="CG19" i="25"/>
  <c r="CG23" i="25"/>
  <c r="CG27" i="25"/>
  <c r="CG31" i="25"/>
  <c r="CG35" i="25"/>
  <c r="CG39" i="25"/>
  <c r="CG43" i="25"/>
  <c r="CG47" i="25"/>
  <c r="CG51" i="25"/>
  <c r="CG55" i="25"/>
  <c r="CG59" i="25"/>
  <c r="CG63" i="25"/>
  <c r="CG67" i="25"/>
  <c r="CG71" i="25"/>
  <c r="CG75" i="25"/>
  <c r="CG79" i="25"/>
  <c r="CG83" i="25"/>
  <c r="CG87" i="25"/>
  <c r="CG91" i="25"/>
  <c r="CG95" i="25"/>
  <c r="CG99" i="25"/>
  <c r="CG103" i="25"/>
  <c r="CG107" i="25"/>
  <c r="CG111" i="25"/>
  <c r="CG115" i="25"/>
  <c r="CG119" i="25"/>
  <c r="CG123" i="25"/>
  <c r="CG127" i="25"/>
  <c r="CG131" i="25"/>
  <c r="CG135" i="25"/>
  <c r="CG139" i="25"/>
  <c r="CG143" i="25"/>
  <c r="CG147" i="25"/>
  <c r="CG151" i="25"/>
  <c r="CG155" i="25"/>
  <c r="CG159" i="25"/>
  <c r="CG163" i="25"/>
  <c r="CG167" i="25"/>
  <c r="CG171" i="25"/>
  <c r="CG175" i="25"/>
  <c r="CG179" i="25"/>
  <c r="CG183" i="25"/>
  <c r="CG187" i="25"/>
  <c r="CG191" i="25"/>
  <c r="CG195" i="25"/>
  <c r="CG199" i="25"/>
  <c r="CG203" i="25"/>
  <c r="CG207" i="25"/>
  <c r="CG211" i="25"/>
  <c r="CG215" i="25"/>
  <c r="CG219" i="25"/>
  <c r="CG223" i="25"/>
  <c r="CG227" i="25"/>
  <c r="CG231" i="25"/>
  <c r="CG235" i="25"/>
  <c r="CG239" i="25"/>
  <c r="CG243" i="25"/>
  <c r="CG247" i="25"/>
  <c r="CG251" i="25"/>
  <c r="CG255" i="25"/>
  <c r="CG259" i="25"/>
  <c r="CG263" i="25"/>
  <c r="CG267" i="25"/>
  <c r="CG271" i="25"/>
  <c r="AD26" i="25"/>
  <c r="AD42" i="25"/>
  <c r="AD58" i="25"/>
  <c r="AD74" i="25"/>
  <c r="AD90" i="25"/>
  <c r="AD106" i="25"/>
  <c r="AD122" i="25"/>
  <c r="AD138" i="25"/>
  <c r="AD154" i="25"/>
  <c r="AD170" i="25"/>
  <c r="AD186" i="25"/>
  <c r="AD202" i="25"/>
  <c r="AD218" i="25"/>
  <c r="AD234" i="25"/>
  <c r="AD250" i="25"/>
  <c r="AD266" i="25"/>
  <c r="AD282" i="25"/>
  <c r="AD298" i="25"/>
  <c r="AD314" i="25"/>
  <c r="AD330" i="25"/>
  <c r="AD346" i="25"/>
  <c r="CG20" i="25"/>
  <c r="CG24" i="25"/>
  <c r="CG28" i="25"/>
  <c r="CG32" i="25"/>
  <c r="CG36" i="25"/>
  <c r="CG40" i="25"/>
  <c r="CG44" i="25"/>
  <c r="CG48" i="25"/>
  <c r="CG52" i="25"/>
  <c r="CG56" i="25"/>
  <c r="CG60" i="25"/>
  <c r="CG64" i="25"/>
  <c r="CG68" i="25"/>
  <c r="CG72" i="25"/>
  <c r="CG76" i="25"/>
  <c r="CG80" i="25"/>
  <c r="CG84" i="25"/>
  <c r="CG88" i="25"/>
  <c r="CG92" i="25"/>
  <c r="CG96" i="25"/>
  <c r="CG100" i="25"/>
  <c r="CG104" i="25"/>
  <c r="CG108" i="25"/>
  <c r="CG112" i="25"/>
  <c r="CG116" i="25"/>
  <c r="CG120" i="25"/>
  <c r="CG124" i="25"/>
  <c r="CG128" i="25"/>
  <c r="CG132" i="25"/>
  <c r="CG136" i="25"/>
  <c r="CG140" i="25"/>
  <c r="CG144" i="25"/>
  <c r="CG148" i="25"/>
  <c r="CG152" i="25"/>
  <c r="CG156" i="25"/>
  <c r="CG160" i="25"/>
  <c r="CG164" i="25"/>
  <c r="CG168" i="25"/>
  <c r="CG172" i="25"/>
  <c r="CG176" i="25"/>
  <c r="CG180" i="25"/>
  <c r="CG184" i="25"/>
  <c r="CG188" i="25"/>
  <c r="CG192" i="25"/>
  <c r="CG196" i="25"/>
  <c r="CG200" i="25"/>
  <c r="CG204" i="25"/>
  <c r="CG208" i="25"/>
  <c r="CG212" i="25"/>
  <c r="CG216" i="25"/>
  <c r="CG220" i="25"/>
  <c r="CG224" i="25"/>
  <c r="CG228" i="25"/>
  <c r="CG232" i="25"/>
  <c r="CG236" i="25"/>
  <c r="CG240" i="25"/>
  <c r="CG244" i="25"/>
  <c r="CG248" i="25"/>
  <c r="CG252" i="25"/>
  <c r="CG256" i="25"/>
  <c r="CG260" i="25"/>
  <c r="CG264" i="25"/>
  <c r="CG268" i="25"/>
  <c r="CG272" i="25"/>
  <c r="AD30" i="25"/>
  <c r="AD94" i="25"/>
  <c r="AD158" i="25"/>
  <c r="AD222" i="25"/>
  <c r="AD286" i="25"/>
  <c r="AD350" i="25"/>
  <c r="CG33" i="25"/>
  <c r="CG49" i="25"/>
  <c r="CG65" i="25"/>
  <c r="CG81" i="25"/>
  <c r="CG97" i="25"/>
  <c r="CG113" i="25"/>
  <c r="CG129" i="25"/>
  <c r="CG145" i="25"/>
  <c r="CG161" i="25"/>
  <c r="CG177" i="25"/>
  <c r="CG193" i="25"/>
  <c r="CG209" i="25"/>
  <c r="CG225" i="25"/>
  <c r="CG241" i="25"/>
  <c r="CG257" i="25"/>
  <c r="CG273" i="25"/>
  <c r="CG278" i="25"/>
  <c r="CG282" i="25"/>
  <c r="CG286" i="25"/>
  <c r="CG290" i="25"/>
  <c r="CG294" i="25"/>
  <c r="CG298" i="25"/>
  <c r="CG302" i="25"/>
  <c r="CG306" i="25"/>
  <c r="CG310" i="25"/>
  <c r="CG314" i="25"/>
  <c r="CG318" i="25"/>
  <c r="CG322" i="25"/>
  <c r="CG326" i="25"/>
  <c r="CG330" i="25"/>
  <c r="CG334" i="25"/>
  <c r="CG338" i="25"/>
  <c r="CG342" i="25"/>
  <c r="CG346" i="25"/>
  <c r="CG350" i="25"/>
  <c r="BG18" i="25"/>
  <c r="BG22" i="25"/>
  <c r="BG26" i="25"/>
  <c r="BG30" i="25"/>
  <c r="BG34" i="25"/>
  <c r="BG38" i="25"/>
  <c r="BG42" i="25"/>
  <c r="BG46" i="25"/>
  <c r="BG50" i="25"/>
  <c r="BG54" i="25"/>
  <c r="BG58" i="25"/>
  <c r="BG62" i="25"/>
  <c r="BG66" i="25"/>
  <c r="BG70" i="25"/>
  <c r="BG74" i="25"/>
  <c r="BG78" i="25"/>
  <c r="BG82" i="25"/>
  <c r="BG86" i="25"/>
  <c r="BG90" i="25"/>
  <c r="BG94" i="25"/>
  <c r="BG98" i="25"/>
  <c r="BG102" i="25"/>
  <c r="BG106" i="25"/>
  <c r="BG110" i="25"/>
  <c r="BG114" i="25"/>
  <c r="BG118" i="25"/>
  <c r="BG122" i="25"/>
  <c r="BG126" i="25"/>
  <c r="BG130" i="25"/>
  <c r="BG134" i="25"/>
  <c r="BG138" i="25"/>
  <c r="BG142" i="25"/>
  <c r="BG146" i="25"/>
  <c r="BG150" i="25"/>
  <c r="BG154" i="25"/>
  <c r="BG158" i="25"/>
  <c r="BG162" i="25"/>
  <c r="BG166" i="25"/>
  <c r="BG170" i="25"/>
  <c r="BG174" i="25"/>
  <c r="BG178" i="25"/>
  <c r="BG182" i="25"/>
  <c r="BG186" i="25"/>
  <c r="BG190" i="25"/>
  <c r="BG194" i="25"/>
  <c r="AD46" i="25"/>
  <c r="AD110" i="25"/>
  <c r="AD174" i="25"/>
  <c r="AD238" i="25"/>
  <c r="AD302" i="25"/>
  <c r="CG21" i="25"/>
  <c r="CG37" i="25"/>
  <c r="CG53" i="25"/>
  <c r="CG69" i="25"/>
  <c r="CG85" i="25"/>
  <c r="CG101" i="25"/>
  <c r="CG117" i="25"/>
  <c r="CG133" i="25"/>
  <c r="CG149" i="25"/>
  <c r="CG165" i="25"/>
  <c r="CG181" i="25"/>
  <c r="CG197" i="25"/>
  <c r="CG213" i="25"/>
  <c r="CG229" i="25"/>
  <c r="CG245" i="25"/>
  <c r="CG261" i="25"/>
  <c r="CG275" i="25"/>
  <c r="CG279" i="25"/>
  <c r="CG283" i="25"/>
  <c r="CG287" i="25"/>
  <c r="CG291" i="25"/>
  <c r="CG295" i="25"/>
  <c r="CG299" i="25"/>
  <c r="CG303" i="25"/>
  <c r="CG307" i="25"/>
  <c r="CG311" i="25"/>
  <c r="CG315" i="25"/>
  <c r="CG319" i="25"/>
  <c r="CG323" i="25"/>
  <c r="CG327" i="25"/>
  <c r="CG331" i="25"/>
  <c r="CG335" i="25"/>
  <c r="CG339" i="25"/>
  <c r="CG343" i="25"/>
  <c r="CG347" i="25"/>
  <c r="CG15" i="25"/>
  <c r="BG19" i="25"/>
  <c r="BG23" i="25"/>
  <c r="BG27" i="25"/>
  <c r="BG31" i="25"/>
  <c r="BG35" i="25"/>
  <c r="BG39" i="25"/>
  <c r="BG43" i="25"/>
  <c r="BG47" i="25"/>
  <c r="BG51" i="25"/>
  <c r="BG55" i="25"/>
  <c r="BG59" i="25"/>
  <c r="BG63" i="25"/>
  <c r="BG67" i="25"/>
  <c r="BG71" i="25"/>
  <c r="BG75" i="25"/>
  <c r="BG79" i="25"/>
  <c r="BG83" i="25"/>
  <c r="BG87" i="25"/>
  <c r="BG91" i="25"/>
  <c r="BG95" i="25"/>
  <c r="BG99" i="25"/>
  <c r="BG103" i="25"/>
  <c r="BG107" i="25"/>
  <c r="BG111" i="25"/>
  <c r="BG115" i="25"/>
  <c r="BG119" i="25"/>
  <c r="BG123" i="25"/>
  <c r="BG127" i="25"/>
  <c r="BG131" i="25"/>
  <c r="BG135" i="25"/>
  <c r="BG139" i="25"/>
  <c r="BG143" i="25"/>
  <c r="BG147" i="25"/>
  <c r="BG151" i="25"/>
  <c r="BG155" i="25"/>
  <c r="BG159" i="25"/>
  <c r="BG163" i="25"/>
  <c r="BG167" i="25"/>
  <c r="BG171" i="25"/>
  <c r="BG175" i="25"/>
  <c r="BG179" i="25"/>
  <c r="BG183" i="25"/>
  <c r="BG187" i="25"/>
  <c r="BG191" i="25"/>
  <c r="BG195" i="25"/>
  <c r="AD62" i="25"/>
  <c r="AD126" i="25"/>
  <c r="AD190" i="25"/>
  <c r="AD254" i="25"/>
  <c r="AD318" i="25"/>
  <c r="CG25" i="25"/>
  <c r="CG41" i="25"/>
  <c r="CG57" i="25"/>
  <c r="CG73" i="25"/>
  <c r="CG89" i="25"/>
  <c r="CG105" i="25"/>
  <c r="CG121" i="25"/>
  <c r="CG137" i="25"/>
  <c r="CG153" i="25"/>
  <c r="CG169" i="25"/>
  <c r="CG185" i="25"/>
  <c r="CG201" i="25"/>
  <c r="CG217" i="25"/>
  <c r="CG233" i="25"/>
  <c r="CG249" i="25"/>
  <c r="CG265" i="25"/>
  <c r="CG276" i="25"/>
  <c r="CG280" i="25"/>
  <c r="CG284" i="25"/>
  <c r="CG288" i="25"/>
  <c r="CG292" i="25"/>
  <c r="CG296" i="25"/>
  <c r="CG300" i="25"/>
  <c r="CG304" i="25"/>
  <c r="CG308" i="25"/>
  <c r="CG312" i="25"/>
  <c r="CG316" i="25"/>
  <c r="CG320" i="25"/>
  <c r="CG324" i="25"/>
  <c r="CG328" i="25"/>
  <c r="CG332" i="25"/>
  <c r="CG336" i="25"/>
  <c r="CG340" i="25"/>
  <c r="CG344" i="25"/>
  <c r="CG348" i="25"/>
  <c r="BG16" i="25"/>
  <c r="BG20" i="25"/>
  <c r="BG24" i="25"/>
  <c r="BG28" i="25"/>
  <c r="BG32" i="25"/>
  <c r="BG36" i="25"/>
  <c r="BG40" i="25"/>
  <c r="BG44" i="25"/>
  <c r="BG48" i="25"/>
  <c r="BG52" i="25"/>
  <c r="BG56" i="25"/>
  <c r="BG60" i="25"/>
  <c r="BG64" i="25"/>
  <c r="BG68" i="25"/>
  <c r="BG72" i="25"/>
  <c r="BG76" i="25"/>
  <c r="BG80" i="25"/>
  <c r="BG84" i="25"/>
  <c r="BG88" i="25"/>
  <c r="BG92" i="25"/>
  <c r="BG96" i="25"/>
  <c r="BG100" i="25"/>
  <c r="BG104" i="25"/>
  <c r="BG108" i="25"/>
  <c r="BG112" i="25"/>
  <c r="BG116" i="25"/>
  <c r="BG120" i="25"/>
  <c r="BG124" i="25"/>
  <c r="BG128" i="25"/>
  <c r="BG132" i="25"/>
  <c r="BG136" i="25"/>
  <c r="BG140" i="25"/>
  <c r="BG144" i="25"/>
  <c r="BG148" i="25"/>
  <c r="BG152" i="25"/>
  <c r="BG156" i="25"/>
  <c r="BG160" i="25"/>
  <c r="BG164" i="25"/>
  <c r="BG168" i="25"/>
  <c r="BG172" i="25"/>
  <c r="BG176" i="25"/>
  <c r="BG180" i="25"/>
  <c r="BG184" i="25"/>
  <c r="BG188" i="25"/>
  <c r="BG192" i="25"/>
  <c r="AD78" i="25"/>
  <c r="AD334" i="25"/>
  <c r="CG77" i="25"/>
  <c r="CG141" i="25"/>
  <c r="CG205" i="25"/>
  <c r="CG269" i="25"/>
  <c r="CG289" i="25"/>
  <c r="CG305" i="25"/>
  <c r="CG321" i="25"/>
  <c r="CG337" i="25"/>
  <c r="BG17" i="25"/>
  <c r="BG33" i="25"/>
  <c r="BG49" i="25"/>
  <c r="BG65" i="25"/>
  <c r="BG81" i="25"/>
  <c r="BG97" i="25"/>
  <c r="BG113" i="25"/>
  <c r="BG129" i="25"/>
  <c r="BG145" i="25"/>
  <c r="BG161" i="25"/>
  <c r="BG177" i="25"/>
  <c r="BG193" i="25"/>
  <c r="BG199" i="25"/>
  <c r="BG203" i="25"/>
  <c r="BG207" i="25"/>
  <c r="BG211" i="25"/>
  <c r="BG215" i="25"/>
  <c r="BG219" i="25"/>
  <c r="BG223" i="25"/>
  <c r="BG227" i="25"/>
  <c r="BG231" i="25"/>
  <c r="BG235" i="25"/>
  <c r="BG239" i="25"/>
  <c r="BG243" i="25"/>
  <c r="BG247" i="25"/>
  <c r="BG251" i="25"/>
  <c r="BG255" i="25"/>
  <c r="BG259" i="25"/>
  <c r="BG263" i="25"/>
  <c r="BG267" i="25"/>
  <c r="BG271" i="25"/>
  <c r="BG275" i="25"/>
  <c r="BG279" i="25"/>
  <c r="BG283" i="25"/>
  <c r="BG287" i="25"/>
  <c r="BG291" i="25"/>
  <c r="BG295" i="25"/>
  <c r="BG299" i="25"/>
  <c r="BG303" i="25"/>
  <c r="BG307" i="25"/>
  <c r="BG311" i="25"/>
  <c r="BG315" i="25"/>
  <c r="BG319" i="25"/>
  <c r="BG323" i="25"/>
  <c r="BG327" i="25"/>
  <c r="BG331" i="25"/>
  <c r="BG335" i="25"/>
  <c r="BG339" i="25"/>
  <c r="BG343" i="25"/>
  <c r="BG347" i="25"/>
  <c r="BG45" i="25"/>
  <c r="BG210" i="25"/>
  <c r="BG230" i="25"/>
  <c r="BG242" i="25"/>
  <c r="BG254" i="25"/>
  <c r="BG266" i="25"/>
  <c r="BG278" i="25"/>
  <c r="BG290" i="25"/>
  <c r="BG302" i="25"/>
  <c r="BG314" i="25"/>
  <c r="BG326" i="25"/>
  <c r="BG338" i="25"/>
  <c r="BG350" i="25"/>
  <c r="AD142" i="25"/>
  <c r="CG29" i="25"/>
  <c r="CG93" i="25"/>
  <c r="CG157" i="25"/>
  <c r="CG221" i="25"/>
  <c r="CG277" i="25"/>
  <c r="CG293" i="25"/>
  <c r="CG309" i="25"/>
  <c r="CG325" i="25"/>
  <c r="CG341" i="25"/>
  <c r="BG21" i="25"/>
  <c r="BG37" i="25"/>
  <c r="BG53" i="25"/>
  <c r="BG85" i="25"/>
  <c r="BG101" i="25"/>
  <c r="BG117" i="25"/>
  <c r="BG133" i="25"/>
  <c r="BG149" i="25"/>
  <c r="BG165" i="25"/>
  <c r="BG181" i="25"/>
  <c r="BG196" i="25"/>
  <c r="BG200" i="25"/>
  <c r="BG204" i="25"/>
  <c r="BG208" i="25"/>
  <c r="BG212" i="25"/>
  <c r="BG216" i="25"/>
  <c r="BG220" i="25"/>
  <c r="BG224" i="25"/>
  <c r="BG228" i="25"/>
  <c r="BG232" i="25"/>
  <c r="BG236" i="25"/>
  <c r="BG240" i="25"/>
  <c r="BG244" i="25"/>
  <c r="BG248" i="25"/>
  <c r="BG252" i="25"/>
  <c r="BG256" i="25"/>
  <c r="BG260" i="25"/>
  <c r="BG264" i="25"/>
  <c r="BG268" i="25"/>
  <c r="BG272" i="25"/>
  <c r="BG276" i="25"/>
  <c r="BG280" i="25"/>
  <c r="BG284" i="25"/>
  <c r="BG288" i="25"/>
  <c r="BG292" i="25"/>
  <c r="BG296" i="25"/>
  <c r="BG300" i="25"/>
  <c r="BG304" i="25"/>
  <c r="BG308" i="25"/>
  <c r="BG312" i="25"/>
  <c r="BG316" i="25"/>
  <c r="BG320" i="25"/>
  <c r="BG324" i="25"/>
  <c r="BG328" i="25"/>
  <c r="BG332" i="25"/>
  <c r="BG336" i="25"/>
  <c r="BG340" i="25"/>
  <c r="BG344" i="25"/>
  <c r="BG348" i="25"/>
  <c r="CG61" i="25"/>
  <c r="CG285" i="25"/>
  <c r="CG333" i="25"/>
  <c r="BG29" i="25"/>
  <c r="BG77" i="25"/>
  <c r="BG93" i="25"/>
  <c r="BG125" i="25"/>
  <c r="BG157" i="25"/>
  <c r="BG189" i="25"/>
  <c r="BG206" i="25"/>
  <c r="BG214" i="25"/>
  <c r="BG222" i="25"/>
  <c r="BG234" i="25"/>
  <c r="BG246" i="25"/>
  <c r="BG258" i="25"/>
  <c r="BG270" i="25"/>
  <c r="BG286" i="25"/>
  <c r="BG298" i="25"/>
  <c r="BG310" i="25"/>
  <c r="BG322" i="25"/>
  <c r="BG330" i="25"/>
  <c r="BG342" i="25"/>
  <c r="AD206" i="25"/>
  <c r="CG45" i="25"/>
  <c r="CG109" i="25"/>
  <c r="CG173" i="25"/>
  <c r="CG237" i="25"/>
  <c r="CG281" i="25"/>
  <c r="CG297" i="25"/>
  <c r="CG313" i="25"/>
  <c r="CG329" i="25"/>
  <c r="CG345" i="25"/>
  <c r="BG25" i="25"/>
  <c r="BG41" i="25"/>
  <c r="BG57" i="25"/>
  <c r="BG73" i="25"/>
  <c r="BG89" i="25"/>
  <c r="BG105" i="25"/>
  <c r="BG121" i="25"/>
  <c r="BG137" i="25"/>
  <c r="BG153" i="25"/>
  <c r="BG169" i="25"/>
  <c r="BG185" i="25"/>
  <c r="BG197" i="25"/>
  <c r="BG201" i="25"/>
  <c r="BG205" i="25"/>
  <c r="BG209" i="25"/>
  <c r="BG213" i="25"/>
  <c r="BG217" i="25"/>
  <c r="BG221" i="25"/>
  <c r="BG225" i="25"/>
  <c r="BG229" i="25"/>
  <c r="BG233" i="25"/>
  <c r="BG237" i="25"/>
  <c r="BG241" i="25"/>
  <c r="BG245" i="25"/>
  <c r="BG249" i="25"/>
  <c r="BG253" i="25"/>
  <c r="BG257" i="25"/>
  <c r="BG261" i="25"/>
  <c r="BG265" i="25"/>
  <c r="BG269" i="25"/>
  <c r="BG273" i="25"/>
  <c r="BG277" i="25"/>
  <c r="BG281" i="25"/>
  <c r="BG285" i="25"/>
  <c r="BG289" i="25"/>
  <c r="BG293" i="25"/>
  <c r="BG297" i="25"/>
  <c r="BG301" i="25"/>
  <c r="BG305" i="25"/>
  <c r="BG309" i="25"/>
  <c r="BG313" i="25"/>
  <c r="BG317" i="25"/>
  <c r="BG321" i="25"/>
  <c r="BG325" i="25"/>
  <c r="BG329" i="25"/>
  <c r="BG333" i="25"/>
  <c r="BG337" i="25"/>
  <c r="BG341" i="25"/>
  <c r="BG345" i="25"/>
  <c r="BG349" i="25"/>
  <c r="AD270" i="25"/>
  <c r="CG125" i="25"/>
  <c r="CG189" i="25"/>
  <c r="CG253" i="25"/>
  <c r="CG301" i="25"/>
  <c r="CG317" i="25"/>
  <c r="CG349" i="25"/>
  <c r="BG61" i="25"/>
  <c r="BG109" i="25"/>
  <c r="BG141" i="25"/>
  <c r="BG173" i="25"/>
  <c r="BG198" i="25"/>
  <c r="BG202" i="25"/>
  <c r="BG218" i="25"/>
  <c r="BG226" i="25"/>
  <c r="BG238" i="25"/>
  <c r="BG250" i="25"/>
  <c r="BG262" i="25"/>
  <c r="BG274" i="25"/>
  <c r="BG282" i="25"/>
  <c r="BG294" i="25"/>
  <c r="BG306" i="25"/>
  <c r="BG318" i="25"/>
  <c r="BG334" i="25"/>
  <c r="BG346" i="25"/>
  <c r="AE15" i="25"/>
  <c r="BK15" i="25" l="1"/>
  <c r="BJ15" i="25"/>
  <c r="BI15" i="25"/>
  <c r="T8" i="37" l="1"/>
  <c r="C85" i="37" l="1"/>
  <c r="D85" i="37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15" i="25"/>
  <c r="AE241" i="25"/>
  <c r="AE260" i="25"/>
  <c r="AE268" i="25"/>
  <c r="AE272" i="25"/>
  <c r="AE284" i="25"/>
  <c r="AE292" i="25"/>
  <c r="AE300" i="25"/>
  <c r="CH240" i="25"/>
  <c r="CH241" i="25"/>
  <c r="CH242" i="25"/>
  <c r="CH243" i="25"/>
  <c r="CH244" i="25"/>
  <c r="CH245" i="25"/>
  <c r="CH246" i="25"/>
  <c r="CH247" i="25"/>
  <c r="CH248" i="25"/>
  <c r="CH249" i="25"/>
  <c r="CH250" i="25"/>
  <c r="CH251" i="25"/>
  <c r="CH252" i="25"/>
  <c r="CH253" i="25"/>
  <c r="CH254" i="25"/>
  <c r="CH255" i="25"/>
  <c r="CH256" i="25"/>
  <c r="CH257" i="25"/>
  <c r="CH258" i="25"/>
  <c r="CH259" i="25"/>
  <c r="CH260" i="25"/>
  <c r="CH261" i="25"/>
  <c r="CH262" i="25"/>
  <c r="CH263" i="25"/>
  <c r="CH264" i="25"/>
  <c r="CH265" i="25"/>
  <c r="CH266" i="25"/>
  <c r="CH267" i="25"/>
  <c r="CH268" i="25"/>
  <c r="CH269" i="25"/>
  <c r="CH270" i="25"/>
  <c r="CH271" i="25"/>
  <c r="CH272" i="25"/>
  <c r="CH273" i="25"/>
  <c r="CH274" i="25"/>
  <c r="CH275" i="25"/>
  <c r="CH276" i="25"/>
  <c r="CH277" i="25"/>
  <c r="CH278" i="25"/>
  <c r="CH279" i="25"/>
  <c r="CH280" i="25"/>
  <c r="CH281" i="25"/>
  <c r="CH282" i="25"/>
  <c r="CH283" i="25"/>
  <c r="CH284" i="25"/>
  <c r="CH285" i="25"/>
  <c r="CH286" i="25"/>
  <c r="CH287" i="25"/>
  <c r="CH288" i="25"/>
  <c r="CH289" i="25"/>
  <c r="CH290" i="25"/>
  <c r="CH291" i="25"/>
  <c r="CH292" i="25"/>
  <c r="CH293" i="25"/>
  <c r="CH294" i="25"/>
  <c r="CH295" i="25"/>
  <c r="CH296" i="25"/>
  <c r="CH297" i="25"/>
  <c r="CH298" i="25"/>
  <c r="CH299" i="25"/>
  <c r="CH300" i="25"/>
  <c r="CH301" i="25"/>
  <c r="CH302" i="25"/>
  <c r="CH303" i="25"/>
  <c r="CH304" i="25"/>
  <c r="CH305" i="25"/>
  <c r="CH306" i="25"/>
  <c r="CH307" i="25"/>
  <c r="CH308" i="25"/>
  <c r="CH309" i="25"/>
  <c r="CH310" i="25"/>
  <c r="CH311" i="25"/>
  <c r="CH312" i="25"/>
  <c r="CH313" i="25"/>
  <c r="CH314" i="25"/>
  <c r="CH315" i="25"/>
  <c r="CH316" i="25"/>
  <c r="CH317" i="25"/>
  <c r="CH318" i="25"/>
  <c r="CH319" i="25"/>
  <c r="CH320" i="25"/>
  <c r="CH321" i="25"/>
  <c r="CH322" i="25"/>
  <c r="CH323" i="25"/>
  <c r="CH324" i="25"/>
  <c r="CH325" i="25"/>
  <c r="CH326" i="25"/>
  <c r="CH327" i="25"/>
  <c r="CH328" i="25"/>
  <c r="CH329" i="25"/>
  <c r="CH330" i="25"/>
  <c r="CH331" i="25"/>
  <c r="CH332" i="25"/>
  <c r="CH333" i="25"/>
  <c r="CH334" i="25"/>
  <c r="CH335" i="25"/>
  <c r="CH336" i="25"/>
  <c r="CH337" i="25"/>
  <c r="CH338" i="25"/>
  <c r="CH339" i="25"/>
  <c r="CH340" i="25"/>
  <c r="CH341" i="25"/>
  <c r="CH342" i="25"/>
  <c r="CH343" i="25"/>
  <c r="CH344" i="25"/>
  <c r="CH345" i="25"/>
  <c r="CH346" i="25"/>
  <c r="CH347" i="25"/>
  <c r="CH348" i="25"/>
  <c r="CH349" i="25"/>
  <c r="CH350" i="25"/>
  <c r="CH239" i="25"/>
  <c r="BH240" i="25"/>
  <c r="BH241" i="25"/>
  <c r="BK241" i="25" s="1"/>
  <c r="BO241" i="25" s="1"/>
  <c r="BH242" i="25"/>
  <c r="BH243" i="25"/>
  <c r="BK243" i="25" s="1"/>
  <c r="BO243" i="25" s="1"/>
  <c r="BH244" i="25"/>
  <c r="BH245" i="25"/>
  <c r="BI245" i="25" s="1"/>
  <c r="BH246" i="25"/>
  <c r="BH247" i="25"/>
  <c r="BH248" i="25"/>
  <c r="BK248" i="25" s="1"/>
  <c r="BO248" i="25" s="1"/>
  <c r="BH249" i="25"/>
  <c r="BI249" i="25" s="1"/>
  <c r="BH250" i="25"/>
  <c r="BK250" i="25" s="1"/>
  <c r="BO250" i="25" s="1"/>
  <c r="BH251" i="25"/>
  <c r="BH252" i="25"/>
  <c r="BK252" i="25" s="1"/>
  <c r="BO252" i="25" s="1"/>
  <c r="BH253" i="25"/>
  <c r="BI253" i="25" s="1"/>
  <c r="BH254" i="25"/>
  <c r="BI254" i="25" s="1"/>
  <c r="BH255" i="25"/>
  <c r="BH256" i="25"/>
  <c r="BH257" i="25"/>
  <c r="BI257" i="25" s="1"/>
  <c r="BH258" i="25"/>
  <c r="BJ258" i="25" s="1"/>
  <c r="BH259" i="25"/>
  <c r="BH260" i="25"/>
  <c r="BH261" i="25"/>
  <c r="BI261" i="25" s="1"/>
  <c r="BH262" i="25"/>
  <c r="BH263" i="25"/>
  <c r="BH264" i="25"/>
  <c r="BK264" i="25" s="1"/>
  <c r="BO264" i="25" s="1"/>
  <c r="BH265" i="25"/>
  <c r="BI265" i="25" s="1"/>
  <c r="BH266" i="25"/>
  <c r="BJ266" i="25" s="1"/>
  <c r="BH267" i="25"/>
  <c r="BH268" i="25"/>
  <c r="BK268" i="25" s="1"/>
  <c r="BO268" i="25" s="1"/>
  <c r="BH269" i="25"/>
  <c r="BI269" i="25" s="1"/>
  <c r="BH270" i="25"/>
  <c r="BI270" i="25" s="1"/>
  <c r="BH271" i="25"/>
  <c r="BH273" i="25"/>
  <c r="BI273" i="25" s="1"/>
  <c r="BH274" i="25"/>
  <c r="BH275" i="25"/>
  <c r="BH276" i="25"/>
  <c r="BK276" i="25" s="1"/>
  <c r="BO276" i="25" s="1"/>
  <c r="BH277" i="25"/>
  <c r="BI277" i="25" s="1"/>
  <c r="BH278" i="25"/>
  <c r="BH279" i="25"/>
  <c r="BH280" i="25"/>
  <c r="BH281" i="25"/>
  <c r="BI281" i="25" s="1"/>
  <c r="BH282" i="25"/>
  <c r="BJ282" i="25" s="1"/>
  <c r="BH283" i="25"/>
  <c r="BH284" i="25"/>
  <c r="BK284" i="25" s="1"/>
  <c r="BO284" i="25" s="1"/>
  <c r="BH285" i="25"/>
  <c r="BI285" i="25" s="1"/>
  <c r="BH286" i="25"/>
  <c r="BI286" i="25" s="1"/>
  <c r="BH287" i="25"/>
  <c r="BH288" i="25"/>
  <c r="BK288" i="25" s="1"/>
  <c r="BO288" i="25" s="1"/>
  <c r="BH289" i="25"/>
  <c r="BI289" i="25" s="1"/>
  <c r="BH290" i="25"/>
  <c r="BH291" i="25"/>
  <c r="BH292" i="25"/>
  <c r="BK292" i="25" s="1"/>
  <c r="BO292" i="25" s="1"/>
  <c r="BH293" i="25"/>
  <c r="BI293" i="25" s="1"/>
  <c r="BH294" i="25"/>
  <c r="BK294" i="25" s="1"/>
  <c r="BO294" i="25" s="1"/>
  <c r="BH295" i="25"/>
  <c r="BH296" i="25"/>
  <c r="BK296" i="25" s="1"/>
  <c r="BO296" i="25" s="1"/>
  <c r="BH297" i="25"/>
  <c r="BI297" i="25" s="1"/>
  <c r="BH298" i="25"/>
  <c r="BH299" i="25"/>
  <c r="BH300" i="25"/>
  <c r="BJ300" i="25" s="1"/>
  <c r="BH301" i="25"/>
  <c r="BH302" i="25"/>
  <c r="BI302" i="25" s="1"/>
  <c r="BH303" i="25"/>
  <c r="BH304" i="25"/>
  <c r="BK304" i="25" s="1"/>
  <c r="BO304" i="25" s="1"/>
  <c r="BH305" i="25"/>
  <c r="BH306" i="25"/>
  <c r="BK306" i="25" s="1"/>
  <c r="BO306" i="25" s="1"/>
  <c r="BH307" i="25"/>
  <c r="BH308" i="25"/>
  <c r="BK308" i="25" s="1"/>
  <c r="BO308" i="25" s="1"/>
  <c r="BH309" i="25"/>
  <c r="BH310" i="25"/>
  <c r="BH311" i="25"/>
  <c r="BH312" i="25"/>
  <c r="BH313" i="25"/>
  <c r="BH314" i="25"/>
  <c r="BI314" i="25" s="1"/>
  <c r="BH315" i="25"/>
  <c r="BH316" i="25"/>
  <c r="BK316" i="25" s="1"/>
  <c r="BO316" i="25" s="1"/>
  <c r="BH317" i="25"/>
  <c r="BH318" i="25"/>
  <c r="BK318" i="25" s="1"/>
  <c r="BO318" i="25" s="1"/>
  <c r="BH319" i="25"/>
  <c r="BH320" i="25"/>
  <c r="BK320" i="25" s="1"/>
  <c r="BO320" i="25" s="1"/>
  <c r="BH321" i="25"/>
  <c r="BH322" i="25"/>
  <c r="BI322" i="25" s="1"/>
  <c r="BH323" i="25"/>
  <c r="BH324" i="25"/>
  <c r="BK324" i="25" s="1"/>
  <c r="BO324" i="25" s="1"/>
  <c r="BH325" i="25"/>
  <c r="BH326" i="25"/>
  <c r="BJ326" i="25" s="1"/>
  <c r="BH327" i="25"/>
  <c r="BH328" i="25"/>
  <c r="BH329" i="25"/>
  <c r="BH330" i="25"/>
  <c r="BJ330" i="25" s="1"/>
  <c r="BH331" i="25"/>
  <c r="BH332" i="25"/>
  <c r="BH333" i="25"/>
  <c r="BH334" i="25"/>
  <c r="BJ334" i="25" s="1"/>
  <c r="BH335" i="25"/>
  <c r="BI335" i="25" s="1"/>
  <c r="BH336" i="25"/>
  <c r="BI336" i="25" s="1"/>
  <c r="BH337" i="25"/>
  <c r="BH338" i="25"/>
  <c r="BK338" i="25" s="1"/>
  <c r="BO338" i="25" s="1"/>
  <c r="BH339" i="25"/>
  <c r="BH340" i="25"/>
  <c r="BH341" i="25"/>
  <c r="BH342" i="25"/>
  <c r="BH343" i="25"/>
  <c r="BJ343" i="25" s="1"/>
  <c r="BH344" i="25"/>
  <c r="BH345" i="25"/>
  <c r="BK345" i="25" s="1"/>
  <c r="BO345" i="25" s="1"/>
  <c r="BH346" i="25"/>
  <c r="BH347" i="25"/>
  <c r="BH348" i="25"/>
  <c r="BH349" i="25"/>
  <c r="BI349" i="25" s="1"/>
  <c r="BH350" i="25"/>
  <c r="BH239" i="25"/>
  <c r="BK239" i="25" s="1"/>
  <c r="BO239" i="25" s="1"/>
  <c r="BH272" i="25"/>
  <c r="CH16" i="25"/>
  <c r="CH17" i="25"/>
  <c r="CH18" i="25"/>
  <c r="CH19" i="25"/>
  <c r="CH20" i="25"/>
  <c r="CH21" i="25"/>
  <c r="CH22" i="25"/>
  <c r="CH23" i="25"/>
  <c r="CH24" i="25"/>
  <c r="CH25" i="25"/>
  <c r="CH26" i="25"/>
  <c r="CH27" i="25"/>
  <c r="CH28" i="25"/>
  <c r="CH29" i="25"/>
  <c r="CH30" i="25"/>
  <c r="CH31" i="25"/>
  <c r="CH32" i="25"/>
  <c r="CH33" i="25"/>
  <c r="CH34" i="25"/>
  <c r="CH35" i="25"/>
  <c r="CH36" i="25"/>
  <c r="CH37" i="25"/>
  <c r="CH38" i="25"/>
  <c r="CH39" i="25"/>
  <c r="CH40" i="25"/>
  <c r="CH41" i="25"/>
  <c r="CH42" i="25"/>
  <c r="CH43" i="25"/>
  <c r="CH44" i="25"/>
  <c r="CH45" i="25"/>
  <c r="CH46" i="25"/>
  <c r="CH47" i="25"/>
  <c r="CH48" i="25"/>
  <c r="CH49" i="25"/>
  <c r="CH50" i="25"/>
  <c r="CH51" i="25"/>
  <c r="CH52" i="25"/>
  <c r="CH53" i="25"/>
  <c r="CH54" i="25"/>
  <c r="CH55" i="25"/>
  <c r="CH56" i="25"/>
  <c r="CH57" i="25"/>
  <c r="CH58" i="25"/>
  <c r="CH59" i="25"/>
  <c r="CH60" i="25"/>
  <c r="CH61" i="25"/>
  <c r="CH62" i="25"/>
  <c r="CH63" i="25"/>
  <c r="CH64" i="25"/>
  <c r="CH65" i="25"/>
  <c r="CH66" i="25"/>
  <c r="CH67" i="25"/>
  <c r="CH68" i="25"/>
  <c r="CH69" i="25"/>
  <c r="CH70" i="25"/>
  <c r="CH71" i="25"/>
  <c r="CH72" i="25"/>
  <c r="CH73" i="25"/>
  <c r="CH74" i="25"/>
  <c r="CH75" i="25"/>
  <c r="CH76" i="25"/>
  <c r="CH77" i="25"/>
  <c r="CH78" i="25"/>
  <c r="CH79" i="25"/>
  <c r="CH80" i="25"/>
  <c r="CH81" i="25"/>
  <c r="CH82" i="25"/>
  <c r="CH83" i="25"/>
  <c r="CH84" i="25"/>
  <c r="CH85" i="25"/>
  <c r="CH86" i="25"/>
  <c r="CH87" i="25"/>
  <c r="CH88" i="25"/>
  <c r="CH89" i="25"/>
  <c r="CH90" i="25"/>
  <c r="CH91" i="25"/>
  <c r="CH92" i="25"/>
  <c r="CH93" i="25"/>
  <c r="CH94" i="25"/>
  <c r="CH95" i="25"/>
  <c r="CH96" i="25"/>
  <c r="CH97" i="25"/>
  <c r="CH98" i="25"/>
  <c r="CH99" i="25"/>
  <c r="CH100" i="25"/>
  <c r="CH101" i="25"/>
  <c r="CH102" i="25"/>
  <c r="CH103" i="25"/>
  <c r="CH104" i="25"/>
  <c r="CH105" i="25"/>
  <c r="CH106" i="25"/>
  <c r="CH107" i="25"/>
  <c r="CH108" i="25"/>
  <c r="CH109" i="25"/>
  <c r="CH110" i="25"/>
  <c r="CH111" i="25"/>
  <c r="CH112" i="25"/>
  <c r="CH113" i="25"/>
  <c r="CH114" i="25"/>
  <c r="CH115" i="25"/>
  <c r="CH116" i="25"/>
  <c r="CH117" i="25"/>
  <c r="CH118" i="25"/>
  <c r="CH119" i="25"/>
  <c r="CH120" i="25"/>
  <c r="CH121" i="25"/>
  <c r="CH122" i="25"/>
  <c r="CH123" i="25"/>
  <c r="CH124" i="25"/>
  <c r="CH125" i="25"/>
  <c r="CH126" i="25"/>
  <c r="CH127" i="25"/>
  <c r="CH128" i="25"/>
  <c r="CH129" i="25"/>
  <c r="CH130" i="25"/>
  <c r="CH131" i="25"/>
  <c r="CH132" i="25"/>
  <c r="CH133" i="25"/>
  <c r="CH134" i="25"/>
  <c r="CH135" i="25"/>
  <c r="CH136" i="25"/>
  <c r="CH137" i="25"/>
  <c r="CH138" i="25"/>
  <c r="CH139" i="25"/>
  <c r="CH140" i="25"/>
  <c r="CH141" i="25"/>
  <c r="CH142" i="25"/>
  <c r="CH143" i="25"/>
  <c r="CH144" i="25"/>
  <c r="CH145" i="25"/>
  <c r="CH146" i="25"/>
  <c r="CH147" i="25"/>
  <c r="CH148" i="25"/>
  <c r="CH149" i="25"/>
  <c r="CH150" i="25"/>
  <c r="CH151" i="25"/>
  <c r="CH152" i="25"/>
  <c r="CH153" i="25"/>
  <c r="CH154" i="25"/>
  <c r="CH155" i="25"/>
  <c r="CH156" i="25"/>
  <c r="CH157" i="25"/>
  <c r="CH158" i="25"/>
  <c r="CH159" i="25"/>
  <c r="CH160" i="25"/>
  <c r="CH161" i="25"/>
  <c r="CH162" i="25"/>
  <c r="CH163" i="25"/>
  <c r="CH164" i="25"/>
  <c r="CH165" i="25"/>
  <c r="CH166" i="25"/>
  <c r="CH167" i="25"/>
  <c r="CH168" i="25"/>
  <c r="CH169" i="25"/>
  <c r="CH170" i="25"/>
  <c r="CH171" i="25"/>
  <c r="CH172" i="25"/>
  <c r="CH173" i="25"/>
  <c r="CH174" i="25"/>
  <c r="CH175" i="25"/>
  <c r="CH176" i="25"/>
  <c r="CH177" i="25"/>
  <c r="CH178" i="25"/>
  <c r="CH179" i="25"/>
  <c r="CH180" i="25"/>
  <c r="CH181" i="25"/>
  <c r="CH182" i="25"/>
  <c r="CH183" i="25"/>
  <c r="CH184" i="25"/>
  <c r="CH185" i="25"/>
  <c r="CH186" i="25"/>
  <c r="CH187" i="25"/>
  <c r="CH188" i="25"/>
  <c r="CH189" i="25"/>
  <c r="CH190" i="25"/>
  <c r="CH191" i="25"/>
  <c r="CH192" i="25"/>
  <c r="CH193" i="25"/>
  <c r="CH194" i="25"/>
  <c r="CH195" i="25"/>
  <c r="CH196" i="25"/>
  <c r="CH197" i="25"/>
  <c r="CH198" i="25"/>
  <c r="CH199" i="25"/>
  <c r="CH200" i="25"/>
  <c r="CH201" i="25"/>
  <c r="CH202" i="25"/>
  <c r="CH203" i="25"/>
  <c r="CH204" i="25"/>
  <c r="CH205" i="25"/>
  <c r="CH206" i="25"/>
  <c r="CH207" i="25"/>
  <c r="CH208" i="25"/>
  <c r="CH209" i="25"/>
  <c r="CH210" i="25"/>
  <c r="CH211" i="25"/>
  <c r="CH212" i="25"/>
  <c r="CH213" i="25"/>
  <c r="CH214" i="25"/>
  <c r="CH215" i="25"/>
  <c r="CH216" i="25"/>
  <c r="CH217" i="25"/>
  <c r="CH218" i="25"/>
  <c r="CH219" i="25"/>
  <c r="CH220" i="25"/>
  <c r="CH221" i="25"/>
  <c r="CH222" i="25"/>
  <c r="CH223" i="25"/>
  <c r="CH224" i="25"/>
  <c r="CH225" i="25"/>
  <c r="CH226" i="25"/>
  <c r="CH227" i="25"/>
  <c r="CH228" i="25"/>
  <c r="CH229" i="25"/>
  <c r="CH230" i="25"/>
  <c r="CH231" i="25"/>
  <c r="CH232" i="25"/>
  <c r="CH233" i="25"/>
  <c r="CH234" i="25"/>
  <c r="CH235" i="25"/>
  <c r="CH236" i="25"/>
  <c r="CH237" i="25"/>
  <c r="CH238" i="25"/>
  <c r="CH15" i="25"/>
  <c r="AE16" i="25"/>
  <c r="AE17" i="25"/>
  <c r="AE18" i="25"/>
  <c r="BH16" i="25"/>
  <c r="BJ16" i="25" s="1"/>
  <c r="BN16" i="25" s="1"/>
  <c r="BH17" i="25"/>
  <c r="BK17" i="25" s="1"/>
  <c r="BO17" i="25" s="1"/>
  <c r="BH18" i="25"/>
  <c r="BI18" i="25" s="1"/>
  <c r="BH19" i="25"/>
  <c r="BK19" i="25" s="1"/>
  <c r="BO19" i="25" s="1"/>
  <c r="BH20" i="25"/>
  <c r="BH21" i="25"/>
  <c r="BI21" i="25" s="1"/>
  <c r="BH22" i="25"/>
  <c r="BI22" i="25" s="1"/>
  <c r="BH24" i="25"/>
  <c r="BJ24" i="25" s="1"/>
  <c r="BN24" i="25" s="1"/>
  <c r="BH25" i="25"/>
  <c r="BJ25" i="25" s="1"/>
  <c r="BN25" i="25" s="1"/>
  <c r="BH26" i="25"/>
  <c r="BH27" i="25"/>
  <c r="BH28" i="25"/>
  <c r="BI28" i="25" s="1"/>
  <c r="BH29" i="25"/>
  <c r="BH30" i="25"/>
  <c r="BH31" i="25"/>
  <c r="BK31" i="25" s="1"/>
  <c r="BO31" i="25" s="1"/>
  <c r="BH32" i="25"/>
  <c r="BJ32" i="25" s="1"/>
  <c r="BN32" i="25" s="1"/>
  <c r="BH33" i="25"/>
  <c r="BJ33" i="25" s="1"/>
  <c r="BN33" i="25" s="1"/>
  <c r="BH34" i="25"/>
  <c r="BK34" i="25" s="1"/>
  <c r="BO34" i="25" s="1"/>
  <c r="BH35" i="25"/>
  <c r="BK35" i="25" s="1"/>
  <c r="BO35" i="25" s="1"/>
  <c r="BH36" i="25"/>
  <c r="BH37" i="25"/>
  <c r="BI37" i="25" s="1"/>
  <c r="BH38" i="25"/>
  <c r="BK38" i="25" s="1"/>
  <c r="BO38" i="25" s="1"/>
  <c r="BH39" i="25"/>
  <c r="BK39" i="25" s="1"/>
  <c r="BO39" i="25" s="1"/>
  <c r="BH40" i="25"/>
  <c r="BJ40" i="25" s="1"/>
  <c r="BN40" i="25" s="1"/>
  <c r="BH41" i="25"/>
  <c r="BH42" i="25"/>
  <c r="BK42" i="25" s="1"/>
  <c r="BO42" i="25" s="1"/>
  <c r="BH43" i="25"/>
  <c r="BH44" i="25"/>
  <c r="BH45" i="25"/>
  <c r="BH46" i="25"/>
  <c r="BH47" i="25"/>
  <c r="BK47" i="25" s="1"/>
  <c r="BO47" i="25" s="1"/>
  <c r="BH48" i="25"/>
  <c r="BJ48" i="25" s="1"/>
  <c r="BN48" i="25" s="1"/>
  <c r="BH49" i="25"/>
  <c r="BI49" i="25" s="1"/>
  <c r="BH50" i="25"/>
  <c r="BH51" i="25"/>
  <c r="BK51" i="25" s="1"/>
  <c r="BO51" i="25" s="1"/>
  <c r="BH52" i="25"/>
  <c r="BH53" i="25"/>
  <c r="BK53" i="25" s="1"/>
  <c r="BO53" i="25" s="1"/>
  <c r="BH54" i="25"/>
  <c r="BJ54" i="25" s="1"/>
  <c r="BN54" i="25" s="1"/>
  <c r="BH55" i="25"/>
  <c r="BK55" i="25" s="1"/>
  <c r="BO55" i="25" s="1"/>
  <c r="BH56" i="25"/>
  <c r="BJ56" i="25" s="1"/>
  <c r="BN56" i="25" s="1"/>
  <c r="BH57" i="25"/>
  <c r="BI57" i="25" s="1"/>
  <c r="BH58" i="25"/>
  <c r="BH59" i="25"/>
  <c r="BH60" i="25"/>
  <c r="BI60" i="25" s="1"/>
  <c r="BH61" i="25"/>
  <c r="BH62" i="25"/>
  <c r="BI62" i="25" s="1"/>
  <c r="BH63" i="25"/>
  <c r="BK63" i="25" s="1"/>
  <c r="BO63" i="25" s="1"/>
  <c r="BH64" i="25"/>
  <c r="BH65" i="25"/>
  <c r="BK65" i="25" s="1"/>
  <c r="BH66" i="25"/>
  <c r="BJ66" i="25" s="1"/>
  <c r="BN66" i="25" s="1"/>
  <c r="BH67" i="25"/>
  <c r="BK67" i="25" s="1"/>
  <c r="BO67" i="25" s="1"/>
  <c r="BH68" i="25"/>
  <c r="BJ68" i="25" s="1"/>
  <c r="BN68" i="25" s="1"/>
  <c r="BH70" i="25"/>
  <c r="BJ70" i="25" s="1"/>
  <c r="BN70" i="25" s="1"/>
  <c r="BH71" i="25"/>
  <c r="BK71" i="25" s="1"/>
  <c r="BO71" i="25" s="1"/>
  <c r="BH72" i="25"/>
  <c r="BH73" i="25"/>
  <c r="BI73" i="25" s="1"/>
  <c r="BH74" i="25"/>
  <c r="BK74" i="25" s="1"/>
  <c r="BO74" i="25" s="1"/>
  <c r="BH75" i="25"/>
  <c r="BH76" i="25"/>
  <c r="BH77" i="25"/>
  <c r="BH78" i="25"/>
  <c r="BH79" i="25"/>
  <c r="BK79" i="25" s="1"/>
  <c r="BO79" i="25" s="1"/>
  <c r="BH80" i="25"/>
  <c r="BK80" i="25" s="1"/>
  <c r="BO80" i="25" s="1"/>
  <c r="BH81" i="25"/>
  <c r="BK81" i="25" s="1"/>
  <c r="BO81" i="25" s="1"/>
  <c r="BH82" i="25"/>
  <c r="BI82" i="25" s="1"/>
  <c r="BH83" i="25"/>
  <c r="BK83" i="25" s="1"/>
  <c r="BO83" i="25" s="1"/>
  <c r="BH84" i="25"/>
  <c r="BJ84" i="25" s="1"/>
  <c r="BN84" i="25" s="1"/>
  <c r="BH85" i="25"/>
  <c r="BI85" i="25" s="1"/>
  <c r="BH86" i="25"/>
  <c r="BK86" i="25" s="1"/>
  <c r="BO86" i="25" s="1"/>
  <c r="BH87" i="25"/>
  <c r="BK87" i="25" s="1"/>
  <c r="BO87" i="25" s="1"/>
  <c r="BH88" i="25"/>
  <c r="BJ88" i="25" s="1"/>
  <c r="BN88" i="25" s="1"/>
  <c r="BH89" i="25"/>
  <c r="BH90" i="25"/>
  <c r="BH91" i="25"/>
  <c r="BH92" i="25"/>
  <c r="BI92" i="25" s="1"/>
  <c r="BH93" i="25"/>
  <c r="BH94" i="25"/>
  <c r="BI94" i="25" s="1"/>
  <c r="BH95" i="25"/>
  <c r="BK95" i="25" s="1"/>
  <c r="BO95" i="25" s="1"/>
  <c r="BH96" i="25"/>
  <c r="BH97" i="25"/>
  <c r="BJ97" i="25" s="1"/>
  <c r="BN97" i="25" s="1"/>
  <c r="BH98" i="25"/>
  <c r="BH99" i="25"/>
  <c r="BK99" i="25" s="1"/>
  <c r="BO99" i="25" s="1"/>
  <c r="BH100" i="25"/>
  <c r="BH101" i="25"/>
  <c r="BJ101" i="25" s="1"/>
  <c r="BN101" i="25" s="1"/>
  <c r="BH102" i="25"/>
  <c r="BJ102" i="25" s="1"/>
  <c r="BN102" i="25" s="1"/>
  <c r="BH103" i="25"/>
  <c r="BH104" i="25"/>
  <c r="BH105" i="25"/>
  <c r="BH106" i="25"/>
  <c r="BI106" i="25" s="1"/>
  <c r="BH107" i="25"/>
  <c r="BK107" i="25" s="1"/>
  <c r="BO107" i="25" s="1"/>
  <c r="BH108" i="25"/>
  <c r="BK108" i="25" s="1"/>
  <c r="BO108" i="25" s="1"/>
  <c r="BH109" i="25"/>
  <c r="BJ109" i="25" s="1"/>
  <c r="BN109" i="25" s="1"/>
  <c r="BH110" i="25"/>
  <c r="BJ110" i="25" s="1"/>
  <c r="BN110" i="25" s="1"/>
  <c r="BH111" i="25"/>
  <c r="BH112" i="25"/>
  <c r="BH113" i="25"/>
  <c r="BH114" i="25"/>
  <c r="BJ114" i="25" s="1"/>
  <c r="BN114" i="25" s="1"/>
  <c r="BH115" i="25"/>
  <c r="BH116" i="25"/>
  <c r="BH117" i="25"/>
  <c r="BK117" i="25" s="1"/>
  <c r="BO117" i="25" s="1"/>
  <c r="BH118" i="25"/>
  <c r="BJ118" i="25" s="1"/>
  <c r="BN118" i="25" s="1"/>
  <c r="BH119" i="25"/>
  <c r="BH120" i="25"/>
  <c r="BH121" i="25"/>
  <c r="BH122" i="25"/>
  <c r="BK122" i="25" s="1"/>
  <c r="BO122" i="25" s="1"/>
  <c r="BH123" i="25"/>
  <c r="BK123" i="25" s="1"/>
  <c r="BO123" i="25" s="1"/>
  <c r="BH124" i="25"/>
  <c r="BH125" i="25"/>
  <c r="BK125" i="25" s="1"/>
  <c r="BO125" i="25" s="1"/>
  <c r="BH126" i="25"/>
  <c r="BJ126" i="25" s="1"/>
  <c r="BN126" i="25" s="1"/>
  <c r="BH127" i="25"/>
  <c r="BH128" i="25"/>
  <c r="BH129" i="25"/>
  <c r="BH130" i="25"/>
  <c r="BH131" i="25"/>
  <c r="BH132" i="25"/>
  <c r="BK132" i="25" s="1"/>
  <c r="BO132" i="25" s="1"/>
  <c r="BH133" i="25"/>
  <c r="BI133" i="25" s="1"/>
  <c r="BH134" i="25"/>
  <c r="BJ134" i="25" s="1"/>
  <c r="BN134" i="25" s="1"/>
  <c r="BH135" i="25"/>
  <c r="BH136" i="25"/>
  <c r="BH137" i="25"/>
  <c r="BH138" i="25"/>
  <c r="BI138" i="25" s="1"/>
  <c r="BH139" i="25"/>
  <c r="BI139" i="25" s="1"/>
  <c r="BH140" i="25"/>
  <c r="BI140" i="25" s="1"/>
  <c r="BH141" i="25"/>
  <c r="BK141" i="25" s="1"/>
  <c r="BO141" i="25" s="1"/>
  <c r="BH142" i="25"/>
  <c r="BJ142" i="25" s="1"/>
  <c r="BN142" i="25" s="1"/>
  <c r="BH143" i="25"/>
  <c r="BH144" i="25"/>
  <c r="BH145" i="25"/>
  <c r="BH146" i="25"/>
  <c r="BJ146" i="25" s="1"/>
  <c r="BN146" i="25" s="1"/>
  <c r="BH147" i="25"/>
  <c r="BI147" i="25" s="1"/>
  <c r="BH148" i="25"/>
  <c r="BH149" i="25"/>
  <c r="BJ149" i="25" s="1"/>
  <c r="BN149" i="25" s="1"/>
  <c r="BH150" i="25"/>
  <c r="BJ150" i="25" s="1"/>
  <c r="BN150" i="25" s="1"/>
  <c r="BH151" i="25"/>
  <c r="BH152" i="25"/>
  <c r="BH153" i="25"/>
  <c r="BH154" i="25"/>
  <c r="BK154" i="25" s="1"/>
  <c r="BO154" i="25" s="1"/>
  <c r="BH155" i="25"/>
  <c r="BJ155" i="25" s="1"/>
  <c r="BN155" i="25" s="1"/>
  <c r="BH156" i="25"/>
  <c r="BI156" i="25" s="1"/>
  <c r="BH157" i="25"/>
  <c r="BI157" i="25" s="1"/>
  <c r="BH158" i="25"/>
  <c r="BI158" i="25" s="1"/>
  <c r="BH159" i="25"/>
  <c r="BI159" i="25" s="1"/>
  <c r="BH160" i="25"/>
  <c r="BI160" i="25" s="1"/>
  <c r="BH161" i="25"/>
  <c r="BJ161" i="25" s="1"/>
  <c r="BN161" i="25" s="1"/>
  <c r="BH162" i="25"/>
  <c r="BI162" i="25" s="1"/>
  <c r="BH163" i="25"/>
  <c r="BH164" i="25"/>
  <c r="BI164" i="25" s="1"/>
  <c r="BH165" i="25"/>
  <c r="BK165" i="25" s="1"/>
  <c r="BO165" i="25" s="1"/>
  <c r="BH166" i="25"/>
  <c r="BI166" i="25" s="1"/>
  <c r="BH167" i="25"/>
  <c r="BJ167" i="25" s="1"/>
  <c r="BN167" i="25" s="1"/>
  <c r="BH168" i="25"/>
  <c r="BI168" i="25" s="1"/>
  <c r="BH169" i="25"/>
  <c r="BJ169" i="25" s="1"/>
  <c r="BN169" i="25" s="1"/>
  <c r="BH170" i="25"/>
  <c r="BI170" i="25" s="1"/>
  <c r="BH171" i="25"/>
  <c r="BK171" i="25" s="1"/>
  <c r="BO171" i="25" s="1"/>
  <c r="BH172" i="25"/>
  <c r="BI172" i="25" s="1"/>
  <c r="BH173" i="25"/>
  <c r="BI173" i="25" s="1"/>
  <c r="BH174" i="25"/>
  <c r="BI174" i="25" s="1"/>
  <c r="BH175" i="25"/>
  <c r="BI175" i="25" s="1"/>
  <c r="BH176" i="25"/>
  <c r="BI176" i="25" s="1"/>
  <c r="BH177" i="25"/>
  <c r="BI177" i="25" s="1"/>
  <c r="BH178" i="25"/>
  <c r="BI178" i="25" s="1"/>
  <c r="BH179" i="25"/>
  <c r="BI179" i="25" s="1"/>
  <c r="BH180" i="25"/>
  <c r="BI180" i="25" s="1"/>
  <c r="BH181" i="25"/>
  <c r="BI181" i="25" s="1"/>
  <c r="BH182" i="25"/>
  <c r="BI182" i="25" s="1"/>
  <c r="BH183" i="25"/>
  <c r="BJ183" i="25" s="1"/>
  <c r="BN183" i="25" s="1"/>
  <c r="BH184" i="25"/>
  <c r="BI184" i="25" s="1"/>
  <c r="BH185" i="25"/>
  <c r="BK185" i="25" s="1"/>
  <c r="BO185" i="25" s="1"/>
  <c r="BH186" i="25"/>
  <c r="BI186" i="25" s="1"/>
  <c r="BH187" i="25"/>
  <c r="BI187" i="25" s="1"/>
  <c r="BH188" i="25"/>
  <c r="BI188" i="25" s="1"/>
  <c r="BH189" i="25"/>
  <c r="BJ189" i="25" s="1"/>
  <c r="BN189" i="25" s="1"/>
  <c r="BH190" i="25"/>
  <c r="BI190" i="25" s="1"/>
  <c r="BH191" i="25"/>
  <c r="BI191" i="25" s="1"/>
  <c r="BH192" i="25"/>
  <c r="BI192" i="25" s="1"/>
  <c r="BH193" i="25"/>
  <c r="BJ193" i="25" s="1"/>
  <c r="BN193" i="25" s="1"/>
  <c r="BH194" i="25"/>
  <c r="BI194" i="25" s="1"/>
  <c r="BH195" i="25"/>
  <c r="BJ195" i="25" s="1"/>
  <c r="BN195" i="25" s="1"/>
  <c r="BH196" i="25"/>
  <c r="BI196" i="25" s="1"/>
  <c r="BH197" i="25"/>
  <c r="BI197" i="25" s="1"/>
  <c r="BH198" i="25"/>
  <c r="BI198" i="25" s="1"/>
  <c r="BH199" i="25"/>
  <c r="BH200" i="25"/>
  <c r="BI200" i="25" s="1"/>
  <c r="BH201" i="25"/>
  <c r="BJ201" i="25" s="1"/>
  <c r="BN201" i="25" s="1"/>
  <c r="BH202" i="25"/>
  <c r="BI202" i="25" s="1"/>
  <c r="BH203" i="25"/>
  <c r="BK203" i="25" s="1"/>
  <c r="BO203" i="25" s="1"/>
  <c r="BH204" i="25"/>
  <c r="BI204" i="25" s="1"/>
  <c r="BH205" i="25"/>
  <c r="BK205" i="25" s="1"/>
  <c r="BO205" i="25" s="1"/>
  <c r="BH206" i="25"/>
  <c r="BI206" i="25" s="1"/>
  <c r="BH207" i="25"/>
  <c r="BI207" i="25" s="1"/>
  <c r="BH208" i="25"/>
  <c r="BI208" i="25" s="1"/>
  <c r="BH209" i="25"/>
  <c r="BK209" i="25" s="1"/>
  <c r="BO209" i="25" s="1"/>
  <c r="BH210" i="25"/>
  <c r="BI210" i="25" s="1"/>
  <c r="BH211" i="25"/>
  <c r="BJ211" i="25" s="1"/>
  <c r="BN211" i="25" s="1"/>
  <c r="BH212" i="25"/>
  <c r="BI212" i="25" s="1"/>
  <c r="BH213" i="25"/>
  <c r="BJ213" i="25" s="1"/>
  <c r="BN213" i="25" s="1"/>
  <c r="BH214" i="25"/>
  <c r="BI214" i="25" s="1"/>
  <c r="BH215" i="25"/>
  <c r="BK215" i="25" s="1"/>
  <c r="BO215" i="25" s="1"/>
  <c r="BH216" i="25"/>
  <c r="BI216" i="25" s="1"/>
  <c r="BH217" i="25"/>
  <c r="BI217" i="25" s="1"/>
  <c r="BH218" i="25"/>
  <c r="BI218" i="25" s="1"/>
  <c r="BH219" i="25"/>
  <c r="BI219" i="25" s="1"/>
  <c r="BH220" i="25"/>
  <c r="BI220" i="25" s="1"/>
  <c r="BH221" i="25"/>
  <c r="BK221" i="25" s="1"/>
  <c r="BO221" i="25" s="1"/>
  <c r="BH222" i="25"/>
  <c r="BI222" i="25" s="1"/>
  <c r="BH223" i="25"/>
  <c r="BI223" i="25" s="1"/>
  <c r="BH224" i="25"/>
  <c r="BI224" i="25" s="1"/>
  <c r="BH225" i="25"/>
  <c r="BK225" i="25" s="1"/>
  <c r="BO225" i="25" s="1"/>
  <c r="BH226" i="25"/>
  <c r="BI226" i="25" s="1"/>
  <c r="BH227" i="25"/>
  <c r="BI227" i="25" s="1"/>
  <c r="BH228" i="25"/>
  <c r="BI228" i="25" s="1"/>
  <c r="BH229" i="25"/>
  <c r="BJ229" i="25" s="1"/>
  <c r="BN229" i="25" s="1"/>
  <c r="BH230" i="25"/>
  <c r="BI230" i="25" s="1"/>
  <c r="BH231" i="25"/>
  <c r="BJ231" i="25" s="1"/>
  <c r="BN231" i="25" s="1"/>
  <c r="BH232" i="25"/>
  <c r="BI232" i="25" s="1"/>
  <c r="BH233" i="25"/>
  <c r="BI233" i="25" s="1"/>
  <c r="BH234" i="25"/>
  <c r="BI234" i="25" s="1"/>
  <c r="BH235" i="25"/>
  <c r="BK235" i="25" s="1"/>
  <c r="BO235" i="25" s="1"/>
  <c r="BH236" i="25"/>
  <c r="BI236" i="25" s="1"/>
  <c r="BH237" i="25"/>
  <c r="BJ237" i="25" s="1"/>
  <c r="BN237" i="25" s="1"/>
  <c r="BH238" i="25"/>
  <c r="BI238" i="25" s="1"/>
  <c r="BH23" i="25"/>
  <c r="BK23" i="25" s="1"/>
  <c r="BO23" i="25" s="1"/>
  <c r="E8" i="27"/>
  <c r="D8" i="27"/>
  <c r="C75" i="37" l="1"/>
  <c r="C58" i="37"/>
  <c r="D50" i="37"/>
  <c r="D58" i="37"/>
  <c r="C50" i="37"/>
  <c r="D75" i="37"/>
  <c r="D97" i="37" s="1"/>
  <c r="T45" i="37"/>
  <c r="H15" i="25"/>
  <c r="I16" i="25"/>
  <c r="H16" i="25"/>
  <c r="I18" i="25"/>
  <c r="H18" i="25"/>
  <c r="H308" i="25"/>
  <c r="I300" i="25"/>
  <c r="I292" i="25"/>
  <c r="I284" i="25"/>
  <c r="I272" i="25"/>
  <c r="I260" i="25"/>
  <c r="AE238" i="25"/>
  <c r="I238" i="25" s="1"/>
  <c r="H238" i="25"/>
  <c r="AE234" i="25"/>
  <c r="I234" i="25" s="1"/>
  <c r="H234" i="25"/>
  <c r="AE230" i="25"/>
  <c r="I230" i="25" s="1"/>
  <c r="H230" i="25"/>
  <c r="AE226" i="25"/>
  <c r="I226" i="25" s="1"/>
  <c r="H226" i="25"/>
  <c r="AE222" i="25"/>
  <c r="I222" i="25" s="1"/>
  <c r="H222" i="25"/>
  <c r="AE218" i="25"/>
  <c r="I218" i="25" s="1"/>
  <c r="H218" i="25"/>
  <c r="AE214" i="25"/>
  <c r="I214" i="25" s="1"/>
  <c r="H214" i="25"/>
  <c r="AE210" i="25"/>
  <c r="I210" i="25" s="1"/>
  <c r="H210" i="25"/>
  <c r="AE206" i="25"/>
  <c r="I206" i="25" s="1"/>
  <c r="H206" i="25"/>
  <c r="AE202" i="25"/>
  <c r="I202" i="25" s="1"/>
  <c r="H202" i="25"/>
  <c r="AE198" i="25"/>
  <c r="I198" i="25" s="1"/>
  <c r="H198" i="25"/>
  <c r="AE194" i="25"/>
  <c r="I194" i="25" s="1"/>
  <c r="H194" i="25"/>
  <c r="AE190" i="25"/>
  <c r="I190" i="25" s="1"/>
  <c r="H190" i="25"/>
  <c r="AE186" i="25"/>
  <c r="I186" i="25" s="1"/>
  <c r="H186" i="25"/>
  <c r="AE182" i="25"/>
  <c r="I182" i="25" s="1"/>
  <c r="H182" i="25"/>
  <c r="AE178" i="25"/>
  <c r="I178" i="25" s="1"/>
  <c r="H178" i="25"/>
  <c r="AE174" i="25"/>
  <c r="I174" i="25" s="1"/>
  <c r="H174" i="25"/>
  <c r="AE170" i="25"/>
  <c r="I170" i="25" s="1"/>
  <c r="H170" i="25"/>
  <c r="AE166" i="25"/>
  <c r="I166" i="25" s="1"/>
  <c r="H166" i="25"/>
  <c r="AE162" i="25"/>
  <c r="I162" i="25" s="1"/>
  <c r="H162" i="25"/>
  <c r="AE158" i="25"/>
  <c r="I158" i="25" s="1"/>
  <c r="H158" i="25"/>
  <c r="AE154" i="25"/>
  <c r="I154" i="25" s="1"/>
  <c r="H154" i="25"/>
  <c r="AE150" i="25"/>
  <c r="I150" i="25" s="1"/>
  <c r="H150" i="25"/>
  <c r="AE146" i="25"/>
  <c r="I146" i="25" s="1"/>
  <c r="H146" i="25"/>
  <c r="AE142" i="25"/>
  <c r="I142" i="25" s="1"/>
  <c r="H142" i="25"/>
  <c r="AE138" i="25"/>
  <c r="I138" i="25" s="1"/>
  <c r="H138" i="25"/>
  <c r="AE134" i="25"/>
  <c r="I134" i="25" s="1"/>
  <c r="H134" i="25"/>
  <c r="AE130" i="25"/>
  <c r="I130" i="25" s="1"/>
  <c r="H130" i="25"/>
  <c r="AE126" i="25"/>
  <c r="I126" i="25" s="1"/>
  <c r="H126" i="25"/>
  <c r="AE122" i="25"/>
  <c r="I122" i="25" s="1"/>
  <c r="H122" i="25"/>
  <c r="AE118" i="25"/>
  <c r="I118" i="25" s="1"/>
  <c r="H118" i="25"/>
  <c r="AE114" i="25"/>
  <c r="I114" i="25" s="1"/>
  <c r="H114" i="25"/>
  <c r="AE110" i="25"/>
  <c r="I110" i="25" s="1"/>
  <c r="H110" i="25"/>
  <c r="AE102" i="25"/>
  <c r="I102" i="25" s="1"/>
  <c r="H102" i="25"/>
  <c r="AE94" i="25"/>
  <c r="I94" i="25" s="1"/>
  <c r="H94" i="25"/>
  <c r="CK332" i="25"/>
  <c r="CI332" i="25"/>
  <c r="CJ332" i="25"/>
  <c r="AE106" i="25"/>
  <c r="I106" i="25" s="1"/>
  <c r="H106" i="25"/>
  <c r="AE98" i="25"/>
  <c r="I98" i="25" s="1"/>
  <c r="H98" i="25"/>
  <c r="CK348" i="25"/>
  <c r="CJ348" i="25"/>
  <c r="CI348" i="25"/>
  <c r="CJ344" i="25"/>
  <c r="CI344" i="25"/>
  <c r="CK344" i="25"/>
  <c r="CJ328" i="25"/>
  <c r="CN328" i="25" s="1"/>
  <c r="CK328" i="25"/>
  <c r="CO328" i="25" s="1"/>
  <c r="CI328" i="25"/>
  <c r="CI320" i="25"/>
  <c r="CK320" i="25"/>
  <c r="CJ320" i="25"/>
  <c r="CK316" i="25"/>
  <c r="CJ316" i="25"/>
  <c r="CI316" i="25"/>
  <c r="CJ304" i="25"/>
  <c r="CI304" i="25"/>
  <c r="CK304" i="25"/>
  <c r="CI276" i="25"/>
  <c r="CK276" i="25"/>
  <c r="CJ276" i="25"/>
  <c r="CK256" i="25"/>
  <c r="CJ256" i="25"/>
  <c r="CI256" i="25"/>
  <c r="CI248" i="25"/>
  <c r="CJ248" i="25"/>
  <c r="CK248" i="25"/>
  <c r="CK244" i="25"/>
  <c r="CI244" i="25"/>
  <c r="CJ244" i="25"/>
  <c r="I268" i="25"/>
  <c r="AE326" i="25"/>
  <c r="I326" i="25" s="1"/>
  <c r="H326" i="25"/>
  <c r="AE90" i="25"/>
  <c r="I90" i="25" s="1"/>
  <c r="H90" i="25"/>
  <c r="AE86" i="25"/>
  <c r="I86" i="25" s="1"/>
  <c r="H86" i="25"/>
  <c r="AE82" i="25"/>
  <c r="I82" i="25" s="1"/>
  <c r="H82" i="25"/>
  <c r="AE78" i="25"/>
  <c r="I78" i="25" s="1"/>
  <c r="H78" i="25"/>
  <c r="AE74" i="25"/>
  <c r="I74" i="25" s="1"/>
  <c r="H74" i="25"/>
  <c r="AE70" i="25"/>
  <c r="I70" i="25" s="1"/>
  <c r="H70" i="25"/>
  <c r="AE66" i="25"/>
  <c r="I66" i="25" s="1"/>
  <c r="H66" i="25"/>
  <c r="AE62" i="25"/>
  <c r="I62" i="25" s="1"/>
  <c r="H62" i="25"/>
  <c r="AE58" i="25"/>
  <c r="I58" i="25" s="1"/>
  <c r="H58" i="25"/>
  <c r="AE54" i="25"/>
  <c r="I54" i="25" s="1"/>
  <c r="H54" i="25"/>
  <c r="AE50" i="25"/>
  <c r="I50" i="25" s="1"/>
  <c r="H50" i="25"/>
  <c r="AE46" i="25"/>
  <c r="I46" i="25" s="1"/>
  <c r="H46" i="25"/>
  <c r="AE42" i="25"/>
  <c r="I42" i="25" s="1"/>
  <c r="H42" i="25"/>
  <c r="AE38" i="25"/>
  <c r="I38" i="25" s="1"/>
  <c r="H38" i="25"/>
  <c r="AE34" i="25"/>
  <c r="I34" i="25" s="1"/>
  <c r="H34" i="25"/>
  <c r="AE30" i="25"/>
  <c r="I30" i="25" s="1"/>
  <c r="H30" i="25"/>
  <c r="AE26" i="25"/>
  <c r="I26" i="25" s="1"/>
  <c r="H26" i="25"/>
  <c r="AE22" i="25"/>
  <c r="I22" i="25" s="1"/>
  <c r="H22" i="25"/>
  <c r="CI15" i="25"/>
  <c r="CJ15" i="25"/>
  <c r="CK15" i="25"/>
  <c r="CI235" i="25"/>
  <c r="CJ235" i="25"/>
  <c r="CN235" i="25" s="1"/>
  <c r="CK235" i="25"/>
  <c r="CI231" i="25"/>
  <c r="CJ231" i="25"/>
  <c r="CN231" i="25" s="1"/>
  <c r="CK231" i="25"/>
  <c r="CI227" i="25"/>
  <c r="CJ227" i="25"/>
  <c r="CK227" i="25"/>
  <c r="CI223" i="25"/>
  <c r="CJ223" i="25"/>
  <c r="CN223" i="25" s="1"/>
  <c r="CK223" i="25"/>
  <c r="CI219" i="25"/>
  <c r="CJ219" i="25"/>
  <c r="CN219" i="25" s="1"/>
  <c r="CK219" i="25"/>
  <c r="CI215" i="25"/>
  <c r="CJ215" i="25"/>
  <c r="CK215" i="25"/>
  <c r="CI211" i="25"/>
  <c r="CJ211" i="25"/>
  <c r="CN211" i="25" s="1"/>
  <c r="CK211" i="25"/>
  <c r="CI207" i="25"/>
  <c r="CJ207" i="25"/>
  <c r="CN207" i="25" s="1"/>
  <c r="CK207" i="25"/>
  <c r="CI203" i="25"/>
  <c r="CJ203" i="25"/>
  <c r="CK203" i="25"/>
  <c r="CI199" i="25"/>
  <c r="CJ199" i="25"/>
  <c r="CK199" i="25"/>
  <c r="CI195" i="25"/>
  <c r="CJ195" i="25"/>
  <c r="CN195" i="25" s="1"/>
  <c r="CK195" i="25"/>
  <c r="CI191" i="25"/>
  <c r="CJ191" i="25"/>
  <c r="CN191" i="25" s="1"/>
  <c r="CK191" i="25"/>
  <c r="CI187" i="25"/>
  <c r="CJ187" i="25"/>
  <c r="CK187" i="25"/>
  <c r="CI183" i="25"/>
  <c r="CJ183" i="25"/>
  <c r="CK183" i="25"/>
  <c r="CI179" i="25"/>
  <c r="CJ179" i="25"/>
  <c r="CN179" i="25" s="1"/>
  <c r="CK179" i="25"/>
  <c r="CI175" i="25"/>
  <c r="CJ175" i="25"/>
  <c r="CK175" i="25"/>
  <c r="CI171" i="25"/>
  <c r="CJ171" i="25"/>
  <c r="CN171" i="25" s="1"/>
  <c r="CK171" i="25"/>
  <c r="CI167" i="25"/>
  <c r="CJ167" i="25"/>
  <c r="CK167" i="25"/>
  <c r="CI163" i="25"/>
  <c r="CJ163" i="25"/>
  <c r="CK163" i="25"/>
  <c r="CI159" i="25"/>
  <c r="CJ159" i="25"/>
  <c r="CK159" i="25"/>
  <c r="CI155" i="25"/>
  <c r="CJ155" i="25"/>
  <c r="CN155" i="25" s="1"/>
  <c r="CK155" i="25"/>
  <c r="CI151" i="25"/>
  <c r="CJ151" i="25"/>
  <c r="CN151" i="25" s="1"/>
  <c r="CK151" i="25"/>
  <c r="CO151" i="25" s="1"/>
  <c r="CI147" i="25"/>
  <c r="CJ147" i="25"/>
  <c r="CN147" i="25" s="1"/>
  <c r="CK147" i="25"/>
  <c r="CI143" i="25"/>
  <c r="CJ143" i="25"/>
  <c r="CK143" i="25"/>
  <c r="CI139" i="25"/>
  <c r="CJ139" i="25"/>
  <c r="CN139" i="25" s="1"/>
  <c r="CK139" i="25"/>
  <c r="CI135" i="25"/>
  <c r="CJ135" i="25"/>
  <c r="CK135" i="25"/>
  <c r="CI131" i="25"/>
  <c r="CJ131" i="25"/>
  <c r="CN131" i="25" s="1"/>
  <c r="CK131" i="25"/>
  <c r="CI127" i="25"/>
  <c r="CJ127" i="25"/>
  <c r="CK127" i="25"/>
  <c r="CI123" i="25"/>
  <c r="CJ123" i="25"/>
  <c r="CN123" i="25" s="1"/>
  <c r="CK123" i="25"/>
  <c r="CI119" i="25"/>
  <c r="CJ119" i="25"/>
  <c r="CK119" i="25"/>
  <c r="CI115" i="25"/>
  <c r="CJ115" i="25"/>
  <c r="CN115" i="25" s="1"/>
  <c r="CK115" i="25"/>
  <c r="CI111" i="25"/>
  <c r="CK111" i="25"/>
  <c r="CJ111" i="25"/>
  <c r="CJ107" i="25"/>
  <c r="CN107" i="25" s="1"/>
  <c r="CK107" i="25"/>
  <c r="CI107" i="25"/>
  <c r="CK103" i="25"/>
  <c r="CI103" i="25"/>
  <c r="CJ103" i="25"/>
  <c r="CN103" i="25" s="1"/>
  <c r="CK99" i="25"/>
  <c r="CI99" i="25"/>
  <c r="CJ99" i="25"/>
  <c r="CK95" i="25"/>
  <c r="CJ95" i="25"/>
  <c r="CI95" i="25"/>
  <c r="CI91" i="25"/>
  <c r="CK91" i="25"/>
  <c r="CJ91" i="25"/>
  <c r="CN91" i="25" s="1"/>
  <c r="CK87" i="25"/>
  <c r="CI87" i="25"/>
  <c r="CJ87" i="25"/>
  <c r="CI83" i="25"/>
  <c r="CJ83" i="25"/>
  <c r="CK83" i="25"/>
  <c r="CK79" i="25"/>
  <c r="CI79" i="25"/>
  <c r="CJ79" i="25"/>
  <c r="CN79" i="25" s="1"/>
  <c r="CJ75" i="25"/>
  <c r="CK75" i="25"/>
  <c r="CI75" i="25"/>
  <c r="CK71" i="25"/>
  <c r="CI71" i="25"/>
  <c r="CJ71" i="25"/>
  <c r="CK67" i="25"/>
  <c r="CJ67" i="25"/>
  <c r="CN67" i="25" s="1"/>
  <c r="CI67" i="25"/>
  <c r="CI63" i="25"/>
  <c r="CK63" i="25"/>
  <c r="CO63" i="25" s="1"/>
  <c r="CJ63" i="25"/>
  <c r="CN63" i="25" s="1"/>
  <c r="CI59" i="25"/>
  <c r="CJ59" i="25"/>
  <c r="CK59" i="25"/>
  <c r="CI55" i="25"/>
  <c r="CK55" i="25"/>
  <c r="CJ55" i="25"/>
  <c r="CN55" i="25" s="1"/>
  <c r="CI51" i="25"/>
  <c r="CK51" i="25"/>
  <c r="CJ51" i="25"/>
  <c r="CJ47" i="25"/>
  <c r="CN47" i="25" s="1"/>
  <c r="CK47" i="25"/>
  <c r="CI47" i="25"/>
  <c r="CI43" i="25"/>
  <c r="CK43" i="25"/>
  <c r="CJ43" i="25"/>
  <c r="CN43" i="25" s="1"/>
  <c r="CK39" i="25"/>
  <c r="CJ39" i="25"/>
  <c r="CI39" i="25"/>
  <c r="CI35" i="25"/>
  <c r="CK35" i="25"/>
  <c r="CJ35" i="25"/>
  <c r="CK31" i="25"/>
  <c r="CJ31" i="25"/>
  <c r="CN31" i="25" s="1"/>
  <c r="CI31" i="25"/>
  <c r="CI27" i="25"/>
  <c r="CJ27" i="25"/>
  <c r="CN27" i="25" s="1"/>
  <c r="CK27" i="25"/>
  <c r="CI23" i="25"/>
  <c r="CK23" i="25"/>
  <c r="CO23" i="25" s="1"/>
  <c r="CJ23" i="25"/>
  <c r="CN23" i="25" s="1"/>
  <c r="CI19" i="25"/>
  <c r="CK19" i="25"/>
  <c r="CJ19" i="25"/>
  <c r="CJ240" i="25"/>
  <c r="CK240" i="25"/>
  <c r="CI240" i="25"/>
  <c r="AE308" i="25"/>
  <c r="AI308" i="25" s="1"/>
  <c r="CI324" i="25"/>
  <c r="CJ324" i="25"/>
  <c r="CK324" i="25"/>
  <c r="CI340" i="25"/>
  <c r="CK340" i="25"/>
  <c r="CJ340" i="25"/>
  <c r="CJ336" i="25"/>
  <c r="CK336" i="25"/>
  <c r="CO336" i="25" s="1"/>
  <c r="CI336" i="25"/>
  <c r="CJ312" i="25"/>
  <c r="CI312" i="25"/>
  <c r="CK312" i="25"/>
  <c r="CI308" i="25"/>
  <c r="CK308" i="25"/>
  <c r="CJ308" i="25"/>
  <c r="CK300" i="25"/>
  <c r="CI300" i="25"/>
  <c r="CJ300" i="25"/>
  <c r="CI296" i="25"/>
  <c r="CJ296" i="25"/>
  <c r="CK296" i="25"/>
  <c r="CK292" i="25"/>
  <c r="CI292" i="25"/>
  <c r="CJ292" i="25"/>
  <c r="CK288" i="25"/>
  <c r="CI288" i="25"/>
  <c r="CJ288" i="25"/>
  <c r="CK284" i="25"/>
  <c r="CJ284" i="25"/>
  <c r="CI284" i="25"/>
  <c r="CK280" i="25"/>
  <c r="CO280" i="25" s="1"/>
  <c r="CJ280" i="25"/>
  <c r="CI280" i="25"/>
  <c r="CJ272" i="25"/>
  <c r="CK272" i="25"/>
  <c r="CI272" i="25"/>
  <c r="CK268" i="25"/>
  <c r="CI268" i="25"/>
  <c r="CJ268" i="25"/>
  <c r="CJ264" i="25"/>
  <c r="CK264" i="25"/>
  <c r="CI264" i="25"/>
  <c r="CI260" i="25"/>
  <c r="CK260" i="25"/>
  <c r="CJ260" i="25"/>
  <c r="CJ252" i="25"/>
  <c r="CI252" i="25"/>
  <c r="CK252" i="25"/>
  <c r="AE348" i="25"/>
  <c r="I348" i="25" s="1"/>
  <c r="H348" i="25"/>
  <c r="AE344" i="25"/>
  <c r="AI344" i="25" s="1"/>
  <c r="H344" i="25"/>
  <c r="AE340" i="25"/>
  <c r="I340" i="25" s="1"/>
  <c r="H340" i="25"/>
  <c r="AE336" i="25"/>
  <c r="I336" i="25" s="1"/>
  <c r="H336" i="25"/>
  <c r="AE332" i="25"/>
  <c r="I332" i="25" s="1"/>
  <c r="H332" i="25"/>
  <c r="AE328" i="25"/>
  <c r="AG328" i="25" s="1"/>
  <c r="H328" i="25"/>
  <c r="AE324" i="25"/>
  <c r="I324" i="25" s="1"/>
  <c r="H324" i="25"/>
  <c r="AE320" i="25"/>
  <c r="I320" i="25" s="1"/>
  <c r="H320" i="25"/>
  <c r="AE316" i="25"/>
  <c r="I316" i="25" s="1"/>
  <c r="H316" i="25"/>
  <c r="H312" i="25"/>
  <c r="AE288" i="25"/>
  <c r="H288" i="25"/>
  <c r="H280" i="25"/>
  <c r="H272" i="25"/>
  <c r="H264" i="25"/>
  <c r="AE248" i="25"/>
  <c r="I248" i="25" s="1"/>
  <c r="H248" i="25"/>
  <c r="AE236" i="25"/>
  <c r="I236" i="25" s="1"/>
  <c r="H236" i="25"/>
  <c r="AE232" i="25"/>
  <c r="I232" i="25" s="1"/>
  <c r="H232" i="25"/>
  <c r="AE228" i="25"/>
  <c r="I228" i="25" s="1"/>
  <c r="H228" i="25"/>
  <c r="AE224" i="25"/>
  <c r="I224" i="25" s="1"/>
  <c r="H224" i="25"/>
  <c r="AE220" i="25"/>
  <c r="I220" i="25" s="1"/>
  <c r="H220" i="25"/>
  <c r="AE216" i="25"/>
  <c r="I216" i="25" s="1"/>
  <c r="H216" i="25"/>
  <c r="AE212" i="25"/>
  <c r="I212" i="25" s="1"/>
  <c r="H212" i="25"/>
  <c r="AE208" i="25"/>
  <c r="I208" i="25" s="1"/>
  <c r="H208" i="25"/>
  <c r="AE204" i="25"/>
  <c r="I204" i="25" s="1"/>
  <c r="H204" i="25"/>
  <c r="AE200" i="25"/>
  <c r="I200" i="25" s="1"/>
  <c r="H200" i="25"/>
  <c r="AE196" i="25"/>
  <c r="I196" i="25" s="1"/>
  <c r="H196" i="25"/>
  <c r="AE192" i="25"/>
  <c r="I192" i="25" s="1"/>
  <c r="H192" i="25"/>
  <c r="AE188" i="25"/>
  <c r="I188" i="25" s="1"/>
  <c r="H188" i="25"/>
  <c r="AE184" i="25"/>
  <c r="I184" i="25" s="1"/>
  <c r="H184" i="25"/>
  <c r="AE180" i="25"/>
  <c r="I180" i="25" s="1"/>
  <c r="H180" i="25"/>
  <c r="AE176" i="25"/>
  <c r="I176" i="25" s="1"/>
  <c r="H176" i="25"/>
  <c r="AE172" i="25"/>
  <c r="I172" i="25" s="1"/>
  <c r="H172" i="25"/>
  <c r="AE168" i="25"/>
  <c r="I168" i="25" s="1"/>
  <c r="H168" i="25"/>
  <c r="AE164" i="25"/>
  <c r="I164" i="25" s="1"/>
  <c r="H164" i="25"/>
  <c r="AE160" i="25"/>
  <c r="I160" i="25" s="1"/>
  <c r="H160" i="25"/>
  <c r="AE156" i="25"/>
  <c r="I156" i="25" s="1"/>
  <c r="H156" i="25"/>
  <c r="AE152" i="25"/>
  <c r="I152" i="25" s="1"/>
  <c r="H152" i="25"/>
  <c r="AE148" i="25"/>
  <c r="I148" i="25" s="1"/>
  <c r="H148" i="25"/>
  <c r="AE144" i="25"/>
  <c r="I144" i="25" s="1"/>
  <c r="H144" i="25"/>
  <c r="AE140" i="25"/>
  <c r="I140" i="25" s="1"/>
  <c r="H140" i="25"/>
  <c r="AE136" i="25"/>
  <c r="I136" i="25" s="1"/>
  <c r="H136" i="25"/>
  <c r="AE132" i="25"/>
  <c r="I132" i="25" s="1"/>
  <c r="H132" i="25"/>
  <c r="AE128" i="25"/>
  <c r="I128" i="25" s="1"/>
  <c r="H128" i="25"/>
  <c r="AE124" i="25"/>
  <c r="I124" i="25" s="1"/>
  <c r="H124" i="25"/>
  <c r="AE120" i="25"/>
  <c r="I120" i="25" s="1"/>
  <c r="H120" i="25"/>
  <c r="AE116" i="25"/>
  <c r="I116" i="25" s="1"/>
  <c r="H116" i="25"/>
  <c r="AE112" i="25"/>
  <c r="I112" i="25" s="1"/>
  <c r="H112" i="25"/>
  <c r="AE108" i="25"/>
  <c r="I108" i="25" s="1"/>
  <c r="H108" i="25"/>
  <c r="AE104" i="25"/>
  <c r="I104" i="25" s="1"/>
  <c r="H104" i="25"/>
  <c r="AE100" i="25"/>
  <c r="I100" i="25" s="1"/>
  <c r="H100" i="25"/>
  <c r="AE96" i="25"/>
  <c r="I96" i="25" s="1"/>
  <c r="H96" i="25"/>
  <c r="AE92" i="25"/>
  <c r="I92" i="25" s="1"/>
  <c r="H92" i="25"/>
  <c r="AE88" i="25"/>
  <c r="I88" i="25" s="1"/>
  <c r="H88" i="25"/>
  <c r="AE84" i="25"/>
  <c r="I84" i="25" s="1"/>
  <c r="H84" i="25"/>
  <c r="AE80" i="25"/>
  <c r="I80" i="25" s="1"/>
  <c r="H80" i="25"/>
  <c r="AE76" i="25"/>
  <c r="I76" i="25" s="1"/>
  <c r="H76" i="25"/>
  <c r="AE72" i="25"/>
  <c r="I72" i="25" s="1"/>
  <c r="H72" i="25"/>
  <c r="AE68" i="25"/>
  <c r="I68" i="25" s="1"/>
  <c r="H68" i="25"/>
  <c r="AE64" i="25"/>
  <c r="I64" i="25" s="1"/>
  <c r="H64" i="25"/>
  <c r="AE60" i="25"/>
  <c r="I60" i="25" s="1"/>
  <c r="H60" i="25"/>
  <c r="AE56" i="25"/>
  <c r="I56" i="25" s="1"/>
  <c r="H56" i="25"/>
  <c r="AE52" i="25"/>
  <c r="I52" i="25" s="1"/>
  <c r="H52" i="25"/>
  <c r="AE48" i="25"/>
  <c r="I48" i="25" s="1"/>
  <c r="H48" i="25"/>
  <c r="AE44" i="25"/>
  <c r="I44" i="25" s="1"/>
  <c r="H44" i="25"/>
  <c r="AE40" i="25"/>
  <c r="I40" i="25" s="1"/>
  <c r="H40" i="25"/>
  <c r="AE36" i="25"/>
  <c r="I36" i="25" s="1"/>
  <c r="H36" i="25"/>
  <c r="AE32" i="25"/>
  <c r="I32" i="25" s="1"/>
  <c r="H32" i="25"/>
  <c r="AE28" i="25"/>
  <c r="I28" i="25" s="1"/>
  <c r="H28" i="25"/>
  <c r="AE24" i="25"/>
  <c r="I24" i="25" s="1"/>
  <c r="H24" i="25"/>
  <c r="AE20" i="25"/>
  <c r="I20" i="25" s="1"/>
  <c r="H20" i="25"/>
  <c r="CI237" i="25"/>
  <c r="CJ237" i="25"/>
  <c r="CN237" i="25" s="1"/>
  <c r="CK237" i="25"/>
  <c r="CI233" i="25"/>
  <c r="CJ233" i="25"/>
  <c r="CN233" i="25" s="1"/>
  <c r="CK233" i="25"/>
  <c r="CI229" i="25"/>
  <c r="CJ229" i="25"/>
  <c r="CN229" i="25" s="1"/>
  <c r="CK229" i="25"/>
  <c r="CI225" i="25"/>
  <c r="CJ225" i="25"/>
  <c r="CK225" i="25"/>
  <c r="CI221" i="25"/>
  <c r="CJ221" i="25"/>
  <c r="CN221" i="25" s="1"/>
  <c r="CK221" i="25"/>
  <c r="CI217" i="25"/>
  <c r="CJ217" i="25"/>
  <c r="CN217" i="25" s="1"/>
  <c r="CK217" i="25"/>
  <c r="CI213" i="25"/>
  <c r="CJ213" i="25"/>
  <c r="CN213" i="25" s="1"/>
  <c r="CK213" i="25"/>
  <c r="CI209" i="25"/>
  <c r="CJ209" i="25"/>
  <c r="CN209" i="25" s="1"/>
  <c r="CK209" i="25"/>
  <c r="CI205" i="25"/>
  <c r="CJ205" i="25"/>
  <c r="CK205" i="25"/>
  <c r="CI201" i="25"/>
  <c r="CJ201" i="25"/>
  <c r="CN201" i="25" s="1"/>
  <c r="CK201" i="25"/>
  <c r="CI197" i="25"/>
  <c r="CJ197" i="25"/>
  <c r="CN197" i="25" s="1"/>
  <c r="CK197" i="25"/>
  <c r="CI193" i="25"/>
  <c r="CJ193" i="25"/>
  <c r="CN193" i="25" s="1"/>
  <c r="CK193" i="25"/>
  <c r="CI189" i="25"/>
  <c r="CJ189" i="25"/>
  <c r="CK189" i="25"/>
  <c r="CI185" i="25"/>
  <c r="CJ185" i="25"/>
  <c r="CK185" i="25"/>
  <c r="CI181" i="25"/>
  <c r="CJ181" i="25"/>
  <c r="CN181" i="25" s="1"/>
  <c r="CK181" i="25"/>
  <c r="CI177" i="25"/>
  <c r="CJ177" i="25"/>
  <c r="CN177" i="25" s="1"/>
  <c r="CK177" i="25"/>
  <c r="CI173" i="25"/>
  <c r="CJ173" i="25"/>
  <c r="CK173" i="25"/>
  <c r="CI169" i="25"/>
  <c r="CJ169" i="25"/>
  <c r="CK169" i="25"/>
  <c r="CI165" i="25"/>
  <c r="CJ165" i="25"/>
  <c r="CK165" i="25"/>
  <c r="CI161" i="25"/>
  <c r="CJ161" i="25"/>
  <c r="CN161" i="25" s="1"/>
  <c r="CK161" i="25"/>
  <c r="CI157" i="25"/>
  <c r="CJ157" i="25"/>
  <c r="CK157" i="25"/>
  <c r="CI153" i="25"/>
  <c r="CJ153" i="25"/>
  <c r="CN153" i="25" s="1"/>
  <c r="CK153" i="25"/>
  <c r="CI149" i="25"/>
  <c r="CJ149" i="25"/>
  <c r="CK149" i="25"/>
  <c r="CI145" i="25"/>
  <c r="CJ145" i="25"/>
  <c r="CN145" i="25" s="1"/>
  <c r="CK145" i="25"/>
  <c r="CI141" i="25"/>
  <c r="CJ141" i="25"/>
  <c r="CK141" i="25"/>
  <c r="CI137" i="25"/>
  <c r="CJ137" i="25"/>
  <c r="CN137" i="25" s="1"/>
  <c r="CK137" i="25"/>
  <c r="CI133" i="25"/>
  <c r="CJ133" i="25"/>
  <c r="CK133" i="25"/>
  <c r="CI129" i="25"/>
  <c r="CJ129" i="25"/>
  <c r="CK129" i="25"/>
  <c r="CI125" i="25"/>
  <c r="CJ125" i="25"/>
  <c r="CK125" i="25"/>
  <c r="CI121" i="25"/>
  <c r="CJ121" i="25"/>
  <c r="CN121" i="25" s="1"/>
  <c r="CK121" i="25"/>
  <c r="CI117" i="25"/>
  <c r="CJ117" i="25"/>
  <c r="CK117" i="25"/>
  <c r="CI113" i="25"/>
  <c r="CJ113" i="25"/>
  <c r="CN113" i="25" s="1"/>
  <c r="CK113" i="25"/>
  <c r="CI109" i="25"/>
  <c r="CJ109" i="25"/>
  <c r="CK109" i="25"/>
  <c r="CO109" i="25" s="1"/>
  <c r="CI105" i="25"/>
  <c r="CK105" i="25"/>
  <c r="CO105" i="25" s="1"/>
  <c r="CJ105" i="25"/>
  <c r="CI101" i="25"/>
  <c r="CJ101" i="25"/>
  <c r="CN101" i="25" s="1"/>
  <c r="CK101" i="25"/>
  <c r="CO101" i="25" s="1"/>
  <c r="CI97" i="25"/>
  <c r="CJ97" i="25"/>
  <c r="CN97" i="25" s="1"/>
  <c r="CK97" i="25"/>
  <c r="CI93" i="25"/>
  <c r="CK93" i="25"/>
  <c r="CJ93" i="25"/>
  <c r="CN93" i="25" s="1"/>
  <c r="CJ89" i="25"/>
  <c r="CN89" i="25" s="1"/>
  <c r="CK89" i="25"/>
  <c r="CI89" i="25"/>
  <c r="CI85" i="25"/>
  <c r="CK85" i="25"/>
  <c r="CJ85" i="25"/>
  <c r="CK81" i="25"/>
  <c r="CJ81" i="25"/>
  <c r="CN81" i="25" s="1"/>
  <c r="CI81" i="25"/>
  <c r="CI77" i="25"/>
  <c r="CJ77" i="25"/>
  <c r="CK77" i="25"/>
  <c r="CI73" i="25"/>
  <c r="CK73" i="25"/>
  <c r="CO73" i="25" s="1"/>
  <c r="CJ73" i="25"/>
  <c r="CN73" i="25" s="1"/>
  <c r="CI69" i="25"/>
  <c r="E85" i="37" s="1"/>
  <c r="F85" i="37" s="1"/>
  <c r="CJ69" i="25"/>
  <c r="CK69" i="25"/>
  <c r="CO69" i="25" s="1"/>
  <c r="E87" i="37" s="1"/>
  <c r="CI65" i="25"/>
  <c r="CK65" i="25"/>
  <c r="CO65" i="25" s="1"/>
  <c r="CJ65" i="25"/>
  <c r="CN65" i="25" s="1"/>
  <c r="CJ61" i="25"/>
  <c r="CK61" i="25"/>
  <c r="CO61" i="25" s="1"/>
  <c r="CI61" i="25"/>
  <c r="CI57" i="25"/>
  <c r="CK57" i="25"/>
  <c r="CJ57" i="25"/>
  <c r="CN57" i="25" s="1"/>
  <c r="CJ53" i="25"/>
  <c r="CN53" i="25" s="1"/>
  <c r="CI53" i="25"/>
  <c r="CK53" i="25"/>
  <c r="CI49" i="25"/>
  <c r="CK49" i="25"/>
  <c r="CJ49" i="25"/>
  <c r="CJ45" i="25"/>
  <c r="CN45" i="25" s="1"/>
  <c r="CK45" i="25"/>
  <c r="CO45" i="25" s="1"/>
  <c r="CI45" i="25"/>
  <c r="CI41" i="25"/>
  <c r="CJ41" i="25"/>
  <c r="CN41" i="25" s="1"/>
  <c r="CK41" i="25"/>
  <c r="CJ37" i="25"/>
  <c r="CN37" i="25" s="1"/>
  <c r="CK37" i="25"/>
  <c r="CI37" i="25"/>
  <c r="CI33" i="25"/>
  <c r="CK33" i="25"/>
  <c r="CJ33" i="25"/>
  <c r="CJ29" i="25"/>
  <c r="CK29" i="25"/>
  <c r="CI29" i="25"/>
  <c r="CI25" i="25"/>
  <c r="CK25" i="25"/>
  <c r="CJ25" i="25"/>
  <c r="CN25" i="25" s="1"/>
  <c r="CJ21" i="25"/>
  <c r="CN21" i="25" s="1"/>
  <c r="CI21" i="25"/>
  <c r="CK21" i="25"/>
  <c r="CI17" i="25"/>
  <c r="CK17" i="25"/>
  <c r="CJ17" i="25"/>
  <c r="CN17" i="25" s="1"/>
  <c r="AE280" i="25"/>
  <c r="CJ350" i="25"/>
  <c r="CI350" i="25"/>
  <c r="CK350" i="25"/>
  <c r="CI346" i="25"/>
  <c r="CK346" i="25"/>
  <c r="CJ346" i="25"/>
  <c r="CJ342" i="25"/>
  <c r="CI342" i="25"/>
  <c r="CK342" i="25"/>
  <c r="CK338" i="25"/>
  <c r="CI338" i="25"/>
  <c r="CJ338" i="25"/>
  <c r="CJ334" i="25"/>
  <c r="CN334" i="25" s="1"/>
  <c r="CK334" i="25"/>
  <c r="CO334" i="25" s="1"/>
  <c r="CI334" i="25"/>
  <c r="CI330" i="25"/>
  <c r="CJ330" i="25"/>
  <c r="CK330" i="25"/>
  <c r="CK326" i="25"/>
  <c r="CI326" i="25"/>
  <c r="CJ326" i="25"/>
  <c r="CK322" i="25"/>
  <c r="CJ322" i="25"/>
  <c r="CI322" i="25"/>
  <c r="CJ318" i="25"/>
  <c r="CI318" i="25"/>
  <c r="CK318" i="25"/>
  <c r="CI314" i="25"/>
  <c r="CK314" i="25"/>
  <c r="CJ314" i="25"/>
  <c r="CJ310" i="25"/>
  <c r="CK310" i="25"/>
  <c r="CI310" i="25"/>
  <c r="CK306" i="25"/>
  <c r="CI306" i="25"/>
  <c r="CJ306" i="25"/>
  <c r="CJ302" i="25"/>
  <c r="CK302" i="25"/>
  <c r="CI302" i="25"/>
  <c r="CI298" i="25"/>
  <c r="CJ298" i="25"/>
  <c r="CN298" i="25" s="1"/>
  <c r="CK298" i="25"/>
  <c r="CK294" i="25"/>
  <c r="CO294" i="25" s="1"/>
  <c r="CJ294" i="25"/>
  <c r="CI294" i="25"/>
  <c r="CI290" i="25"/>
  <c r="CK290" i="25"/>
  <c r="CO290" i="25" s="1"/>
  <c r="CJ290" i="25"/>
  <c r="CN290" i="25" s="1"/>
  <c r="CJ286" i="25"/>
  <c r="CN286" i="25" s="1"/>
  <c r="CI286" i="25"/>
  <c r="CK286" i="25"/>
  <c r="CO286" i="25" s="1"/>
  <c r="CK282" i="25"/>
  <c r="CO282" i="25" s="1"/>
  <c r="CJ282" i="25"/>
  <c r="CN282" i="25" s="1"/>
  <c r="CI282" i="25"/>
  <c r="CI278" i="25"/>
  <c r="CK278" i="25"/>
  <c r="CO278" i="25" s="1"/>
  <c r="CJ278" i="25"/>
  <c r="CN278" i="25" s="1"/>
  <c r="CI274" i="25"/>
  <c r="CK274" i="25"/>
  <c r="CO274" i="25" s="1"/>
  <c r="CJ274" i="25"/>
  <c r="CN274" i="25" s="1"/>
  <c r="CJ270" i="25"/>
  <c r="CK270" i="25"/>
  <c r="CO270" i="25" s="1"/>
  <c r="CI270" i="25"/>
  <c r="CK266" i="25"/>
  <c r="CO266" i="25" s="1"/>
  <c r="CI266" i="25"/>
  <c r="CJ266" i="25"/>
  <c r="CN266" i="25" s="1"/>
  <c r="CK262" i="25"/>
  <c r="CO262" i="25" s="1"/>
  <c r="CI262" i="25"/>
  <c r="CJ262" i="25"/>
  <c r="CK258" i="25"/>
  <c r="CO258" i="25" s="1"/>
  <c r="CI258" i="25"/>
  <c r="CJ258" i="25"/>
  <c r="CN258" i="25" s="1"/>
  <c r="CI254" i="25"/>
  <c r="CK254" i="25"/>
  <c r="CO254" i="25" s="1"/>
  <c r="CJ254" i="25"/>
  <c r="CN254" i="25" s="1"/>
  <c r="CJ250" i="25"/>
  <c r="CI250" i="25"/>
  <c r="CK250" i="25"/>
  <c r="CK246" i="25"/>
  <c r="CI246" i="25"/>
  <c r="CJ246" i="25"/>
  <c r="CK242" i="25"/>
  <c r="CI242" i="25"/>
  <c r="CJ242" i="25"/>
  <c r="AE350" i="25"/>
  <c r="AI350" i="25" s="1"/>
  <c r="H350" i="25"/>
  <c r="AE346" i="25"/>
  <c r="AF346" i="25" s="1"/>
  <c r="H346" i="25"/>
  <c r="AE342" i="25"/>
  <c r="I342" i="25" s="1"/>
  <c r="H342" i="25"/>
  <c r="AE338" i="25"/>
  <c r="I338" i="25" s="1"/>
  <c r="H338" i="25"/>
  <c r="AE334" i="25"/>
  <c r="I334" i="25" s="1"/>
  <c r="H334" i="25"/>
  <c r="AE330" i="25"/>
  <c r="I330" i="25" s="1"/>
  <c r="H330" i="25"/>
  <c r="AE322" i="25"/>
  <c r="I322" i="25" s="1"/>
  <c r="H322" i="25"/>
  <c r="AE318" i="25"/>
  <c r="I318" i="25" s="1"/>
  <c r="H318" i="25"/>
  <c r="AE314" i="25"/>
  <c r="I314" i="25" s="1"/>
  <c r="H314" i="25"/>
  <c r="AE310" i="25"/>
  <c r="I310" i="25" s="1"/>
  <c r="H310" i="25"/>
  <c r="AE306" i="25"/>
  <c r="I306" i="25" s="1"/>
  <c r="H306" i="25"/>
  <c r="AE302" i="25"/>
  <c r="I302" i="25" s="1"/>
  <c r="H302" i="25"/>
  <c r="AE298" i="25"/>
  <c r="AI298" i="25" s="1"/>
  <c r="H298" i="25"/>
  <c r="AE294" i="25"/>
  <c r="AI294" i="25" s="1"/>
  <c r="H294" i="25"/>
  <c r="AE290" i="25"/>
  <c r="AI290" i="25" s="1"/>
  <c r="H290" i="25"/>
  <c r="AE286" i="25"/>
  <c r="AH286" i="25" s="1"/>
  <c r="H286" i="25"/>
  <c r="AE282" i="25"/>
  <c r="AH282" i="25" s="1"/>
  <c r="H282" i="25"/>
  <c r="AE278" i="25"/>
  <c r="AI278" i="25" s="1"/>
  <c r="H278" i="25"/>
  <c r="AE274" i="25"/>
  <c r="H274" i="25"/>
  <c r="AE270" i="25"/>
  <c r="AG270" i="25" s="1"/>
  <c r="H270" i="25"/>
  <c r="AE266" i="25"/>
  <c r="AG266" i="25" s="1"/>
  <c r="H266" i="25"/>
  <c r="AE262" i="25"/>
  <c r="AH262" i="25" s="1"/>
  <c r="H262" i="25"/>
  <c r="AE258" i="25"/>
  <c r="AI258" i="25" s="1"/>
  <c r="H258" i="25"/>
  <c r="AE254" i="25"/>
  <c r="AI254" i="25" s="1"/>
  <c r="H254" i="25"/>
  <c r="AE250" i="25"/>
  <c r="I250" i="25" s="1"/>
  <c r="H250" i="25"/>
  <c r="AE246" i="25"/>
  <c r="AG246" i="25" s="1"/>
  <c r="H246" i="25"/>
  <c r="AE242" i="25"/>
  <c r="I242" i="25" s="1"/>
  <c r="H242" i="25"/>
  <c r="AE235" i="25"/>
  <c r="I235" i="25" s="1"/>
  <c r="H235" i="25"/>
  <c r="AE231" i="25"/>
  <c r="I231" i="25" s="1"/>
  <c r="H231" i="25"/>
  <c r="AE227" i="25"/>
  <c r="I227" i="25" s="1"/>
  <c r="H227" i="25"/>
  <c r="AE223" i="25"/>
  <c r="I223" i="25" s="1"/>
  <c r="H223" i="25"/>
  <c r="AE219" i="25"/>
  <c r="I219" i="25" s="1"/>
  <c r="H219" i="25"/>
  <c r="AE215" i="25"/>
  <c r="I215" i="25" s="1"/>
  <c r="H215" i="25"/>
  <c r="AE211" i="25"/>
  <c r="I211" i="25" s="1"/>
  <c r="H211" i="25"/>
  <c r="AE207" i="25"/>
  <c r="I207" i="25" s="1"/>
  <c r="H207" i="25"/>
  <c r="AE203" i="25"/>
  <c r="I203" i="25" s="1"/>
  <c r="H203" i="25"/>
  <c r="AE199" i="25"/>
  <c r="I199" i="25" s="1"/>
  <c r="H199" i="25"/>
  <c r="AE195" i="25"/>
  <c r="I195" i="25" s="1"/>
  <c r="H195" i="25"/>
  <c r="AE191" i="25"/>
  <c r="I191" i="25" s="1"/>
  <c r="H191" i="25"/>
  <c r="AE187" i="25"/>
  <c r="I187" i="25" s="1"/>
  <c r="H187" i="25"/>
  <c r="AE183" i="25"/>
  <c r="I183" i="25" s="1"/>
  <c r="H183" i="25"/>
  <c r="AE179" i="25"/>
  <c r="I179" i="25" s="1"/>
  <c r="H179" i="25"/>
  <c r="AE175" i="25"/>
  <c r="I175" i="25" s="1"/>
  <c r="H175" i="25"/>
  <c r="AE171" i="25"/>
  <c r="I171" i="25" s="1"/>
  <c r="H171" i="25"/>
  <c r="AE167" i="25"/>
  <c r="I167" i="25" s="1"/>
  <c r="H167" i="25"/>
  <c r="AE163" i="25"/>
  <c r="I163" i="25" s="1"/>
  <c r="H163" i="25"/>
  <c r="AE159" i="25"/>
  <c r="I159" i="25" s="1"/>
  <c r="H159" i="25"/>
  <c r="AE155" i="25"/>
  <c r="I155" i="25" s="1"/>
  <c r="H155" i="25"/>
  <c r="AE151" i="25"/>
  <c r="I151" i="25" s="1"/>
  <c r="H151" i="25"/>
  <c r="AE147" i="25"/>
  <c r="I147" i="25" s="1"/>
  <c r="H147" i="25"/>
  <c r="AE143" i="25"/>
  <c r="I143" i="25" s="1"/>
  <c r="H143" i="25"/>
  <c r="AE139" i="25"/>
  <c r="I139" i="25" s="1"/>
  <c r="H139" i="25"/>
  <c r="AE135" i="25"/>
  <c r="I135" i="25" s="1"/>
  <c r="H135" i="25"/>
  <c r="AE131" i="25"/>
  <c r="I131" i="25" s="1"/>
  <c r="H131" i="25"/>
  <c r="AE127" i="25"/>
  <c r="I127" i="25" s="1"/>
  <c r="H127" i="25"/>
  <c r="AE123" i="25"/>
  <c r="I123" i="25" s="1"/>
  <c r="H123" i="25"/>
  <c r="AE119" i="25"/>
  <c r="I119" i="25" s="1"/>
  <c r="H119" i="25"/>
  <c r="AE115" i="25"/>
  <c r="I115" i="25" s="1"/>
  <c r="H115" i="25"/>
  <c r="AE111" i="25"/>
  <c r="I111" i="25" s="1"/>
  <c r="H111" i="25"/>
  <c r="AE107" i="25"/>
  <c r="I107" i="25" s="1"/>
  <c r="H107" i="25"/>
  <c r="AE103" i="25"/>
  <c r="I103" i="25" s="1"/>
  <c r="H103" i="25"/>
  <c r="AE99" i="25"/>
  <c r="I99" i="25" s="1"/>
  <c r="H99" i="25"/>
  <c r="AE95" i="25"/>
  <c r="I95" i="25" s="1"/>
  <c r="H95" i="25"/>
  <c r="AE91" i="25"/>
  <c r="I91" i="25" s="1"/>
  <c r="H91" i="25"/>
  <c r="AE87" i="25"/>
  <c r="I87" i="25" s="1"/>
  <c r="H87" i="25"/>
  <c r="AE83" i="25"/>
  <c r="I83" i="25" s="1"/>
  <c r="H83" i="25"/>
  <c r="AE79" i="25"/>
  <c r="I79" i="25" s="1"/>
  <c r="H79" i="25"/>
  <c r="AE75" i="25"/>
  <c r="I75" i="25" s="1"/>
  <c r="H75" i="25"/>
  <c r="AE71" i="25"/>
  <c r="I71" i="25" s="1"/>
  <c r="H71" i="25"/>
  <c r="AE67" i="25"/>
  <c r="I67" i="25" s="1"/>
  <c r="H67" i="25"/>
  <c r="AE63" i="25"/>
  <c r="I63" i="25" s="1"/>
  <c r="H63" i="25"/>
  <c r="AE59" i="25"/>
  <c r="I59" i="25" s="1"/>
  <c r="H59" i="25"/>
  <c r="AE55" i="25"/>
  <c r="I55" i="25" s="1"/>
  <c r="H55" i="25"/>
  <c r="AE51" i="25"/>
  <c r="I51" i="25" s="1"/>
  <c r="H51" i="25"/>
  <c r="AE47" i="25"/>
  <c r="I47" i="25" s="1"/>
  <c r="H47" i="25"/>
  <c r="AE43" i="25"/>
  <c r="I43" i="25" s="1"/>
  <c r="H43" i="25"/>
  <c r="AE39" i="25"/>
  <c r="I39" i="25" s="1"/>
  <c r="H39" i="25"/>
  <c r="AE35" i="25"/>
  <c r="I35" i="25" s="1"/>
  <c r="H35" i="25"/>
  <c r="AE31" i="25"/>
  <c r="I31" i="25" s="1"/>
  <c r="H31" i="25"/>
  <c r="AE27" i="25"/>
  <c r="I27" i="25" s="1"/>
  <c r="H27" i="25"/>
  <c r="AE23" i="25"/>
  <c r="I23" i="25" s="1"/>
  <c r="H23" i="25"/>
  <c r="AE19" i="25"/>
  <c r="I19" i="25" s="1"/>
  <c r="H19" i="25"/>
  <c r="CI236" i="25"/>
  <c r="CJ236" i="25"/>
  <c r="CN236" i="25" s="1"/>
  <c r="CK236" i="25"/>
  <c r="CI232" i="25"/>
  <c r="CJ232" i="25"/>
  <c r="CK232" i="25"/>
  <c r="CI228" i="25"/>
  <c r="CJ228" i="25"/>
  <c r="CN228" i="25" s="1"/>
  <c r="CK228" i="25"/>
  <c r="CI224" i="25"/>
  <c r="CJ224" i="25"/>
  <c r="CN224" i="25" s="1"/>
  <c r="CK224" i="25"/>
  <c r="CI220" i="25"/>
  <c r="CJ220" i="25"/>
  <c r="CN220" i="25" s="1"/>
  <c r="CK220" i="25"/>
  <c r="CI216" i="25"/>
  <c r="CJ216" i="25"/>
  <c r="CK216" i="25"/>
  <c r="CI212" i="25"/>
  <c r="CJ212" i="25"/>
  <c r="CN212" i="25" s="1"/>
  <c r="CK212" i="25"/>
  <c r="CI208" i="25"/>
  <c r="CJ208" i="25"/>
  <c r="CK208" i="25"/>
  <c r="CI204" i="25"/>
  <c r="CJ204" i="25"/>
  <c r="CN204" i="25" s="1"/>
  <c r="CK204" i="25"/>
  <c r="CI200" i="25"/>
  <c r="CJ200" i="25"/>
  <c r="CN200" i="25" s="1"/>
  <c r="CK200" i="25"/>
  <c r="CI196" i="25"/>
  <c r="CJ196" i="25"/>
  <c r="CN196" i="25" s="1"/>
  <c r="CK196" i="25"/>
  <c r="CI192" i="25"/>
  <c r="CJ192" i="25"/>
  <c r="CN192" i="25" s="1"/>
  <c r="CK192" i="25"/>
  <c r="CI188" i="25"/>
  <c r="CJ188" i="25"/>
  <c r="CN188" i="25" s="1"/>
  <c r="CK188" i="25"/>
  <c r="CI184" i="25"/>
  <c r="CJ184" i="25"/>
  <c r="CK184" i="25"/>
  <c r="CI180" i="25"/>
  <c r="CJ180" i="25"/>
  <c r="CN180" i="25" s="1"/>
  <c r="CK180" i="25"/>
  <c r="CI176" i="25"/>
  <c r="CJ176" i="25"/>
  <c r="CK176" i="25"/>
  <c r="CI172" i="25"/>
  <c r="CJ172" i="25"/>
  <c r="CN172" i="25" s="1"/>
  <c r="CK172" i="25"/>
  <c r="CI168" i="25"/>
  <c r="CJ168" i="25"/>
  <c r="CN168" i="25" s="1"/>
  <c r="CK168" i="25"/>
  <c r="CI164" i="25"/>
  <c r="CJ164" i="25"/>
  <c r="CK164" i="25"/>
  <c r="CI160" i="25"/>
  <c r="CJ160" i="25"/>
  <c r="CK160" i="25"/>
  <c r="CO160" i="25" s="1"/>
  <c r="CI156" i="25"/>
  <c r="CJ156" i="25"/>
  <c r="CN156" i="25" s="1"/>
  <c r="CK156" i="25"/>
  <c r="CI152" i="25"/>
  <c r="CJ152" i="25"/>
  <c r="CK152" i="25"/>
  <c r="CI148" i="25"/>
  <c r="CJ148" i="25"/>
  <c r="CK148" i="25"/>
  <c r="CI144" i="25"/>
  <c r="CJ144" i="25"/>
  <c r="CK144" i="25"/>
  <c r="CI140" i="25"/>
  <c r="CJ140" i="25"/>
  <c r="CN140" i="25" s="1"/>
  <c r="CK140" i="25"/>
  <c r="CI136" i="25"/>
  <c r="CJ136" i="25"/>
  <c r="CN136" i="25" s="1"/>
  <c r="CK136" i="25"/>
  <c r="CI132" i="25"/>
  <c r="CJ132" i="25"/>
  <c r="CN132" i="25" s="1"/>
  <c r="CK132" i="25"/>
  <c r="CI128" i="25"/>
  <c r="CJ128" i="25"/>
  <c r="CK128" i="25"/>
  <c r="CI124" i="25"/>
  <c r="CJ124" i="25"/>
  <c r="CN124" i="25" s="1"/>
  <c r="CK124" i="25"/>
  <c r="CI120" i="25"/>
  <c r="CJ120" i="25"/>
  <c r="CK120" i="25"/>
  <c r="CO120" i="25" s="1"/>
  <c r="CI116" i="25"/>
  <c r="CJ116" i="25"/>
  <c r="CN116" i="25" s="1"/>
  <c r="CK116" i="25"/>
  <c r="CI112" i="25"/>
  <c r="CK112" i="25"/>
  <c r="CJ112" i="25"/>
  <c r="CK108" i="25"/>
  <c r="CI108" i="25"/>
  <c r="CJ108" i="25"/>
  <c r="CN108" i="25" s="1"/>
  <c r="CK104" i="25"/>
  <c r="CJ104" i="25"/>
  <c r="CI104" i="25"/>
  <c r="CI100" i="25"/>
  <c r="CK100" i="25"/>
  <c r="CJ100" i="25"/>
  <c r="CI96" i="25"/>
  <c r="CJ96" i="25"/>
  <c r="CK96" i="25"/>
  <c r="CI92" i="25"/>
  <c r="CJ92" i="25"/>
  <c r="CN92" i="25" s="1"/>
  <c r="CK92" i="25"/>
  <c r="CI88" i="25"/>
  <c r="CJ88" i="25"/>
  <c r="CK88" i="25"/>
  <c r="CJ84" i="25"/>
  <c r="CK84" i="25"/>
  <c r="CI84" i="25"/>
  <c r="CJ80" i="25"/>
  <c r="CN80" i="25" s="1"/>
  <c r="CK80" i="25"/>
  <c r="CI80" i="25"/>
  <c r="CK76" i="25"/>
  <c r="CJ76" i="25"/>
  <c r="CN76" i="25" s="1"/>
  <c r="CI76" i="25"/>
  <c r="CK72" i="25"/>
  <c r="CJ72" i="25"/>
  <c r="CI72" i="25"/>
  <c r="CI68" i="25"/>
  <c r="CK68" i="25"/>
  <c r="CJ68" i="25"/>
  <c r="CI64" i="25"/>
  <c r="CJ64" i="25"/>
  <c r="CN64" i="25" s="1"/>
  <c r="CK64" i="25"/>
  <c r="CI60" i="25"/>
  <c r="CK60" i="25"/>
  <c r="CJ60" i="25"/>
  <c r="CN60" i="25" s="1"/>
  <c r="CI56" i="25"/>
  <c r="CK56" i="25"/>
  <c r="CJ56" i="25"/>
  <c r="CI52" i="25"/>
  <c r="CJ52" i="25"/>
  <c r="CN52" i="25" s="1"/>
  <c r="CK52" i="25"/>
  <c r="CI48" i="25"/>
  <c r="CJ48" i="25"/>
  <c r="CK48" i="25"/>
  <c r="CI44" i="25"/>
  <c r="CJ44" i="25"/>
  <c r="CN44" i="25" s="1"/>
  <c r="CK44" i="25"/>
  <c r="CI40" i="25"/>
  <c r="CJ40" i="25"/>
  <c r="CK40" i="25"/>
  <c r="CI36" i="25"/>
  <c r="CJ36" i="25"/>
  <c r="CN36" i="25" s="1"/>
  <c r="CK36" i="25"/>
  <c r="CI32" i="25"/>
  <c r="CJ32" i="25"/>
  <c r="CK32" i="25"/>
  <c r="CI28" i="25"/>
  <c r="CK28" i="25"/>
  <c r="CJ28" i="25"/>
  <c r="CI24" i="25"/>
  <c r="CK24" i="25"/>
  <c r="CJ24" i="25"/>
  <c r="CI20" i="25"/>
  <c r="CK20" i="25"/>
  <c r="CJ20" i="25"/>
  <c r="CN20" i="25" s="1"/>
  <c r="CI16" i="25"/>
  <c r="CJ16" i="25"/>
  <c r="CN16" i="25" s="1"/>
  <c r="CK16" i="25"/>
  <c r="CJ333" i="25"/>
  <c r="CI333" i="25"/>
  <c r="CK333" i="25"/>
  <c r="AI241" i="25"/>
  <c r="I241" i="25"/>
  <c r="CJ349" i="25"/>
  <c r="CN349" i="25" s="1"/>
  <c r="CK349" i="25"/>
  <c r="CI349" i="25"/>
  <c r="CJ345" i="25"/>
  <c r="CK345" i="25"/>
  <c r="CO345" i="25" s="1"/>
  <c r="CI345" i="25"/>
  <c r="CI341" i="25"/>
  <c r="CK341" i="25"/>
  <c r="CJ341" i="25"/>
  <c r="CI337" i="25"/>
  <c r="CK337" i="25"/>
  <c r="CJ337" i="25"/>
  <c r="CJ329" i="25"/>
  <c r="CN329" i="25" s="1"/>
  <c r="CI329" i="25"/>
  <c r="CK329" i="25"/>
  <c r="CO329" i="25" s="1"/>
  <c r="CJ325" i="25"/>
  <c r="CI325" i="25"/>
  <c r="CK325" i="25"/>
  <c r="CJ321" i="25"/>
  <c r="CI321" i="25"/>
  <c r="CK321" i="25"/>
  <c r="CJ317" i="25"/>
  <c r="CK317" i="25"/>
  <c r="CI317" i="25"/>
  <c r="CJ313" i="25"/>
  <c r="CK313" i="25"/>
  <c r="CI313" i="25"/>
  <c r="CK309" i="25"/>
  <c r="CI309" i="25"/>
  <c r="CJ309" i="25"/>
  <c r="CK305" i="25"/>
  <c r="CI305" i="25"/>
  <c r="CJ305" i="25"/>
  <c r="CJ301" i="25"/>
  <c r="CI301" i="25"/>
  <c r="CK301" i="25"/>
  <c r="CO301" i="25" s="1"/>
  <c r="CJ297" i="25"/>
  <c r="CN297" i="25" s="1"/>
  <c r="CI297" i="25"/>
  <c r="CK297" i="25"/>
  <c r="CO297" i="25" s="1"/>
  <c r="CK293" i="25"/>
  <c r="CO293" i="25" s="1"/>
  <c r="CI293" i="25"/>
  <c r="CJ293" i="25"/>
  <c r="CN293" i="25" s="1"/>
  <c r="CI289" i="25"/>
  <c r="CK289" i="25"/>
  <c r="CO289" i="25" s="1"/>
  <c r="CJ289" i="25"/>
  <c r="CN289" i="25" s="1"/>
  <c r="CJ285" i="25"/>
  <c r="CK285" i="25"/>
  <c r="CI285" i="25"/>
  <c r="CJ281" i="25"/>
  <c r="CN281" i="25" s="1"/>
  <c r="CK281" i="25"/>
  <c r="CO281" i="25" s="1"/>
  <c r="CI281" i="25"/>
  <c r="CI277" i="25"/>
  <c r="CK277" i="25"/>
  <c r="CO277" i="25" s="1"/>
  <c r="CJ277" i="25"/>
  <c r="CI273" i="25"/>
  <c r="CJ273" i="25"/>
  <c r="CK273" i="25"/>
  <c r="CO273" i="25" s="1"/>
  <c r="CJ269" i="25"/>
  <c r="CI269" i="25"/>
  <c r="CK269" i="25"/>
  <c r="CO269" i="25" s="1"/>
  <c r="CK265" i="25"/>
  <c r="CO265" i="25" s="1"/>
  <c r="CJ265" i="25"/>
  <c r="CI265" i="25"/>
  <c r="CK261" i="25"/>
  <c r="CI261" i="25"/>
  <c r="CJ261" i="25"/>
  <c r="CJ257" i="25"/>
  <c r="CN257" i="25" s="1"/>
  <c r="CI257" i="25"/>
  <c r="CK257" i="25"/>
  <c r="CO257" i="25" s="1"/>
  <c r="CI253" i="25"/>
  <c r="CJ253" i="25"/>
  <c r="CN253" i="25" s="1"/>
  <c r="CK253" i="25"/>
  <c r="CJ249" i="25"/>
  <c r="CN249" i="25" s="1"/>
  <c r="CK249" i="25"/>
  <c r="CI249" i="25"/>
  <c r="CJ245" i="25"/>
  <c r="CN245" i="25" s="1"/>
  <c r="CK245" i="25"/>
  <c r="CO245" i="25" s="1"/>
  <c r="CI245" i="25"/>
  <c r="CK241" i="25"/>
  <c r="CI241" i="25"/>
  <c r="CJ241" i="25"/>
  <c r="AE349" i="25"/>
  <c r="I349" i="25" s="1"/>
  <c r="H349" i="25"/>
  <c r="AE345" i="25"/>
  <c r="H345" i="25"/>
  <c r="AE341" i="25"/>
  <c r="I341" i="25" s="1"/>
  <c r="H341" i="25"/>
  <c r="AE337" i="25"/>
  <c r="H337" i="25"/>
  <c r="AE333" i="25"/>
  <c r="I333" i="25" s="1"/>
  <c r="H333" i="25"/>
  <c r="AE329" i="25"/>
  <c r="H329" i="25"/>
  <c r="AE325" i="25"/>
  <c r="I325" i="25" s="1"/>
  <c r="H325" i="25"/>
  <c r="AE321" i="25"/>
  <c r="I321" i="25" s="1"/>
  <c r="H321" i="25"/>
  <c r="AE317" i="25"/>
  <c r="I317" i="25" s="1"/>
  <c r="H317" i="25"/>
  <c r="AE313" i="25"/>
  <c r="H313" i="25"/>
  <c r="AE309" i="25"/>
  <c r="I309" i="25" s="1"/>
  <c r="H309" i="25"/>
  <c r="AE305" i="25"/>
  <c r="I305" i="25" s="1"/>
  <c r="H305" i="25"/>
  <c r="AE301" i="25"/>
  <c r="AF301" i="25" s="1"/>
  <c r="H301" i="25"/>
  <c r="AE297" i="25"/>
  <c r="H297" i="25"/>
  <c r="AE293" i="25"/>
  <c r="AH293" i="25" s="1"/>
  <c r="H293" i="25"/>
  <c r="AE289" i="25"/>
  <c r="H289" i="25"/>
  <c r="AE285" i="25"/>
  <c r="I285" i="25" s="1"/>
  <c r="H285" i="25"/>
  <c r="AE281" i="25"/>
  <c r="H281" i="25"/>
  <c r="AE277" i="25"/>
  <c r="I277" i="25" s="1"/>
  <c r="H277" i="25"/>
  <c r="AE273" i="25"/>
  <c r="AG273" i="25" s="1"/>
  <c r="H273" i="25"/>
  <c r="AE269" i="25"/>
  <c r="AH269" i="25" s="1"/>
  <c r="H269" i="25"/>
  <c r="AE265" i="25"/>
  <c r="H265" i="25"/>
  <c r="AE261" i="25"/>
  <c r="AG261" i="25" s="1"/>
  <c r="H261" i="25"/>
  <c r="AE257" i="25"/>
  <c r="H257" i="25"/>
  <c r="AE253" i="25"/>
  <c r="AH253" i="25" s="1"/>
  <c r="H253" i="25"/>
  <c r="AE249" i="25"/>
  <c r="AG249" i="25" s="1"/>
  <c r="H249" i="25"/>
  <c r="AE245" i="25"/>
  <c r="I245" i="25" s="1"/>
  <c r="H245" i="25"/>
  <c r="H241" i="25"/>
  <c r="AE304" i="25"/>
  <c r="I304" i="25" s="1"/>
  <c r="H304" i="25"/>
  <c r="H300" i="25"/>
  <c r="H296" i="25"/>
  <c r="H292" i="25"/>
  <c r="H284" i="25"/>
  <c r="AE276" i="25"/>
  <c r="I276" i="25" s="1"/>
  <c r="H276" i="25"/>
  <c r="H268" i="25"/>
  <c r="H260" i="25"/>
  <c r="AE256" i="25"/>
  <c r="I256" i="25" s="1"/>
  <c r="H256" i="25"/>
  <c r="AE252" i="25"/>
  <c r="I252" i="25" s="1"/>
  <c r="H252" i="25"/>
  <c r="AE244" i="25"/>
  <c r="AG244" i="25" s="1"/>
  <c r="H244" i="25"/>
  <c r="AE240" i="25"/>
  <c r="AI240" i="25" s="1"/>
  <c r="H240" i="25"/>
  <c r="I17" i="25"/>
  <c r="AE237" i="25"/>
  <c r="I237" i="25" s="1"/>
  <c r="H237" i="25"/>
  <c r="AE233" i="25"/>
  <c r="I233" i="25" s="1"/>
  <c r="H233" i="25"/>
  <c r="AE229" i="25"/>
  <c r="I229" i="25" s="1"/>
  <c r="H229" i="25"/>
  <c r="AE225" i="25"/>
  <c r="I225" i="25" s="1"/>
  <c r="H225" i="25"/>
  <c r="AE221" i="25"/>
  <c r="I221" i="25" s="1"/>
  <c r="H221" i="25"/>
  <c r="AE217" i="25"/>
  <c r="I217" i="25" s="1"/>
  <c r="H217" i="25"/>
  <c r="AE213" i="25"/>
  <c r="I213" i="25" s="1"/>
  <c r="H213" i="25"/>
  <c r="AE209" i="25"/>
  <c r="I209" i="25" s="1"/>
  <c r="H209" i="25"/>
  <c r="AE205" i="25"/>
  <c r="I205" i="25" s="1"/>
  <c r="H205" i="25"/>
  <c r="AE201" i="25"/>
  <c r="I201" i="25" s="1"/>
  <c r="H201" i="25"/>
  <c r="AE197" i="25"/>
  <c r="I197" i="25" s="1"/>
  <c r="H197" i="25"/>
  <c r="AE193" i="25"/>
  <c r="I193" i="25" s="1"/>
  <c r="H193" i="25"/>
  <c r="AE189" i="25"/>
  <c r="I189" i="25" s="1"/>
  <c r="H189" i="25"/>
  <c r="AE185" i="25"/>
  <c r="I185" i="25" s="1"/>
  <c r="H185" i="25"/>
  <c r="AE181" i="25"/>
  <c r="I181" i="25" s="1"/>
  <c r="H181" i="25"/>
  <c r="AE177" i="25"/>
  <c r="I177" i="25" s="1"/>
  <c r="H177" i="25"/>
  <c r="AE173" i="25"/>
  <c r="I173" i="25" s="1"/>
  <c r="H173" i="25"/>
  <c r="AE169" i="25"/>
  <c r="I169" i="25" s="1"/>
  <c r="H169" i="25"/>
  <c r="AE165" i="25"/>
  <c r="I165" i="25" s="1"/>
  <c r="H165" i="25"/>
  <c r="AE161" i="25"/>
  <c r="I161" i="25" s="1"/>
  <c r="H161" i="25"/>
  <c r="AE157" i="25"/>
  <c r="I157" i="25" s="1"/>
  <c r="H157" i="25"/>
  <c r="AE153" i="25"/>
  <c r="I153" i="25" s="1"/>
  <c r="H153" i="25"/>
  <c r="AE149" i="25"/>
  <c r="I149" i="25" s="1"/>
  <c r="H149" i="25"/>
  <c r="AE145" i="25"/>
  <c r="I145" i="25" s="1"/>
  <c r="H145" i="25"/>
  <c r="AE141" i="25"/>
  <c r="I141" i="25" s="1"/>
  <c r="H141" i="25"/>
  <c r="AE137" i="25"/>
  <c r="I137" i="25" s="1"/>
  <c r="H137" i="25"/>
  <c r="AE133" i="25"/>
  <c r="I133" i="25" s="1"/>
  <c r="H133" i="25"/>
  <c r="AE129" i="25"/>
  <c r="I129" i="25" s="1"/>
  <c r="H129" i="25"/>
  <c r="AE125" i="25"/>
  <c r="I125" i="25" s="1"/>
  <c r="H125" i="25"/>
  <c r="AE121" i="25"/>
  <c r="I121" i="25" s="1"/>
  <c r="H121" i="25"/>
  <c r="AE117" i="25"/>
  <c r="I117" i="25" s="1"/>
  <c r="H117" i="25"/>
  <c r="AE113" i="25"/>
  <c r="I113" i="25" s="1"/>
  <c r="H113" i="25"/>
  <c r="AE109" i="25"/>
  <c r="I109" i="25" s="1"/>
  <c r="H109" i="25"/>
  <c r="AE105" i="25"/>
  <c r="I105" i="25" s="1"/>
  <c r="H105" i="25"/>
  <c r="AE101" i="25"/>
  <c r="I101" i="25" s="1"/>
  <c r="H101" i="25"/>
  <c r="AE97" i="25"/>
  <c r="I97" i="25" s="1"/>
  <c r="H97" i="25"/>
  <c r="AE93" i="25"/>
  <c r="I93" i="25" s="1"/>
  <c r="H93" i="25"/>
  <c r="AE89" i="25"/>
  <c r="I89" i="25" s="1"/>
  <c r="H89" i="25"/>
  <c r="AE85" i="25"/>
  <c r="I85" i="25" s="1"/>
  <c r="H85" i="25"/>
  <c r="AE81" i="25"/>
  <c r="I81" i="25" s="1"/>
  <c r="H81" i="25"/>
  <c r="AE77" i="25"/>
  <c r="H77" i="25"/>
  <c r="AE73" i="25"/>
  <c r="I73" i="25" s="1"/>
  <c r="H73" i="25"/>
  <c r="I69" i="25"/>
  <c r="H69" i="25"/>
  <c r="AE65" i="25"/>
  <c r="I65" i="25" s="1"/>
  <c r="H65" i="25"/>
  <c r="AE61" i="25"/>
  <c r="I61" i="25" s="1"/>
  <c r="H61" i="25"/>
  <c r="AE57" i="25"/>
  <c r="I57" i="25" s="1"/>
  <c r="H57" i="25"/>
  <c r="AE53" i="25"/>
  <c r="I53" i="25" s="1"/>
  <c r="H53" i="25"/>
  <c r="AE49" i="25"/>
  <c r="I49" i="25" s="1"/>
  <c r="H49" i="25"/>
  <c r="AE45" i="25"/>
  <c r="I45" i="25" s="1"/>
  <c r="H45" i="25"/>
  <c r="AE41" i="25"/>
  <c r="I41" i="25" s="1"/>
  <c r="H41" i="25"/>
  <c r="AE37" i="25"/>
  <c r="I37" i="25" s="1"/>
  <c r="H37" i="25"/>
  <c r="AE33" i="25"/>
  <c r="I33" i="25" s="1"/>
  <c r="H33" i="25"/>
  <c r="AE29" i="25"/>
  <c r="I29" i="25" s="1"/>
  <c r="H29" i="25"/>
  <c r="AE25" i="25"/>
  <c r="I25" i="25" s="1"/>
  <c r="H25" i="25"/>
  <c r="AE21" i="25"/>
  <c r="I21" i="25" s="1"/>
  <c r="H21" i="25"/>
  <c r="H17" i="25"/>
  <c r="CI238" i="25"/>
  <c r="CJ238" i="25"/>
  <c r="CN238" i="25" s="1"/>
  <c r="CK238" i="25"/>
  <c r="CI234" i="25"/>
  <c r="CJ234" i="25"/>
  <c r="CN234" i="25" s="1"/>
  <c r="CK234" i="25"/>
  <c r="CI230" i="25"/>
  <c r="CJ230" i="25"/>
  <c r="CN230" i="25" s="1"/>
  <c r="CK230" i="25"/>
  <c r="CI226" i="25"/>
  <c r="CJ226" i="25"/>
  <c r="CK226" i="25"/>
  <c r="CI222" i="25"/>
  <c r="CJ222" i="25"/>
  <c r="CN222" i="25" s="1"/>
  <c r="CK222" i="25"/>
  <c r="CI218" i="25"/>
  <c r="CJ218" i="25"/>
  <c r="CN218" i="25" s="1"/>
  <c r="CK218" i="25"/>
  <c r="CI214" i="25"/>
  <c r="CJ214" i="25"/>
  <c r="CN214" i="25" s="1"/>
  <c r="CK214" i="25"/>
  <c r="CI210" i="25"/>
  <c r="CJ210" i="25"/>
  <c r="CK210" i="25"/>
  <c r="CI206" i="25"/>
  <c r="CJ206" i="25"/>
  <c r="CN206" i="25" s="1"/>
  <c r="CK206" i="25"/>
  <c r="CI202" i="25"/>
  <c r="CJ202" i="25"/>
  <c r="CK202" i="25"/>
  <c r="CI198" i="25"/>
  <c r="CJ198" i="25"/>
  <c r="CN198" i="25" s="1"/>
  <c r="CK198" i="25"/>
  <c r="CI194" i="25"/>
  <c r="CJ194" i="25"/>
  <c r="CN194" i="25" s="1"/>
  <c r="CK194" i="25"/>
  <c r="CI190" i="25"/>
  <c r="CJ190" i="25"/>
  <c r="CN190" i="25" s="1"/>
  <c r="CK190" i="25"/>
  <c r="CO190" i="25" s="1"/>
  <c r="CI186" i="25"/>
  <c r="CJ186" i="25"/>
  <c r="CK186" i="25"/>
  <c r="CI182" i="25"/>
  <c r="CJ182" i="25"/>
  <c r="CN182" i="25" s="1"/>
  <c r="CK182" i="25"/>
  <c r="CI178" i="25"/>
  <c r="CJ178" i="25"/>
  <c r="CN178" i="25" s="1"/>
  <c r="CK178" i="25"/>
  <c r="CI174" i="25"/>
  <c r="CJ174" i="25"/>
  <c r="CN174" i="25" s="1"/>
  <c r="CK174" i="25"/>
  <c r="CI170" i="25"/>
  <c r="CJ170" i="25"/>
  <c r="CK170" i="25"/>
  <c r="CO170" i="25" s="1"/>
  <c r="CI166" i="25"/>
  <c r="CJ166" i="25"/>
  <c r="CN166" i="25" s="1"/>
  <c r="CK166" i="25"/>
  <c r="CI162" i="25"/>
  <c r="CJ162" i="25"/>
  <c r="CN162" i="25" s="1"/>
  <c r="CK162" i="25"/>
  <c r="CO162" i="25" s="1"/>
  <c r="CI158" i="25"/>
  <c r="CJ158" i="25"/>
  <c r="CN158" i="25" s="1"/>
  <c r="CK158" i="25"/>
  <c r="CO158" i="25" s="1"/>
  <c r="CI154" i="25"/>
  <c r="CJ154" i="25"/>
  <c r="CK154" i="25"/>
  <c r="CI150" i="25"/>
  <c r="CJ150" i="25"/>
  <c r="CK150" i="25"/>
  <c r="CI146" i="25"/>
  <c r="CJ146" i="25"/>
  <c r="CK146" i="25"/>
  <c r="CI142" i="25"/>
  <c r="CJ142" i="25"/>
  <c r="CK142" i="25"/>
  <c r="CI138" i="25"/>
  <c r="CJ138" i="25"/>
  <c r="CK138" i="25"/>
  <c r="CI134" i="25"/>
  <c r="CJ134" i="25"/>
  <c r="CK134" i="25"/>
  <c r="CI130" i="25"/>
  <c r="CJ130" i="25"/>
  <c r="CN130" i="25" s="1"/>
  <c r="CK130" i="25"/>
  <c r="CI126" i="25"/>
  <c r="CJ126" i="25"/>
  <c r="CN126" i="25" s="1"/>
  <c r="CK126" i="25"/>
  <c r="CI122" i="25"/>
  <c r="CJ122" i="25"/>
  <c r="CK122" i="25"/>
  <c r="CI118" i="25"/>
  <c r="CJ118" i="25"/>
  <c r="CK118" i="25"/>
  <c r="CI114" i="25"/>
  <c r="CJ114" i="25"/>
  <c r="CN114" i="25" s="1"/>
  <c r="CK114" i="25"/>
  <c r="CO114" i="25" s="1"/>
  <c r="CI110" i="25"/>
  <c r="CJ110" i="25"/>
  <c r="CN110" i="25" s="1"/>
  <c r="CK110" i="25"/>
  <c r="CI106" i="25"/>
  <c r="CJ106" i="25"/>
  <c r="CN106" i="25" s="1"/>
  <c r="CK106" i="25"/>
  <c r="CO106" i="25" s="1"/>
  <c r="CJ102" i="25"/>
  <c r="CN102" i="25" s="1"/>
  <c r="CK102" i="25"/>
  <c r="CI102" i="25"/>
  <c r="CJ98" i="25"/>
  <c r="CN98" i="25" s="1"/>
  <c r="CK98" i="25"/>
  <c r="CI98" i="25"/>
  <c r="CJ94" i="25"/>
  <c r="CI94" i="25"/>
  <c r="CK94" i="25"/>
  <c r="CO94" i="25" s="1"/>
  <c r="CK90" i="25"/>
  <c r="CJ90" i="25"/>
  <c r="CI90" i="25"/>
  <c r="CJ86" i="25"/>
  <c r="CI86" i="25"/>
  <c r="CK86" i="25"/>
  <c r="CI82" i="25"/>
  <c r="CK82" i="25"/>
  <c r="CJ82" i="25"/>
  <c r="CJ78" i="25"/>
  <c r="CK78" i="25"/>
  <c r="CI78" i="25"/>
  <c r="CI74" i="25"/>
  <c r="CJ74" i="25"/>
  <c r="CK74" i="25"/>
  <c r="CJ70" i="25"/>
  <c r="CK70" i="25"/>
  <c r="CI70" i="25"/>
  <c r="CI66" i="25"/>
  <c r="CJ66" i="25"/>
  <c r="CK66" i="25"/>
  <c r="CK62" i="25"/>
  <c r="CJ62" i="25"/>
  <c r="CN62" i="25" s="1"/>
  <c r="CI62" i="25"/>
  <c r="CI58" i="25"/>
  <c r="CJ58" i="25"/>
  <c r="CK58" i="25"/>
  <c r="CK54" i="25"/>
  <c r="CI54" i="25"/>
  <c r="CJ54" i="25"/>
  <c r="CI50" i="25"/>
  <c r="CJ50" i="25"/>
  <c r="CK50" i="25"/>
  <c r="CK46" i="25"/>
  <c r="CI46" i="25"/>
  <c r="CJ46" i="25"/>
  <c r="CI42" i="25"/>
  <c r="CK42" i="25"/>
  <c r="CJ42" i="25"/>
  <c r="CN42" i="25" s="1"/>
  <c r="CK38" i="25"/>
  <c r="CI38" i="25"/>
  <c r="CJ38" i="25"/>
  <c r="CN38" i="25" s="1"/>
  <c r="CI34" i="25"/>
  <c r="CJ34" i="25"/>
  <c r="CN34" i="25" s="1"/>
  <c r="CK34" i="25"/>
  <c r="CK30" i="25"/>
  <c r="CO30" i="25" s="1"/>
  <c r="CJ30" i="25"/>
  <c r="CI30" i="25"/>
  <c r="CI26" i="25"/>
  <c r="CJ26" i="25"/>
  <c r="CK26" i="25"/>
  <c r="CK22" i="25"/>
  <c r="CI22" i="25"/>
  <c r="CJ22" i="25"/>
  <c r="CI18" i="25"/>
  <c r="CJ18" i="25"/>
  <c r="CN18" i="25" s="1"/>
  <c r="CK18" i="25"/>
  <c r="AE264" i="25"/>
  <c r="AE296" i="25"/>
  <c r="I296" i="25" s="1"/>
  <c r="AE312" i="25"/>
  <c r="I312" i="25" s="1"/>
  <c r="CI239" i="25"/>
  <c r="CJ239" i="25"/>
  <c r="CK239" i="25"/>
  <c r="CJ347" i="25"/>
  <c r="CK347" i="25"/>
  <c r="CI347" i="25"/>
  <c r="CI343" i="25"/>
  <c r="CJ343" i="25"/>
  <c r="CN343" i="25" s="1"/>
  <c r="CK343" i="25"/>
  <c r="CO343" i="25" s="1"/>
  <c r="CK339" i="25"/>
  <c r="CI339" i="25"/>
  <c r="CJ339" i="25"/>
  <c r="CK335" i="25"/>
  <c r="CJ335" i="25"/>
  <c r="CI335" i="25"/>
  <c r="CJ331" i="25"/>
  <c r="CI331" i="25"/>
  <c r="CK331" i="25"/>
  <c r="CI327" i="25"/>
  <c r="CK327" i="25"/>
  <c r="CJ327" i="25"/>
  <c r="CJ323" i="25"/>
  <c r="CK323" i="25"/>
  <c r="CI323" i="25"/>
  <c r="CK319" i="25"/>
  <c r="CI319" i="25"/>
  <c r="CJ319" i="25"/>
  <c r="CJ315" i="25"/>
  <c r="CK315" i="25"/>
  <c r="CI315" i="25"/>
  <c r="CI311" i="25"/>
  <c r="CJ311" i="25"/>
  <c r="CK311" i="25"/>
  <c r="CI307" i="25"/>
  <c r="CK307" i="25"/>
  <c r="CJ307" i="25"/>
  <c r="CK303" i="25"/>
  <c r="CJ303" i="25"/>
  <c r="CI303" i="25"/>
  <c r="CJ299" i="25"/>
  <c r="CI299" i="25"/>
  <c r="CK299" i="25"/>
  <c r="CJ295" i="25"/>
  <c r="CI295" i="25"/>
  <c r="CK295" i="25"/>
  <c r="CJ291" i="25"/>
  <c r="CI291" i="25"/>
  <c r="CK291" i="25"/>
  <c r="CK287" i="25"/>
  <c r="CI287" i="25"/>
  <c r="CJ287" i="25"/>
  <c r="CK283" i="25"/>
  <c r="CO283" i="25" s="1"/>
  <c r="CI283" i="25"/>
  <c r="CJ283" i="25"/>
  <c r="CN283" i="25" s="1"/>
  <c r="CJ279" i="25"/>
  <c r="CK279" i="25"/>
  <c r="CI279" i="25"/>
  <c r="CI275" i="25"/>
  <c r="CJ275" i="25"/>
  <c r="CK275" i="25"/>
  <c r="CK271" i="25"/>
  <c r="CJ271" i="25"/>
  <c r="CI271" i="25"/>
  <c r="CK267" i="25"/>
  <c r="CJ267" i="25"/>
  <c r="CI267" i="25"/>
  <c r="CI263" i="25"/>
  <c r="CK263" i="25"/>
  <c r="CJ263" i="25"/>
  <c r="CJ259" i="25"/>
  <c r="CK259" i="25"/>
  <c r="CI259" i="25"/>
  <c r="CJ255" i="25"/>
  <c r="CK255" i="25"/>
  <c r="CI255" i="25"/>
  <c r="CJ251" i="25"/>
  <c r="CK251" i="25"/>
  <c r="CI251" i="25"/>
  <c r="CI247" i="25"/>
  <c r="CJ247" i="25"/>
  <c r="CK247" i="25"/>
  <c r="CK243" i="25"/>
  <c r="CI243" i="25"/>
  <c r="CJ243" i="25"/>
  <c r="AE239" i="25"/>
  <c r="I239" i="25" s="1"/>
  <c r="H239" i="25"/>
  <c r="AE347" i="25"/>
  <c r="I347" i="25" s="1"/>
  <c r="H347" i="25"/>
  <c r="AE343" i="25"/>
  <c r="AG343" i="25" s="1"/>
  <c r="H343" i="25"/>
  <c r="AE339" i="25"/>
  <c r="I339" i="25" s="1"/>
  <c r="H339" i="25"/>
  <c r="AE335" i="25"/>
  <c r="AG335" i="25" s="1"/>
  <c r="H335" i="25"/>
  <c r="AE331" i="25"/>
  <c r="I331" i="25" s="1"/>
  <c r="H331" i="25"/>
  <c r="AE327" i="25"/>
  <c r="I327" i="25" s="1"/>
  <c r="H327" i="25"/>
  <c r="AE323" i="25"/>
  <c r="I323" i="25" s="1"/>
  <c r="H323" i="25"/>
  <c r="AE319" i="25"/>
  <c r="I319" i="25" s="1"/>
  <c r="H319" i="25"/>
  <c r="AE315" i="25"/>
  <c r="I315" i="25" s="1"/>
  <c r="H315" i="25"/>
  <c r="AE311" i="25"/>
  <c r="AF311" i="25" s="1"/>
  <c r="H311" i="25"/>
  <c r="AE307" i="25"/>
  <c r="I307" i="25" s="1"/>
  <c r="H307" i="25"/>
  <c r="AE303" i="25"/>
  <c r="I303" i="25" s="1"/>
  <c r="H303" i="25"/>
  <c r="AE299" i="25"/>
  <c r="I299" i="25" s="1"/>
  <c r="H299" i="25"/>
  <c r="AE295" i="25"/>
  <c r="I295" i="25" s="1"/>
  <c r="H295" i="25"/>
  <c r="AE291" i="25"/>
  <c r="I291" i="25" s="1"/>
  <c r="H291" i="25"/>
  <c r="AE287" i="25"/>
  <c r="I287" i="25" s="1"/>
  <c r="H287" i="25"/>
  <c r="AE283" i="25"/>
  <c r="H283" i="25"/>
  <c r="AE279" i="25"/>
  <c r="I279" i="25" s="1"/>
  <c r="H279" i="25"/>
  <c r="AE275" i="25"/>
  <c r="I275" i="25" s="1"/>
  <c r="H275" i="25"/>
  <c r="AE271" i="25"/>
  <c r="I271" i="25" s="1"/>
  <c r="H271" i="25"/>
  <c r="AE267" i="25"/>
  <c r="I267" i="25" s="1"/>
  <c r="H267" i="25"/>
  <c r="AE263" i="25"/>
  <c r="I263" i="25" s="1"/>
  <c r="H263" i="25"/>
  <c r="AE259" i="25"/>
  <c r="I259" i="25" s="1"/>
  <c r="H259" i="25"/>
  <c r="AE255" i="25"/>
  <c r="I255" i="25" s="1"/>
  <c r="H255" i="25"/>
  <c r="AE251" i="25"/>
  <c r="I251" i="25" s="1"/>
  <c r="H251" i="25"/>
  <c r="AE247" i="25"/>
  <c r="I247" i="25" s="1"/>
  <c r="H247" i="25"/>
  <c r="AE243" i="25"/>
  <c r="I243" i="25" s="1"/>
  <c r="H243" i="25"/>
  <c r="I15" i="25"/>
  <c r="T9" i="37"/>
  <c r="BI262" i="25"/>
  <c r="BJ262" i="25"/>
  <c r="BN262" i="25" s="1"/>
  <c r="BJ304" i="25"/>
  <c r="BM304" i="25" s="1"/>
  <c r="BK336" i="25"/>
  <c r="BO336" i="25" s="1"/>
  <c r="BI241" i="25"/>
  <c r="BI316" i="25"/>
  <c r="BI324" i="25"/>
  <c r="BJ254" i="25"/>
  <c r="BN254" i="25" s="1"/>
  <c r="BI304" i="25"/>
  <c r="BJ316" i="25"/>
  <c r="BM316" i="25" s="1"/>
  <c r="BJ324" i="25"/>
  <c r="BM324" i="25" s="1"/>
  <c r="BJ336" i="25"/>
  <c r="BJ344" i="25"/>
  <c r="BN344" i="25" s="1"/>
  <c r="BK344" i="25"/>
  <c r="BO344" i="25" s="1"/>
  <c r="BI344" i="25"/>
  <c r="BJ347" i="25"/>
  <c r="BN347" i="25" s="1"/>
  <c r="BK347" i="25"/>
  <c r="BO347" i="25" s="1"/>
  <c r="BI347" i="25"/>
  <c r="BJ243" i="25"/>
  <c r="BL243" i="25" s="1"/>
  <c r="BK310" i="25"/>
  <c r="BO310" i="25" s="1"/>
  <c r="BJ310" i="25"/>
  <c r="BI310" i="25"/>
  <c r="BK312" i="25"/>
  <c r="BO312" i="25" s="1"/>
  <c r="BJ312" i="25"/>
  <c r="BI312" i="25"/>
  <c r="BN326" i="25"/>
  <c r="BI338" i="25"/>
  <c r="BJ338" i="25"/>
  <c r="BL338" i="25" s="1"/>
  <c r="BI330" i="25"/>
  <c r="BR330" i="25" s="1"/>
  <c r="BK330" i="25"/>
  <c r="BO330" i="25" s="1"/>
  <c r="BK326" i="25"/>
  <c r="BO326" i="25" s="1"/>
  <c r="BI326" i="25"/>
  <c r="BR326" i="25" s="1"/>
  <c r="BK322" i="25"/>
  <c r="BO322" i="25" s="1"/>
  <c r="BJ322" i="25"/>
  <c r="BR322" i="25" s="1"/>
  <c r="BK314" i="25"/>
  <c r="BO314" i="25" s="1"/>
  <c r="BJ314" i="25"/>
  <c r="BR314" i="25" s="1"/>
  <c r="BK302" i="25"/>
  <c r="BO302" i="25" s="1"/>
  <c r="BJ302" i="25"/>
  <c r="BI294" i="25"/>
  <c r="BJ294" i="25"/>
  <c r="BN294" i="25" s="1"/>
  <c r="BI290" i="25"/>
  <c r="BJ290" i="25"/>
  <c r="BN290" i="25" s="1"/>
  <c r="BI278" i="25"/>
  <c r="BJ278" i="25"/>
  <c r="BN278" i="25" s="1"/>
  <c r="BI266" i="25"/>
  <c r="BR266" i="25" s="1"/>
  <c r="BK266" i="25"/>
  <c r="BO266" i="25" s="1"/>
  <c r="BI258" i="25"/>
  <c r="BR258" i="25" s="1"/>
  <c r="BK258" i="25"/>
  <c r="BO258" i="25" s="1"/>
  <c r="BI250" i="25"/>
  <c r="BJ250" i="25"/>
  <c r="BN250" i="25" s="1"/>
  <c r="BK245" i="25"/>
  <c r="BO245" i="25" s="1"/>
  <c r="BJ245" i="25"/>
  <c r="BR245" i="25" s="1"/>
  <c r="BI343" i="25"/>
  <c r="BR343" i="25" s="1"/>
  <c r="BK343" i="25"/>
  <c r="BO343" i="25" s="1"/>
  <c r="BI274" i="25"/>
  <c r="BK274" i="25"/>
  <c r="BO274" i="25" s="1"/>
  <c r="BJ274" i="25"/>
  <c r="BN274" i="25" s="1"/>
  <c r="BI298" i="25"/>
  <c r="BJ298" i="25"/>
  <c r="BN298" i="25" s="1"/>
  <c r="BI328" i="25"/>
  <c r="BK328" i="25"/>
  <c r="BO328" i="25" s="1"/>
  <c r="BJ328" i="25"/>
  <c r="BN328" i="25" s="1"/>
  <c r="BJ270" i="25"/>
  <c r="BN270" i="25" s="1"/>
  <c r="BJ286" i="25"/>
  <c r="BN286" i="25" s="1"/>
  <c r="BI306" i="25"/>
  <c r="BI308" i="25"/>
  <c r="BI318" i="25"/>
  <c r="BI320" i="25"/>
  <c r="BK286" i="25"/>
  <c r="BO286" i="25" s="1"/>
  <c r="BJ306" i="25"/>
  <c r="BJ308" i="25"/>
  <c r="BJ318" i="25"/>
  <c r="BJ320" i="25"/>
  <c r="BJ242" i="25"/>
  <c r="BI242" i="25"/>
  <c r="BK242" i="25"/>
  <c r="BO242" i="25" s="1"/>
  <c r="BJ246" i="25"/>
  <c r="BI246" i="25"/>
  <c r="BK246" i="25"/>
  <c r="BO246" i="25" s="1"/>
  <c r="BK247" i="25"/>
  <c r="BO247" i="25" s="1"/>
  <c r="BI247" i="25"/>
  <c r="BJ247" i="25"/>
  <c r="BK251" i="25"/>
  <c r="BO251" i="25" s="1"/>
  <c r="BJ251" i="25"/>
  <c r="BI251" i="25"/>
  <c r="BN266" i="25"/>
  <c r="BK287" i="25"/>
  <c r="BO287" i="25" s="1"/>
  <c r="BJ287" i="25"/>
  <c r="BI287" i="25"/>
  <c r="BI309" i="25"/>
  <c r="BJ309" i="25"/>
  <c r="BK309" i="25"/>
  <c r="BO309" i="25" s="1"/>
  <c r="BI239" i="25"/>
  <c r="AH268" i="25"/>
  <c r="AI268" i="25"/>
  <c r="AG268" i="25"/>
  <c r="AF268" i="25"/>
  <c r="BK275" i="25"/>
  <c r="BO275" i="25" s="1"/>
  <c r="BJ275" i="25"/>
  <c r="BI275" i="25"/>
  <c r="BI276" i="25"/>
  <c r="BJ276" i="25"/>
  <c r="BK279" i="25"/>
  <c r="BO279" i="25" s="1"/>
  <c r="BJ279" i="25"/>
  <c r="BI279" i="25"/>
  <c r="BI280" i="25"/>
  <c r="BJ280" i="25"/>
  <c r="BK280" i="25"/>
  <c r="BO280" i="25" s="1"/>
  <c r="BK283" i="25"/>
  <c r="BO283" i="25" s="1"/>
  <c r="BJ283" i="25"/>
  <c r="BI283" i="25"/>
  <c r="BK291" i="25"/>
  <c r="BO291" i="25" s="1"/>
  <c r="BJ291" i="25"/>
  <c r="BI291" i="25"/>
  <c r="BI313" i="25"/>
  <c r="BJ313" i="25"/>
  <c r="BK313" i="25"/>
  <c r="BO313" i="25" s="1"/>
  <c r="BJ239" i="25"/>
  <c r="BJ240" i="25"/>
  <c r="BI240" i="25"/>
  <c r="AG241" i="25"/>
  <c r="AF241" i="25"/>
  <c r="BJ244" i="25"/>
  <c r="BI244" i="25"/>
  <c r="BK255" i="25"/>
  <c r="BO255" i="25" s="1"/>
  <c r="BJ255" i="25"/>
  <c r="BI255" i="25"/>
  <c r="BI256" i="25"/>
  <c r="BJ256" i="25"/>
  <c r="BK263" i="25"/>
  <c r="BO263" i="25" s="1"/>
  <c r="BJ263" i="25"/>
  <c r="BI263" i="25"/>
  <c r="AH284" i="25"/>
  <c r="AI284" i="25"/>
  <c r="AG284" i="25"/>
  <c r="AF284" i="25"/>
  <c r="AH292" i="25"/>
  <c r="AI292" i="25"/>
  <c r="AG292" i="25"/>
  <c r="AF292" i="25"/>
  <c r="BI325" i="25"/>
  <c r="BJ325" i="25"/>
  <c r="BK325" i="25"/>
  <c r="BO325" i="25" s="1"/>
  <c r="BK240" i="25"/>
  <c r="BO240" i="25" s="1"/>
  <c r="AH241" i="25"/>
  <c r="BJ241" i="25"/>
  <c r="BI243" i="25"/>
  <c r="BK244" i="25"/>
  <c r="BO244" i="25" s="1"/>
  <c r="BK249" i="25"/>
  <c r="BO249" i="25" s="1"/>
  <c r="BJ249" i="25"/>
  <c r="BR249" i="25" s="1"/>
  <c r="BK256" i="25"/>
  <c r="BO256" i="25" s="1"/>
  <c r="BI260" i="25"/>
  <c r="BJ260" i="25"/>
  <c r="BK260" i="25"/>
  <c r="BO260" i="25" s="1"/>
  <c r="BK267" i="25"/>
  <c r="BO267" i="25" s="1"/>
  <c r="BJ267" i="25"/>
  <c r="BI267" i="25"/>
  <c r="BI268" i="25"/>
  <c r="BJ268" i="25"/>
  <c r="BI272" i="25"/>
  <c r="BJ272" i="25"/>
  <c r="BK272" i="25"/>
  <c r="BO272" i="25" s="1"/>
  <c r="BN300" i="25"/>
  <c r="BJ248" i="25"/>
  <c r="BI248" i="25"/>
  <c r="BI252" i="25"/>
  <c r="BJ252" i="25"/>
  <c r="BN258" i="25"/>
  <c r="BK259" i="25"/>
  <c r="BO259" i="25" s="1"/>
  <c r="BJ259" i="25"/>
  <c r="BI259" i="25"/>
  <c r="AH260" i="25"/>
  <c r="AI260" i="25"/>
  <c r="AG260" i="25"/>
  <c r="AF260" i="25"/>
  <c r="BI264" i="25"/>
  <c r="BJ264" i="25"/>
  <c r="BK271" i="25"/>
  <c r="BO271" i="25" s="1"/>
  <c r="BJ271" i="25"/>
  <c r="BI271" i="25"/>
  <c r="AH272" i="25"/>
  <c r="AI272" i="25"/>
  <c r="AG272" i="25"/>
  <c r="AF272" i="25"/>
  <c r="BN282" i="25"/>
  <c r="BI284" i="25"/>
  <c r="BJ284" i="25"/>
  <c r="BK295" i="25"/>
  <c r="BO295" i="25" s="1"/>
  <c r="BJ295" i="25"/>
  <c r="BI295" i="25"/>
  <c r="BI317" i="25"/>
  <c r="BJ317" i="25"/>
  <c r="BK317" i="25"/>
  <c r="BO317" i="25" s="1"/>
  <c r="BI340" i="25"/>
  <c r="BJ340" i="25"/>
  <c r="BK340" i="25"/>
  <c r="BO340" i="25" s="1"/>
  <c r="BI305" i="25"/>
  <c r="BJ305" i="25"/>
  <c r="BK305" i="25"/>
  <c r="BO305" i="25" s="1"/>
  <c r="BI321" i="25"/>
  <c r="BJ321" i="25"/>
  <c r="BK321" i="25"/>
  <c r="BO321" i="25" s="1"/>
  <c r="BK337" i="25"/>
  <c r="BO337" i="25" s="1"/>
  <c r="BJ337" i="25"/>
  <c r="BI337" i="25"/>
  <c r="BK253" i="25"/>
  <c r="BO253" i="25" s="1"/>
  <c r="BJ253" i="25"/>
  <c r="BR253" i="25" s="1"/>
  <c r="BK254" i="25"/>
  <c r="BO254" i="25" s="1"/>
  <c r="BK261" i="25"/>
  <c r="BO261" i="25" s="1"/>
  <c r="BJ261" i="25"/>
  <c r="BK262" i="25"/>
  <c r="BO262" i="25" s="1"/>
  <c r="BK269" i="25"/>
  <c r="BO269" i="25" s="1"/>
  <c r="BJ269" i="25"/>
  <c r="BK270" i="25"/>
  <c r="BO270" i="25" s="1"/>
  <c r="BK277" i="25"/>
  <c r="BO277" i="25" s="1"/>
  <c r="BJ277" i="25"/>
  <c r="BK278" i="25"/>
  <c r="BO278" i="25" s="1"/>
  <c r="BK285" i="25"/>
  <c r="BO285" i="25" s="1"/>
  <c r="BJ285" i="25"/>
  <c r="BR285" i="25" s="1"/>
  <c r="BI288" i="25"/>
  <c r="BJ288" i="25"/>
  <c r="BI292" i="25"/>
  <c r="BJ292" i="25"/>
  <c r="BK299" i="25"/>
  <c r="BO299" i="25" s="1"/>
  <c r="BJ299" i="25"/>
  <c r="BI299" i="25"/>
  <c r="AH300" i="25"/>
  <c r="AI300" i="25"/>
  <c r="AG300" i="25"/>
  <c r="AF300" i="25"/>
  <c r="BI307" i="25"/>
  <c r="BJ307" i="25"/>
  <c r="BK307" i="25"/>
  <c r="BO307" i="25" s="1"/>
  <c r="BI315" i="25"/>
  <c r="BJ315" i="25"/>
  <c r="BK315" i="25"/>
  <c r="BO315" i="25" s="1"/>
  <c r="BI323" i="25"/>
  <c r="BJ323" i="25"/>
  <c r="BK323" i="25"/>
  <c r="BO323" i="25" s="1"/>
  <c r="BN334" i="25"/>
  <c r="BJ350" i="25"/>
  <c r="BI350" i="25"/>
  <c r="BK350" i="25"/>
  <c r="BO350" i="25" s="1"/>
  <c r="BK257" i="25"/>
  <c r="BO257" i="25" s="1"/>
  <c r="BJ257" i="25"/>
  <c r="BR257" i="25" s="1"/>
  <c r="BK265" i="25"/>
  <c r="BO265" i="25" s="1"/>
  <c r="BJ265" i="25"/>
  <c r="BK273" i="25"/>
  <c r="BO273" i="25" s="1"/>
  <c r="BJ273" i="25"/>
  <c r="BR273" i="25" s="1"/>
  <c r="BI282" i="25"/>
  <c r="BR282" i="25" s="1"/>
  <c r="BK282" i="25"/>
  <c r="BO282" i="25" s="1"/>
  <c r="BI296" i="25"/>
  <c r="BJ296" i="25"/>
  <c r="BI303" i="25"/>
  <c r="BJ303" i="25"/>
  <c r="BK303" i="25"/>
  <c r="BO303" i="25" s="1"/>
  <c r="BI311" i="25"/>
  <c r="BJ311" i="25"/>
  <c r="BK311" i="25"/>
  <c r="BO311" i="25" s="1"/>
  <c r="BI319" i="25"/>
  <c r="BJ319" i="25"/>
  <c r="BK319" i="25"/>
  <c r="BO319" i="25" s="1"/>
  <c r="BI327" i="25"/>
  <c r="BJ327" i="25"/>
  <c r="BK327" i="25"/>
  <c r="BO327" i="25" s="1"/>
  <c r="BK329" i="25"/>
  <c r="BO329" i="25" s="1"/>
  <c r="BJ329" i="25"/>
  <c r="BI329" i="25"/>
  <c r="BI332" i="25"/>
  <c r="BJ332" i="25"/>
  <c r="BK332" i="25"/>
  <c r="BO332" i="25" s="1"/>
  <c r="BK293" i="25"/>
  <c r="BO293" i="25" s="1"/>
  <c r="BJ293" i="25"/>
  <c r="BR293" i="25" s="1"/>
  <c r="BI300" i="25"/>
  <c r="BR300" i="25" s="1"/>
  <c r="BK300" i="25"/>
  <c r="BO300" i="25" s="1"/>
  <c r="BJ346" i="25"/>
  <c r="BK346" i="25"/>
  <c r="BO346" i="25" s="1"/>
  <c r="BI346" i="25"/>
  <c r="BK281" i="25"/>
  <c r="BO281" i="25" s="1"/>
  <c r="BJ281" i="25"/>
  <c r="BK289" i="25"/>
  <c r="BO289" i="25" s="1"/>
  <c r="BJ289" i="25"/>
  <c r="BK290" i="25"/>
  <c r="BK297" i="25"/>
  <c r="BO297" i="25" s="1"/>
  <c r="BJ297" i="25"/>
  <c r="BR297" i="25" s="1"/>
  <c r="BK298" i="25"/>
  <c r="BO298" i="25" s="1"/>
  <c r="BK301" i="25"/>
  <c r="BO301" i="25" s="1"/>
  <c r="BJ301" i="25"/>
  <c r="BI301" i="25"/>
  <c r="BK331" i="25"/>
  <c r="BO331" i="25" s="1"/>
  <c r="BJ331" i="25"/>
  <c r="BK339" i="25"/>
  <c r="BO339" i="25" s="1"/>
  <c r="BJ339" i="25"/>
  <c r="BJ342" i="25"/>
  <c r="BK342" i="25"/>
  <c r="BO342" i="25" s="1"/>
  <c r="BI342" i="25"/>
  <c r="BI331" i="25"/>
  <c r="BK333" i="25"/>
  <c r="BO333" i="25" s="1"/>
  <c r="BJ333" i="25"/>
  <c r="BI339" i="25"/>
  <c r="BK341" i="25"/>
  <c r="BO341" i="25" s="1"/>
  <c r="BJ341" i="25"/>
  <c r="BI345" i="25"/>
  <c r="BJ349" i="25"/>
  <c r="BR349" i="25" s="1"/>
  <c r="BN330" i="25"/>
  <c r="BI333" i="25"/>
  <c r="BI334" i="25"/>
  <c r="BR334" i="25" s="1"/>
  <c r="BK334" i="25"/>
  <c r="BO334" i="25" s="1"/>
  <c r="BI341" i="25"/>
  <c r="BN343" i="25"/>
  <c r="BJ345" i="25"/>
  <c r="BJ348" i="25"/>
  <c r="BI348" i="25"/>
  <c r="BK348" i="25"/>
  <c r="BO348" i="25" s="1"/>
  <c r="BK349" i="25"/>
  <c r="BO349" i="25" s="1"/>
  <c r="BK335" i="25"/>
  <c r="BO335" i="25" s="1"/>
  <c r="BJ335" i="25"/>
  <c r="BR335" i="25" s="1"/>
  <c r="BJ165" i="25"/>
  <c r="BN165" i="25" s="1"/>
  <c r="BP165" i="25" s="1"/>
  <c r="BI165" i="25"/>
  <c r="BI229" i="25"/>
  <c r="BR229" i="25" s="1"/>
  <c r="BJ49" i="25"/>
  <c r="BJ125" i="25"/>
  <c r="BN125" i="25" s="1"/>
  <c r="BQ125" i="25" s="1"/>
  <c r="BK213" i="25"/>
  <c r="BO213" i="25" s="1"/>
  <c r="BP213" i="25" s="1"/>
  <c r="BI25" i="25"/>
  <c r="BR25" i="25" s="1"/>
  <c r="BJ209" i="25"/>
  <c r="BN209" i="25" s="1"/>
  <c r="BP209" i="25" s="1"/>
  <c r="BK69" i="25"/>
  <c r="BO69" i="25" s="1"/>
  <c r="D87" i="37" s="1"/>
  <c r="BK133" i="25"/>
  <c r="BO133" i="25" s="1"/>
  <c r="BK237" i="25"/>
  <c r="BO237" i="25" s="1"/>
  <c r="BQ237" i="25" s="1"/>
  <c r="BI171" i="25"/>
  <c r="BK229" i="25"/>
  <c r="BO229" i="25" s="1"/>
  <c r="BP229" i="25" s="1"/>
  <c r="BJ181" i="25"/>
  <c r="BI125" i="25"/>
  <c r="BJ37" i="25"/>
  <c r="BI116" i="25"/>
  <c r="BJ116" i="25"/>
  <c r="BN116" i="25" s="1"/>
  <c r="BI100" i="25"/>
  <c r="BJ100" i="25"/>
  <c r="BN100" i="25" s="1"/>
  <c r="BI88" i="25"/>
  <c r="BR88" i="25" s="1"/>
  <c r="BI24" i="25"/>
  <c r="BR24" i="25" s="1"/>
  <c r="BK199" i="25"/>
  <c r="BO199" i="25" s="1"/>
  <c r="BJ199" i="25"/>
  <c r="BN199" i="25" s="1"/>
  <c r="BI235" i="25"/>
  <c r="BK139" i="25"/>
  <c r="BO139" i="25" s="1"/>
  <c r="BK155" i="25"/>
  <c r="BO155" i="25" s="1"/>
  <c r="BP155" i="25" s="1"/>
  <c r="BJ80" i="25"/>
  <c r="BN80" i="25" s="1"/>
  <c r="BQ80" i="25" s="1"/>
  <c r="BI203" i="25"/>
  <c r="BI107" i="25"/>
  <c r="BI72" i="25"/>
  <c r="BJ72" i="25"/>
  <c r="BN72" i="25" s="1"/>
  <c r="BK36" i="25"/>
  <c r="BO36" i="25" s="1"/>
  <c r="BJ36" i="25"/>
  <c r="BN36" i="25" s="1"/>
  <c r="BJ20" i="25"/>
  <c r="BN20" i="25" s="1"/>
  <c r="BI20" i="25"/>
  <c r="BK20" i="25"/>
  <c r="BO20" i="25" s="1"/>
  <c r="BK147" i="25"/>
  <c r="BO147" i="25" s="1"/>
  <c r="BI237" i="25"/>
  <c r="BR237" i="25" s="1"/>
  <c r="BI221" i="25"/>
  <c r="BK201" i="25"/>
  <c r="BO201" i="25" s="1"/>
  <c r="BP201" i="25" s="1"/>
  <c r="BK189" i="25"/>
  <c r="BO189" i="25" s="1"/>
  <c r="BQ189" i="25" s="1"/>
  <c r="BJ173" i="25"/>
  <c r="BJ157" i="25"/>
  <c r="BK97" i="25"/>
  <c r="BO97" i="25" s="1"/>
  <c r="BQ97" i="25" s="1"/>
  <c r="BI80" i="25"/>
  <c r="BK56" i="25"/>
  <c r="BO56" i="25" s="1"/>
  <c r="BQ56" i="25" s="1"/>
  <c r="BJ117" i="25"/>
  <c r="BN117" i="25" s="1"/>
  <c r="BP117" i="25" s="1"/>
  <c r="BI201" i="25"/>
  <c r="BR201" i="25" s="1"/>
  <c r="BK181" i="25"/>
  <c r="BO181" i="25" s="1"/>
  <c r="BK157" i="25"/>
  <c r="BO157" i="25" s="1"/>
  <c r="BK109" i="25"/>
  <c r="BO109" i="25" s="1"/>
  <c r="BQ109" i="25" s="1"/>
  <c r="BK88" i="25"/>
  <c r="BO88" i="25" s="1"/>
  <c r="BQ88" i="25" s="1"/>
  <c r="BI56" i="25"/>
  <c r="BR56" i="25" s="1"/>
  <c r="BI32" i="25"/>
  <c r="BR32" i="25" s="1"/>
  <c r="BJ96" i="25"/>
  <c r="BN96" i="25" s="1"/>
  <c r="BI96" i="25"/>
  <c r="BK96" i="25"/>
  <c r="BO96" i="25" s="1"/>
  <c r="BK76" i="25"/>
  <c r="BO76" i="25" s="1"/>
  <c r="BJ76" i="25"/>
  <c r="BN76" i="25" s="1"/>
  <c r="BK64" i="25"/>
  <c r="BO64" i="25" s="1"/>
  <c r="BI64" i="25"/>
  <c r="BJ64" i="25"/>
  <c r="BN64" i="25" s="1"/>
  <c r="BJ44" i="25"/>
  <c r="BN44" i="25" s="1"/>
  <c r="BI44" i="25"/>
  <c r="BJ179" i="25"/>
  <c r="BN179" i="25" s="1"/>
  <c r="BJ225" i="25"/>
  <c r="BN225" i="25" s="1"/>
  <c r="BP225" i="25" s="1"/>
  <c r="BJ217" i="25"/>
  <c r="BI209" i="25"/>
  <c r="BK187" i="25"/>
  <c r="BO187" i="25" s="1"/>
  <c r="BK161" i="25"/>
  <c r="BO161" i="25" s="1"/>
  <c r="BP161" i="25" s="1"/>
  <c r="BI117" i="25"/>
  <c r="BJ108" i="25"/>
  <c r="BN108" i="25" s="1"/>
  <c r="BQ108" i="25" s="1"/>
  <c r="BK84" i="25"/>
  <c r="BO84" i="25" s="1"/>
  <c r="BQ84" i="25" s="1"/>
  <c r="BK68" i="25"/>
  <c r="BO68" i="25" s="1"/>
  <c r="BP68" i="25" s="1"/>
  <c r="BK32" i="25"/>
  <c r="BO32" i="25" s="1"/>
  <c r="BP32" i="25" s="1"/>
  <c r="BK24" i="25"/>
  <c r="BO24" i="25" s="1"/>
  <c r="BQ24" i="25" s="1"/>
  <c r="BJ123" i="25"/>
  <c r="BN123" i="25" s="1"/>
  <c r="BP123" i="25" s="1"/>
  <c r="BK101" i="25"/>
  <c r="BO101" i="25" s="1"/>
  <c r="BQ101" i="25" s="1"/>
  <c r="BK233" i="25"/>
  <c r="BO233" i="25" s="1"/>
  <c r="BI225" i="25"/>
  <c r="BI205" i="25"/>
  <c r="BJ197" i="25"/>
  <c r="BK177" i="25"/>
  <c r="BO177" i="25" s="1"/>
  <c r="BK169" i="25"/>
  <c r="BO169" i="25" s="1"/>
  <c r="BQ169" i="25" s="1"/>
  <c r="BI161" i="25"/>
  <c r="BR161" i="25" s="1"/>
  <c r="BK149" i="25"/>
  <c r="BO149" i="25" s="1"/>
  <c r="BQ149" i="25" s="1"/>
  <c r="BJ132" i="25"/>
  <c r="BN132" i="25" s="1"/>
  <c r="BP132" i="25" s="1"/>
  <c r="BI81" i="25"/>
  <c r="BK72" i="25"/>
  <c r="BO72" i="25" s="1"/>
  <c r="BI68" i="25"/>
  <c r="BR68" i="25" s="1"/>
  <c r="BK60" i="25"/>
  <c r="BO60" i="25" s="1"/>
  <c r="BK49" i="25"/>
  <c r="BO49" i="25" s="1"/>
  <c r="BK37" i="25"/>
  <c r="BO37" i="25" s="1"/>
  <c r="BI52" i="25"/>
  <c r="BJ52" i="25"/>
  <c r="BN52" i="25" s="1"/>
  <c r="BK40" i="25"/>
  <c r="BO40" i="25" s="1"/>
  <c r="BQ40" i="25" s="1"/>
  <c r="BI40" i="25"/>
  <c r="BR40" i="25" s="1"/>
  <c r="BK219" i="25"/>
  <c r="BO219" i="25" s="1"/>
  <c r="BI195" i="25"/>
  <c r="BR195" i="25" s="1"/>
  <c r="BK48" i="25"/>
  <c r="BO48" i="25" s="1"/>
  <c r="BP48" i="25" s="1"/>
  <c r="BI163" i="25"/>
  <c r="BJ163" i="25"/>
  <c r="BN163" i="25" s="1"/>
  <c r="BK148" i="25"/>
  <c r="BO148" i="25" s="1"/>
  <c r="BJ148" i="25"/>
  <c r="BN148" i="25" s="1"/>
  <c r="BI124" i="25"/>
  <c r="BK124" i="25"/>
  <c r="BO124" i="25" s="1"/>
  <c r="BI115" i="25"/>
  <c r="BK115" i="25"/>
  <c r="BO115" i="25" s="1"/>
  <c r="BK30" i="25"/>
  <c r="BO30" i="25" s="1"/>
  <c r="BJ30" i="25"/>
  <c r="BJ227" i="25"/>
  <c r="BI70" i="25"/>
  <c r="BR70" i="25" s="1"/>
  <c r="BI84" i="25"/>
  <c r="BR84" i="25" s="1"/>
  <c r="BI48" i="25"/>
  <c r="BR48" i="25" s="1"/>
  <c r="BK131" i="25"/>
  <c r="BO131" i="25" s="1"/>
  <c r="BI131" i="25"/>
  <c r="BI16" i="25"/>
  <c r="BR16" i="25" s="1"/>
  <c r="BK16" i="25"/>
  <c r="BO16" i="25" s="1"/>
  <c r="BQ16" i="25" s="1"/>
  <c r="BJ233" i="25"/>
  <c r="BJ221" i="25"/>
  <c r="BN221" i="25" s="1"/>
  <c r="BP221" i="25" s="1"/>
  <c r="BK217" i="25"/>
  <c r="BO217" i="25" s="1"/>
  <c r="BI213" i="25"/>
  <c r="BR213" i="25" s="1"/>
  <c r="BI193" i="25"/>
  <c r="BR193" i="25" s="1"/>
  <c r="BJ185" i="25"/>
  <c r="BN185" i="25" s="1"/>
  <c r="BP185" i="25" s="1"/>
  <c r="BK173" i="25"/>
  <c r="BO173" i="25" s="1"/>
  <c r="BI169" i="25"/>
  <c r="BR169" i="25" s="1"/>
  <c r="BJ133" i="25"/>
  <c r="BI101" i="25"/>
  <c r="BR101" i="25" s="1"/>
  <c r="BK85" i="25"/>
  <c r="BO85" i="25" s="1"/>
  <c r="BJ69" i="25"/>
  <c r="D51" i="37" s="1"/>
  <c r="BJ57" i="25"/>
  <c r="BI109" i="25"/>
  <c r="BR109" i="25" s="1"/>
  <c r="BJ81" i="25"/>
  <c r="BN81" i="25" s="1"/>
  <c r="BP81" i="25" s="1"/>
  <c r="BK21" i="25"/>
  <c r="BO21" i="25" s="1"/>
  <c r="BI78" i="25"/>
  <c r="BJ78" i="25"/>
  <c r="BN78" i="25" s="1"/>
  <c r="BJ215" i="25"/>
  <c r="BN215" i="25" s="1"/>
  <c r="BQ215" i="25" s="1"/>
  <c r="BI211" i="25"/>
  <c r="BR211" i="25" s="1"/>
  <c r="BJ205" i="25"/>
  <c r="BN205" i="25" s="1"/>
  <c r="BP205" i="25" s="1"/>
  <c r="BK197" i="25"/>
  <c r="BO197" i="25" s="1"/>
  <c r="BK193" i="25"/>
  <c r="BO193" i="25" s="1"/>
  <c r="BQ193" i="25" s="1"/>
  <c r="BI189" i="25"/>
  <c r="BR189" i="25" s="1"/>
  <c r="BI185" i="25"/>
  <c r="BJ177" i="25"/>
  <c r="BK156" i="25"/>
  <c r="BO156" i="25" s="1"/>
  <c r="BI149" i="25"/>
  <c r="BR149" i="25" s="1"/>
  <c r="BI148" i="25"/>
  <c r="BK140" i="25"/>
  <c r="BO140" i="25" s="1"/>
  <c r="BI132" i="25"/>
  <c r="BJ124" i="25"/>
  <c r="BN124" i="25" s="1"/>
  <c r="BK116" i="25"/>
  <c r="BO116" i="25" s="1"/>
  <c r="BI108" i="25"/>
  <c r="BK100" i="25"/>
  <c r="BO100" i="25" s="1"/>
  <c r="BI97" i="25"/>
  <c r="BR97" i="25" s="1"/>
  <c r="BK92" i="25"/>
  <c r="BO92" i="25" s="1"/>
  <c r="BJ85" i="25"/>
  <c r="BI76" i="25"/>
  <c r="BJ60" i="25"/>
  <c r="BK52" i="25"/>
  <c r="BO52" i="25" s="1"/>
  <c r="BI36" i="25"/>
  <c r="BK28" i="25"/>
  <c r="BO28" i="25" s="1"/>
  <c r="BJ21" i="25"/>
  <c r="BK183" i="25"/>
  <c r="BO183" i="25" s="1"/>
  <c r="BP183" i="25" s="1"/>
  <c r="BK167" i="25"/>
  <c r="BO167" i="25" s="1"/>
  <c r="BP167" i="25" s="1"/>
  <c r="BK66" i="25"/>
  <c r="BO66" i="25" s="1"/>
  <c r="BQ66" i="25" s="1"/>
  <c r="BK130" i="25"/>
  <c r="BO130" i="25" s="1"/>
  <c r="BI130" i="25"/>
  <c r="BJ156" i="25"/>
  <c r="BJ140" i="25"/>
  <c r="BN140" i="25" s="1"/>
  <c r="BJ92" i="25"/>
  <c r="BN92" i="25" s="1"/>
  <c r="BK44" i="25"/>
  <c r="BO44" i="25" s="1"/>
  <c r="BJ34" i="25"/>
  <c r="BN34" i="25" s="1"/>
  <c r="BQ34" i="25" s="1"/>
  <c r="BJ28" i="25"/>
  <c r="BK231" i="25"/>
  <c r="BO231" i="25" s="1"/>
  <c r="BQ231" i="25" s="1"/>
  <c r="BI66" i="25"/>
  <c r="BR66" i="25" s="1"/>
  <c r="BJ141" i="25"/>
  <c r="BN141" i="25" s="1"/>
  <c r="BQ141" i="25" s="1"/>
  <c r="BI141" i="25"/>
  <c r="BJ98" i="25"/>
  <c r="BN98" i="25" s="1"/>
  <c r="BI98" i="25"/>
  <c r="BK94" i="25"/>
  <c r="BO94" i="25" s="1"/>
  <c r="BJ94" i="25"/>
  <c r="BK90" i="25"/>
  <c r="BO90" i="25" s="1"/>
  <c r="BI90" i="25"/>
  <c r="BJ74" i="25"/>
  <c r="BN74" i="25" s="1"/>
  <c r="BQ74" i="25" s="1"/>
  <c r="BI74" i="25"/>
  <c r="BK62" i="25"/>
  <c r="BJ62" i="25"/>
  <c r="BI58" i="25"/>
  <c r="BK58" i="25"/>
  <c r="BO58" i="25" s="1"/>
  <c r="BI50" i="25"/>
  <c r="BK50" i="25"/>
  <c r="BO50" i="25" s="1"/>
  <c r="BI46" i="25"/>
  <c r="BK46" i="25"/>
  <c r="BO46" i="25" s="1"/>
  <c r="BJ46" i="25"/>
  <c r="BN46" i="25" s="1"/>
  <c r="BI38" i="25"/>
  <c r="BK22" i="25"/>
  <c r="BO22" i="25" s="1"/>
  <c r="BO65" i="25"/>
  <c r="BI65" i="25"/>
  <c r="BJ65" i="25"/>
  <c r="BN65" i="25" s="1"/>
  <c r="BI53" i="25"/>
  <c r="BJ53" i="25"/>
  <c r="BN53" i="25" s="1"/>
  <c r="BP53" i="25" s="1"/>
  <c r="BJ41" i="25"/>
  <c r="BN41" i="25" s="1"/>
  <c r="BI41" i="25"/>
  <c r="BI33" i="25"/>
  <c r="BR33" i="25" s="1"/>
  <c r="BK33" i="25"/>
  <c r="BO33" i="25" s="1"/>
  <c r="BQ33" i="25" s="1"/>
  <c r="BJ17" i="25"/>
  <c r="BL17" i="25" s="1"/>
  <c r="BI17" i="25"/>
  <c r="BJ235" i="25"/>
  <c r="BN235" i="25" s="1"/>
  <c r="BQ235" i="25" s="1"/>
  <c r="BI231" i="25"/>
  <c r="BR231" i="25" s="1"/>
  <c r="BK223" i="25"/>
  <c r="BO223" i="25" s="1"/>
  <c r="BJ219" i="25"/>
  <c r="BR219" i="25" s="1"/>
  <c r="BI215" i="25"/>
  <c r="BK207" i="25"/>
  <c r="BO207" i="25" s="1"/>
  <c r="BJ203" i="25"/>
  <c r="BM203" i="25" s="1"/>
  <c r="BI199" i="25"/>
  <c r="BK191" i="25"/>
  <c r="BO191" i="25" s="1"/>
  <c r="BJ187" i="25"/>
  <c r="BI183" i="25"/>
  <c r="BR183" i="25" s="1"/>
  <c r="BK175" i="25"/>
  <c r="BO175" i="25" s="1"/>
  <c r="BJ171" i="25"/>
  <c r="BN171" i="25" s="1"/>
  <c r="BQ171" i="25" s="1"/>
  <c r="BI167" i="25"/>
  <c r="BR167" i="25" s="1"/>
  <c r="BK159" i="25"/>
  <c r="BJ26" i="25"/>
  <c r="BN26" i="25" s="1"/>
  <c r="BK26" i="25"/>
  <c r="BJ18" i="25"/>
  <c r="BR18" i="25" s="1"/>
  <c r="BK18" i="25"/>
  <c r="BK227" i="25"/>
  <c r="BO227" i="25" s="1"/>
  <c r="BJ223" i="25"/>
  <c r="BR223" i="25" s="1"/>
  <c r="BK211" i="25"/>
  <c r="BJ207" i="25"/>
  <c r="BR207" i="25" s="1"/>
  <c r="BK195" i="25"/>
  <c r="BO195" i="25" s="1"/>
  <c r="BP195" i="25" s="1"/>
  <c r="BJ191" i="25"/>
  <c r="BR191" i="25" s="1"/>
  <c r="BK179" i="25"/>
  <c r="BO179" i="25" s="1"/>
  <c r="BJ175" i="25"/>
  <c r="BR175" i="25" s="1"/>
  <c r="BK163" i="25"/>
  <c r="BO163" i="25" s="1"/>
  <c r="BJ159" i="25"/>
  <c r="BR159" i="25" s="1"/>
  <c r="BJ154" i="25"/>
  <c r="BM154" i="25" s="1"/>
  <c r="BK146" i="25"/>
  <c r="BM146" i="25" s="1"/>
  <c r="BK138" i="25"/>
  <c r="BO138" i="25" s="1"/>
  <c r="BJ131" i="25"/>
  <c r="BN131" i="25" s="1"/>
  <c r="BJ130" i="25"/>
  <c r="BJ122" i="25"/>
  <c r="BM122" i="25" s="1"/>
  <c r="BK114" i="25"/>
  <c r="BK106" i="25"/>
  <c r="BO106" i="25" s="1"/>
  <c r="BK98" i="25"/>
  <c r="BJ86" i="25"/>
  <c r="BL86" i="25" s="1"/>
  <c r="BK82" i="25"/>
  <c r="BO82" i="25" s="1"/>
  <c r="BJ58" i="25"/>
  <c r="BK54" i="25"/>
  <c r="BL54" i="25" s="1"/>
  <c r="BJ50" i="25"/>
  <c r="BJ42" i="25"/>
  <c r="BJ38" i="25"/>
  <c r="BL38" i="25" s="1"/>
  <c r="BI34" i="25"/>
  <c r="BI30" i="25"/>
  <c r="BJ22" i="25"/>
  <c r="BR22" i="25" s="1"/>
  <c r="BI155" i="25"/>
  <c r="BR155" i="25" s="1"/>
  <c r="BI154" i="25"/>
  <c r="BJ147" i="25"/>
  <c r="BI146" i="25"/>
  <c r="BR146" i="25" s="1"/>
  <c r="BJ139" i="25"/>
  <c r="BN139" i="25" s="1"/>
  <c r="BJ138" i="25"/>
  <c r="BR138" i="25" s="1"/>
  <c r="BI123" i="25"/>
  <c r="BI122" i="25"/>
  <c r="BJ115" i="25"/>
  <c r="BN115" i="25" s="1"/>
  <c r="BI114" i="25"/>
  <c r="BR114" i="25" s="1"/>
  <c r="BJ107" i="25"/>
  <c r="BN107" i="25" s="1"/>
  <c r="BJ106" i="25"/>
  <c r="BR106" i="25" s="1"/>
  <c r="BJ90" i="25"/>
  <c r="BI86" i="25"/>
  <c r="BJ82" i="25"/>
  <c r="BK78" i="25"/>
  <c r="BO78" i="25" s="1"/>
  <c r="BK70" i="25"/>
  <c r="BL70" i="25" s="1"/>
  <c r="BI54" i="25"/>
  <c r="BR54" i="25" s="1"/>
  <c r="BI42" i="25"/>
  <c r="BI26" i="25"/>
  <c r="BK135" i="25"/>
  <c r="BO135" i="25" s="1"/>
  <c r="BJ135" i="25"/>
  <c r="BN135" i="25" s="1"/>
  <c r="BK119" i="25"/>
  <c r="BO119" i="25" s="1"/>
  <c r="BJ119" i="25"/>
  <c r="BN119" i="25" s="1"/>
  <c r="BK103" i="25"/>
  <c r="BO103" i="25" s="1"/>
  <c r="BJ103" i="25"/>
  <c r="BN103" i="25" s="1"/>
  <c r="BJ77" i="25"/>
  <c r="BI77" i="25"/>
  <c r="BK77" i="25"/>
  <c r="BI152" i="25"/>
  <c r="BJ152" i="25"/>
  <c r="BN152" i="25" s="1"/>
  <c r="BK152" i="25"/>
  <c r="BO152" i="25" s="1"/>
  <c r="BI144" i="25"/>
  <c r="BJ144" i="25"/>
  <c r="BN144" i="25" s="1"/>
  <c r="BK144" i="25"/>
  <c r="BO144" i="25" s="1"/>
  <c r="BI136" i="25"/>
  <c r="BJ136" i="25"/>
  <c r="BN136" i="25" s="1"/>
  <c r="BK136" i="25"/>
  <c r="BO136" i="25" s="1"/>
  <c r="BI128" i="25"/>
  <c r="BJ128" i="25"/>
  <c r="BN128" i="25" s="1"/>
  <c r="BK128" i="25"/>
  <c r="BO128" i="25" s="1"/>
  <c r="BI120" i="25"/>
  <c r="BJ120" i="25"/>
  <c r="BN120" i="25" s="1"/>
  <c r="BK120" i="25"/>
  <c r="BO120" i="25" s="1"/>
  <c r="BI112" i="25"/>
  <c r="BJ112" i="25"/>
  <c r="BN112" i="25" s="1"/>
  <c r="BK112" i="25"/>
  <c r="BO112" i="25" s="1"/>
  <c r="BI104" i="25"/>
  <c r="BJ104" i="25"/>
  <c r="BN104" i="25" s="1"/>
  <c r="BK104" i="25"/>
  <c r="BO104" i="25" s="1"/>
  <c r="BJ91" i="25"/>
  <c r="BN91" i="25" s="1"/>
  <c r="BI91" i="25"/>
  <c r="BK91" i="25"/>
  <c r="BO91" i="25" s="1"/>
  <c r="BJ73" i="25"/>
  <c r="BK73" i="25"/>
  <c r="BO73" i="25" s="1"/>
  <c r="BJ61" i="25"/>
  <c r="BN61" i="25" s="1"/>
  <c r="BI61" i="25"/>
  <c r="BK61" i="25"/>
  <c r="BO61" i="25" s="1"/>
  <c r="BJ43" i="25"/>
  <c r="BN43" i="25" s="1"/>
  <c r="BI43" i="25"/>
  <c r="BK43" i="25"/>
  <c r="BO43" i="25" s="1"/>
  <c r="BJ238" i="25"/>
  <c r="BK238" i="25"/>
  <c r="BO238" i="25" s="1"/>
  <c r="BJ236" i="25"/>
  <c r="BN236" i="25" s="1"/>
  <c r="BK236" i="25"/>
  <c r="BO236" i="25" s="1"/>
  <c r="BJ234" i="25"/>
  <c r="BK234" i="25"/>
  <c r="BO234" i="25" s="1"/>
  <c r="BJ232" i="25"/>
  <c r="BN232" i="25" s="1"/>
  <c r="BK232" i="25"/>
  <c r="BO232" i="25" s="1"/>
  <c r="BJ230" i="25"/>
  <c r="BK230" i="25"/>
  <c r="BO230" i="25" s="1"/>
  <c r="BJ228" i="25"/>
  <c r="BK228" i="25"/>
  <c r="BO228" i="25" s="1"/>
  <c r="BJ226" i="25"/>
  <c r="BK226" i="25"/>
  <c r="BO226" i="25" s="1"/>
  <c r="BJ224" i="25"/>
  <c r="BK224" i="25"/>
  <c r="BO224" i="25" s="1"/>
  <c r="BJ222" i="25"/>
  <c r="BK222" i="25"/>
  <c r="BO222" i="25" s="1"/>
  <c r="BJ220" i="25"/>
  <c r="BK220" i="25"/>
  <c r="BO220" i="25" s="1"/>
  <c r="BJ218" i="25"/>
  <c r="BK218" i="25"/>
  <c r="BO218" i="25" s="1"/>
  <c r="BJ216" i="25"/>
  <c r="BN216" i="25" s="1"/>
  <c r="BK216" i="25"/>
  <c r="BO216" i="25" s="1"/>
  <c r="BJ214" i="25"/>
  <c r="BK214" i="25"/>
  <c r="BO214" i="25" s="1"/>
  <c r="BJ212" i="25"/>
  <c r="BN212" i="25" s="1"/>
  <c r="BK212" i="25"/>
  <c r="BO212" i="25" s="1"/>
  <c r="BJ210" i="25"/>
  <c r="BK210" i="25"/>
  <c r="BO210" i="25" s="1"/>
  <c r="BJ208" i="25"/>
  <c r="BK208" i="25"/>
  <c r="BO208" i="25" s="1"/>
  <c r="BJ206" i="25"/>
  <c r="BK206" i="25"/>
  <c r="BO206" i="25" s="1"/>
  <c r="BJ204" i="25"/>
  <c r="BK204" i="25"/>
  <c r="BO204" i="25" s="1"/>
  <c r="BJ202" i="25"/>
  <c r="BK202" i="25"/>
  <c r="BO202" i="25" s="1"/>
  <c r="BJ200" i="25"/>
  <c r="BN200" i="25" s="1"/>
  <c r="BK200" i="25"/>
  <c r="BO200" i="25" s="1"/>
  <c r="BJ198" i="25"/>
  <c r="BK198" i="25"/>
  <c r="BO198" i="25" s="1"/>
  <c r="BJ196" i="25"/>
  <c r="BN196" i="25" s="1"/>
  <c r="BK196" i="25"/>
  <c r="BO196" i="25" s="1"/>
  <c r="BJ194" i="25"/>
  <c r="BK194" i="25"/>
  <c r="BO194" i="25" s="1"/>
  <c r="BJ192" i="25"/>
  <c r="BK192" i="25"/>
  <c r="BO192" i="25" s="1"/>
  <c r="BJ190" i="25"/>
  <c r="BK190" i="25"/>
  <c r="BO190" i="25" s="1"/>
  <c r="BJ188" i="25"/>
  <c r="BK188" i="25"/>
  <c r="BO188" i="25" s="1"/>
  <c r="BJ186" i="25"/>
  <c r="BK186" i="25"/>
  <c r="BO186" i="25" s="1"/>
  <c r="BJ184" i="25"/>
  <c r="BN184" i="25" s="1"/>
  <c r="BK184" i="25"/>
  <c r="BO184" i="25" s="1"/>
  <c r="BJ182" i="25"/>
  <c r="BK182" i="25"/>
  <c r="BO182" i="25" s="1"/>
  <c r="BJ180" i="25"/>
  <c r="BN180" i="25" s="1"/>
  <c r="BK180" i="25"/>
  <c r="BO180" i="25" s="1"/>
  <c r="BJ178" i="25"/>
  <c r="BK178" i="25"/>
  <c r="BO178" i="25" s="1"/>
  <c r="BJ176" i="25"/>
  <c r="BK176" i="25"/>
  <c r="BO176" i="25" s="1"/>
  <c r="BJ174" i="25"/>
  <c r="BK174" i="25"/>
  <c r="BO174" i="25" s="1"/>
  <c r="BJ172" i="25"/>
  <c r="BK172" i="25"/>
  <c r="BO172" i="25" s="1"/>
  <c r="BJ170" i="25"/>
  <c r="BK170" i="25"/>
  <c r="BO170" i="25" s="1"/>
  <c r="BJ168" i="25"/>
  <c r="BN168" i="25" s="1"/>
  <c r="BK168" i="25"/>
  <c r="BO168" i="25" s="1"/>
  <c r="BJ166" i="25"/>
  <c r="BK166" i="25"/>
  <c r="BO166" i="25" s="1"/>
  <c r="BJ164" i="25"/>
  <c r="BN164" i="25" s="1"/>
  <c r="BK164" i="25"/>
  <c r="BO164" i="25" s="1"/>
  <c r="BJ162" i="25"/>
  <c r="BK162" i="25"/>
  <c r="BO162" i="25" s="1"/>
  <c r="BJ160" i="25"/>
  <c r="BK160" i="25"/>
  <c r="BO160" i="25" s="1"/>
  <c r="BJ158" i="25"/>
  <c r="BK158" i="25"/>
  <c r="BO158" i="25" s="1"/>
  <c r="BI150" i="25"/>
  <c r="BR150" i="25" s="1"/>
  <c r="BK150" i="25"/>
  <c r="BI142" i="25"/>
  <c r="BR142" i="25" s="1"/>
  <c r="BK142" i="25"/>
  <c r="BI134" i="25"/>
  <c r="BR134" i="25" s="1"/>
  <c r="BK134" i="25"/>
  <c r="BI126" i="25"/>
  <c r="BR126" i="25" s="1"/>
  <c r="BK126" i="25"/>
  <c r="BO126" i="25" s="1"/>
  <c r="BP126" i="25" s="1"/>
  <c r="BI118" i="25"/>
  <c r="BR118" i="25" s="1"/>
  <c r="BK118" i="25"/>
  <c r="BI110" i="25"/>
  <c r="BR110" i="25" s="1"/>
  <c r="BK110" i="25"/>
  <c r="BI102" i="25"/>
  <c r="BR102" i="25" s="1"/>
  <c r="BK102" i="25"/>
  <c r="BJ87" i="25"/>
  <c r="BN87" i="25" s="1"/>
  <c r="BI87" i="25"/>
  <c r="BJ75" i="25"/>
  <c r="BN75" i="25" s="1"/>
  <c r="BI75" i="25"/>
  <c r="BK75" i="25"/>
  <c r="BO75" i="25" s="1"/>
  <c r="BJ29" i="25"/>
  <c r="BN29" i="25" s="1"/>
  <c r="BI29" i="25"/>
  <c r="BK29" i="25"/>
  <c r="BO29" i="25" s="1"/>
  <c r="BK151" i="25"/>
  <c r="BO151" i="25" s="1"/>
  <c r="BJ151" i="25"/>
  <c r="BN151" i="25" s="1"/>
  <c r="BK143" i="25"/>
  <c r="BO143" i="25" s="1"/>
  <c r="BJ143" i="25"/>
  <c r="BN143" i="25" s="1"/>
  <c r="BK127" i="25"/>
  <c r="BO127" i="25" s="1"/>
  <c r="BJ127" i="25"/>
  <c r="BN127" i="25" s="1"/>
  <c r="BK111" i="25"/>
  <c r="BO111" i="25" s="1"/>
  <c r="BJ111" i="25"/>
  <c r="BN111" i="25" s="1"/>
  <c r="BJ89" i="25"/>
  <c r="BN89" i="25" s="1"/>
  <c r="BK89" i="25"/>
  <c r="BO89" i="25" s="1"/>
  <c r="BJ45" i="25"/>
  <c r="BN45" i="25" s="1"/>
  <c r="BI45" i="25"/>
  <c r="BK45" i="25"/>
  <c r="BO45" i="25" s="1"/>
  <c r="BK153" i="25"/>
  <c r="BO153" i="25" s="1"/>
  <c r="BI153" i="25"/>
  <c r="BJ153" i="25"/>
  <c r="BN153" i="25" s="1"/>
  <c r="BI151" i="25"/>
  <c r="BK145" i="25"/>
  <c r="BO145" i="25" s="1"/>
  <c r="BI145" i="25"/>
  <c r="BJ145" i="25"/>
  <c r="BN145" i="25" s="1"/>
  <c r="BI143" i="25"/>
  <c r="BK137" i="25"/>
  <c r="BO137" i="25" s="1"/>
  <c r="BI137" i="25"/>
  <c r="BJ137" i="25"/>
  <c r="BN137" i="25" s="1"/>
  <c r="BI135" i="25"/>
  <c r="BK129" i="25"/>
  <c r="BO129" i="25" s="1"/>
  <c r="BI129" i="25"/>
  <c r="BJ129" i="25"/>
  <c r="BN129" i="25" s="1"/>
  <c r="BI127" i="25"/>
  <c r="BK121" i="25"/>
  <c r="BO121" i="25" s="1"/>
  <c r="BI121" i="25"/>
  <c r="BJ121" i="25"/>
  <c r="BN121" i="25" s="1"/>
  <c r="BI119" i="25"/>
  <c r="BK113" i="25"/>
  <c r="BO113" i="25" s="1"/>
  <c r="BI113" i="25"/>
  <c r="BJ113" i="25"/>
  <c r="BN113" i="25" s="1"/>
  <c r="BI111" i="25"/>
  <c r="BK105" i="25"/>
  <c r="BO105" i="25" s="1"/>
  <c r="BI105" i="25"/>
  <c r="BJ105" i="25"/>
  <c r="BN105" i="25" s="1"/>
  <c r="BI103" i="25"/>
  <c r="BJ93" i="25"/>
  <c r="BN93" i="25" s="1"/>
  <c r="BI93" i="25"/>
  <c r="BK93" i="25"/>
  <c r="BO93" i="25" s="1"/>
  <c r="BI89" i="25"/>
  <c r="BJ71" i="25"/>
  <c r="BN71" i="25" s="1"/>
  <c r="BI71" i="25"/>
  <c r="BJ59" i="25"/>
  <c r="BN59" i="25" s="1"/>
  <c r="BI59" i="25"/>
  <c r="BK59" i="25"/>
  <c r="BO59" i="25" s="1"/>
  <c r="BJ27" i="25"/>
  <c r="BN27" i="25" s="1"/>
  <c r="BI27" i="25"/>
  <c r="BK27" i="25"/>
  <c r="BO27" i="25" s="1"/>
  <c r="BJ55" i="25"/>
  <c r="BN55" i="25" s="1"/>
  <c r="BI55" i="25"/>
  <c r="BJ39" i="25"/>
  <c r="BN39" i="25" s="1"/>
  <c r="BI39" i="25"/>
  <c r="BJ23" i="25"/>
  <c r="BN23" i="25" s="1"/>
  <c r="BI23" i="25"/>
  <c r="BJ99" i="25"/>
  <c r="BN99" i="25" s="1"/>
  <c r="BP99" i="25" s="1"/>
  <c r="BI99" i="25"/>
  <c r="BJ83" i="25"/>
  <c r="BN83" i="25" s="1"/>
  <c r="BQ83" i="25" s="1"/>
  <c r="BI83" i="25"/>
  <c r="BJ67" i="25"/>
  <c r="BN67" i="25" s="1"/>
  <c r="BP67" i="25" s="1"/>
  <c r="BI67" i="25"/>
  <c r="BJ51" i="25"/>
  <c r="BN51" i="25" s="1"/>
  <c r="BP51" i="25" s="1"/>
  <c r="BI51" i="25"/>
  <c r="BJ35" i="25"/>
  <c r="BN35" i="25" s="1"/>
  <c r="BP35" i="25" s="1"/>
  <c r="BI35" i="25"/>
  <c r="BJ19" i="25"/>
  <c r="BN19" i="25" s="1"/>
  <c r="BI19" i="25"/>
  <c r="BJ95" i="25"/>
  <c r="BN95" i="25" s="1"/>
  <c r="BI95" i="25"/>
  <c r="BJ79" i="25"/>
  <c r="BN79" i="25" s="1"/>
  <c r="BI79" i="25"/>
  <c r="BJ63" i="25"/>
  <c r="BN63" i="25" s="1"/>
  <c r="BI63" i="25"/>
  <c r="BK57" i="25"/>
  <c r="BJ47" i="25"/>
  <c r="BN47" i="25" s="1"/>
  <c r="BI47" i="25"/>
  <c r="BK41" i="25"/>
  <c r="BJ31" i="25"/>
  <c r="BN31" i="25" s="1"/>
  <c r="BI31" i="25"/>
  <c r="BK25" i="25"/>
  <c r="E58" i="37" l="1"/>
  <c r="E50" i="37"/>
  <c r="F50" i="37" s="1"/>
  <c r="E75" i="37"/>
  <c r="E97" i="37" s="1"/>
  <c r="E77" i="37"/>
  <c r="D77" i="37"/>
  <c r="CN69" i="25"/>
  <c r="E51" i="37"/>
  <c r="BR117" i="25"/>
  <c r="I77" i="25"/>
  <c r="AF77" i="25"/>
  <c r="BR103" i="25"/>
  <c r="BR89" i="25"/>
  <c r="BO77" i="25"/>
  <c r="CN77" i="25"/>
  <c r="BN77" i="25"/>
  <c r="BR135" i="25"/>
  <c r="BR26" i="25"/>
  <c r="BR154" i="25"/>
  <c r="D52" i="37"/>
  <c r="AF243" i="25"/>
  <c r="J243" i="25" s="1"/>
  <c r="AH332" i="25"/>
  <c r="L332" i="25" s="1"/>
  <c r="CO15" i="25"/>
  <c r="E52" i="37"/>
  <c r="AF324" i="25"/>
  <c r="J324" i="25" s="1"/>
  <c r="AG346" i="25"/>
  <c r="AQ346" i="25" s="1"/>
  <c r="AI330" i="25"/>
  <c r="M330" i="25" s="1"/>
  <c r="AI327" i="25"/>
  <c r="AN327" i="25" s="1"/>
  <c r="R327" i="25" s="1"/>
  <c r="AI306" i="25"/>
  <c r="AN306" i="25" s="1"/>
  <c r="R306" i="25" s="1"/>
  <c r="AF305" i="25"/>
  <c r="J305" i="25" s="1"/>
  <c r="AI242" i="25"/>
  <c r="AN242" i="25" s="1"/>
  <c r="R242" i="25" s="1"/>
  <c r="AF323" i="25"/>
  <c r="J323" i="25" s="1"/>
  <c r="CR318" i="25"/>
  <c r="CL221" i="25"/>
  <c r="CM237" i="25"/>
  <c r="CR252" i="25"/>
  <c r="CR288" i="25"/>
  <c r="CR312" i="25"/>
  <c r="K300" i="25"/>
  <c r="CR57" i="25"/>
  <c r="CR272" i="25"/>
  <c r="CR135" i="25"/>
  <c r="AF307" i="25"/>
  <c r="J307" i="25" s="1"/>
  <c r="AI315" i="25"/>
  <c r="AN315" i="25" s="1"/>
  <c r="R315" i="25" s="1"/>
  <c r="AH336" i="25"/>
  <c r="AM336" i="25" s="1"/>
  <c r="Q336" i="25" s="1"/>
  <c r="AG326" i="25"/>
  <c r="K326" i="25" s="1"/>
  <c r="AI320" i="25"/>
  <c r="AN320" i="25" s="1"/>
  <c r="R320" i="25" s="1"/>
  <c r="AG278" i="25"/>
  <c r="K278" i="25" s="1"/>
  <c r="AH326" i="25"/>
  <c r="AM326" i="25" s="1"/>
  <c r="AH246" i="25"/>
  <c r="AM246" i="25" s="1"/>
  <c r="AI326" i="25"/>
  <c r="M326" i="25" s="1"/>
  <c r="AH254" i="25"/>
  <c r="L254" i="25" s="1"/>
  <c r="AF287" i="25"/>
  <c r="J287" i="25" s="1"/>
  <c r="CR275" i="25"/>
  <c r="AF252" i="25"/>
  <c r="J252" i="25" s="1"/>
  <c r="CR119" i="25"/>
  <c r="CR151" i="25"/>
  <c r="AF326" i="25"/>
  <c r="J326" i="25" s="1"/>
  <c r="AI304" i="25"/>
  <c r="AN304" i="25" s="1"/>
  <c r="R304" i="25" s="1"/>
  <c r="AG294" i="25"/>
  <c r="K294" i="25" s="1"/>
  <c r="CR79" i="25"/>
  <c r="CR179" i="25"/>
  <c r="CR332" i="25"/>
  <c r="CR248" i="25"/>
  <c r="AH316" i="25"/>
  <c r="AM316" i="25" s="1"/>
  <c r="AF348" i="25"/>
  <c r="J348" i="25" s="1"/>
  <c r="AI256" i="25"/>
  <c r="M256" i="25" s="1"/>
  <c r="AI340" i="25"/>
  <c r="AN340" i="25" s="1"/>
  <c r="R340" i="25" s="1"/>
  <c r="AI348" i="25"/>
  <c r="AN348" i="25" s="1"/>
  <c r="R348" i="25" s="1"/>
  <c r="CR185" i="25"/>
  <c r="CR59" i="25"/>
  <c r="CR175" i="25"/>
  <c r="CR112" i="25"/>
  <c r="CR274" i="25"/>
  <c r="CR101" i="25"/>
  <c r="AG324" i="25"/>
  <c r="K324" i="25" s="1"/>
  <c r="AI316" i="25"/>
  <c r="M316" i="25" s="1"/>
  <c r="AH248" i="25"/>
  <c r="AM248" i="25" s="1"/>
  <c r="AH348" i="25"/>
  <c r="L348" i="25" s="1"/>
  <c r="CR143" i="25"/>
  <c r="CR159" i="25"/>
  <c r="CR223" i="25"/>
  <c r="AF341" i="25"/>
  <c r="J341" i="25" s="1"/>
  <c r="AG340" i="25"/>
  <c r="K340" i="25" s="1"/>
  <c r="AI332" i="25"/>
  <c r="M332" i="25" s="1"/>
  <c r="AH324" i="25"/>
  <c r="AH318" i="25"/>
  <c r="AM318" i="25" s="1"/>
  <c r="AF316" i="25"/>
  <c r="J316" i="25" s="1"/>
  <c r="AH294" i="25"/>
  <c r="L294" i="25" s="1"/>
  <c r="AH276" i="25"/>
  <c r="AM276" i="25" s="1"/>
  <c r="AI244" i="25"/>
  <c r="AI341" i="25"/>
  <c r="AN341" i="25" s="1"/>
  <c r="R341" i="25" s="1"/>
  <c r="AF340" i="25"/>
  <c r="AF332" i="25"/>
  <c r="J332" i="25" s="1"/>
  <c r="AH340" i="25"/>
  <c r="AG332" i="25"/>
  <c r="AL332" i="25" s="1"/>
  <c r="AG330" i="25"/>
  <c r="K330" i="25" s="1"/>
  <c r="AI324" i="25"/>
  <c r="M324" i="25" s="1"/>
  <c r="AG316" i="25"/>
  <c r="AG310" i="25"/>
  <c r="K310" i="25" s="1"/>
  <c r="AI286" i="25"/>
  <c r="AN286" i="25" s="1"/>
  <c r="R286" i="25" s="1"/>
  <c r="AG254" i="25"/>
  <c r="AF248" i="25"/>
  <c r="J248" i="25" s="1"/>
  <c r="AF327" i="25"/>
  <c r="J327" i="25" s="1"/>
  <c r="AF317" i="25"/>
  <c r="J317" i="25" s="1"/>
  <c r="AH333" i="25"/>
  <c r="L333" i="25" s="1"/>
  <c r="CR77" i="25"/>
  <c r="AI312" i="25"/>
  <c r="M312" i="25" s="1"/>
  <c r="AH304" i="25"/>
  <c r="AM304" i="25" s="1"/>
  <c r="AH252" i="25"/>
  <c r="AM252" i="25" s="1"/>
  <c r="K343" i="25"/>
  <c r="CM315" i="25"/>
  <c r="CM347" i="25"/>
  <c r="CL249" i="25"/>
  <c r="CR297" i="25"/>
  <c r="CR329" i="25"/>
  <c r="CM349" i="25"/>
  <c r="CL172" i="25"/>
  <c r="AF304" i="25"/>
  <c r="AI255" i="25"/>
  <c r="AN255" i="25" s="1"/>
  <c r="R255" i="25" s="1"/>
  <c r="AG247" i="25"/>
  <c r="K247" i="25" s="1"/>
  <c r="AF240" i="25"/>
  <c r="J240" i="25" s="1"/>
  <c r="AF295" i="25"/>
  <c r="J295" i="25" s="1"/>
  <c r="AH240" i="25"/>
  <c r="AM240" i="25" s="1"/>
  <c r="AG252" i="25"/>
  <c r="K252" i="25" s="1"/>
  <c r="AI239" i="25"/>
  <c r="M239" i="25" s="1"/>
  <c r="AH247" i="25"/>
  <c r="AM247" i="25" s="1"/>
  <c r="CR247" i="25"/>
  <c r="CR311" i="25"/>
  <c r="CR345" i="25"/>
  <c r="CR333" i="25"/>
  <c r="CR100" i="25"/>
  <c r="CR65" i="25"/>
  <c r="CR117" i="25"/>
  <c r="CR133" i="25"/>
  <c r="CR149" i="25"/>
  <c r="CR165" i="25"/>
  <c r="CR213" i="25"/>
  <c r="AG312" i="25"/>
  <c r="AG304" i="25"/>
  <c r="AL304" i="25" s="1"/>
  <c r="K266" i="25"/>
  <c r="AI271" i="25"/>
  <c r="M271" i="25" s="1"/>
  <c r="AH255" i="25"/>
  <c r="AM255" i="25" s="1"/>
  <c r="AI252" i="25"/>
  <c r="AN252" i="25" s="1"/>
  <c r="R252" i="25" s="1"/>
  <c r="CR251" i="25"/>
  <c r="CR291" i="25"/>
  <c r="CR315" i="25"/>
  <c r="CR323" i="25"/>
  <c r="CR58" i="25"/>
  <c r="CR122" i="25"/>
  <c r="CR158" i="25"/>
  <c r="CR289" i="25"/>
  <c r="CR349" i="25"/>
  <c r="CR24" i="25"/>
  <c r="CL48" i="25"/>
  <c r="CL64" i="25"/>
  <c r="CR136" i="25"/>
  <c r="CR294" i="25"/>
  <c r="CR298" i="25"/>
  <c r="CR330" i="25"/>
  <c r="CR29" i="25"/>
  <c r="CR173" i="25"/>
  <c r="CL201" i="25"/>
  <c r="AI276" i="25"/>
  <c r="AN276" i="25" s="1"/>
  <c r="R276" i="25" s="1"/>
  <c r="CM253" i="25"/>
  <c r="CR257" i="25"/>
  <c r="CR273" i="25"/>
  <c r="CM72" i="25"/>
  <c r="CM104" i="25"/>
  <c r="CL116" i="25"/>
  <c r="CL148" i="25"/>
  <c r="CR152" i="25"/>
  <c r="CR316" i="25"/>
  <c r="CR348" i="25"/>
  <c r="AF299" i="25"/>
  <c r="J299" i="25" s="1"/>
  <c r="AH256" i="25"/>
  <c r="AM256" i="25" s="1"/>
  <c r="AH251" i="25"/>
  <c r="AM251" i="25" s="1"/>
  <c r="AI347" i="25"/>
  <c r="AN347" i="25" s="1"/>
  <c r="R347" i="25" s="1"/>
  <c r="CR279" i="25"/>
  <c r="CR302" i="25"/>
  <c r="CR310" i="25"/>
  <c r="CR334" i="25"/>
  <c r="CR260" i="25"/>
  <c r="CR23" i="25"/>
  <c r="CR63" i="25"/>
  <c r="CR234" i="25"/>
  <c r="AF339" i="25"/>
  <c r="CN294" i="25"/>
  <c r="CQ294" i="25" s="1"/>
  <c r="AG291" i="25"/>
  <c r="AL291" i="25" s="1"/>
  <c r="AG259" i="25"/>
  <c r="AH296" i="25"/>
  <c r="AM296" i="25" s="1"/>
  <c r="AH331" i="25"/>
  <c r="AM331" i="25" s="1"/>
  <c r="AF315" i="25"/>
  <c r="J315" i="25" s="1"/>
  <c r="AG347" i="25"/>
  <c r="CL136" i="25"/>
  <c r="CL168" i="25"/>
  <c r="CR286" i="25"/>
  <c r="CL298" i="25"/>
  <c r="CM314" i="25"/>
  <c r="CL330" i="25"/>
  <c r="CM346" i="25"/>
  <c r="CR350" i="25"/>
  <c r="I257" i="25"/>
  <c r="AH257" i="25"/>
  <c r="AM257" i="25" s="1"/>
  <c r="Q257" i="25" s="1"/>
  <c r="AH265" i="25"/>
  <c r="L265" i="25" s="1"/>
  <c r="AG265" i="25"/>
  <c r="I281" i="25"/>
  <c r="AH281" i="25"/>
  <c r="AM281" i="25" s="1"/>
  <c r="Q281" i="25" s="1"/>
  <c r="AG297" i="25"/>
  <c r="K297" i="25" s="1"/>
  <c r="AH297" i="25"/>
  <c r="AM297" i="25" s="1"/>
  <c r="Q297" i="25" s="1"/>
  <c r="I337" i="25"/>
  <c r="AI337" i="25"/>
  <c r="AN337" i="25" s="1"/>
  <c r="R337" i="25" s="1"/>
  <c r="CN68" i="25"/>
  <c r="CR68" i="25"/>
  <c r="I280" i="25"/>
  <c r="AI280" i="25"/>
  <c r="M280" i="25" s="1"/>
  <c r="AH280" i="25"/>
  <c r="AM280" i="25" s="1"/>
  <c r="Q280" i="25" s="1"/>
  <c r="I288" i="25"/>
  <c r="AI288" i="25"/>
  <c r="M288" i="25" s="1"/>
  <c r="AF288" i="25"/>
  <c r="J288" i="25" s="1"/>
  <c r="CN280" i="25"/>
  <c r="CP280" i="25" s="1"/>
  <c r="CR280" i="25"/>
  <c r="I308" i="25"/>
  <c r="AG308" i="25"/>
  <c r="AL308" i="25" s="1"/>
  <c r="AG337" i="25"/>
  <c r="K337" i="25" s="1"/>
  <c r="CR170" i="25"/>
  <c r="CR306" i="25"/>
  <c r="CR338" i="25"/>
  <c r="I289" i="25"/>
  <c r="AI289" i="25"/>
  <c r="M289" i="25" s="1"/>
  <c r="AH313" i="25"/>
  <c r="L313" i="25" s="1"/>
  <c r="AG313" i="25"/>
  <c r="AL313" i="25" s="1"/>
  <c r="I329" i="25"/>
  <c r="AH329" i="25"/>
  <c r="AM329" i="25" s="1"/>
  <c r="Q329" i="25" s="1"/>
  <c r="I345" i="25"/>
  <c r="AI345" i="25"/>
  <c r="AN345" i="25" s="1"/>
  <c r="R345" i="25" s="1"/>
  <c r="I264" i="25"/>
  <c r="AI264" i="25"/>
  <c r="AN264" i="25" s="1"/>
  <c r="R264" i="25" s="1"/>
  <c r="AF264" i="25"/>
  <c r="J264" i="25" s="1"/>
  <c r="CN345" i="25"/>
  <c r="CP345" i="25" s="1"/>
  <c r="K328" i="25"/>
  <c r="AF329" i="25"/>
  <c r="J329" i="25" s="1"/>
  <c r="AH249" i="25"/>
  <c r="L249" i="25" s="1"/>
  <c r="AG280" i="25"/>
  <c r="K280" i="25" s="1"/>
  <c r="CM120" i="25"/>
  <c r="CR128" i="25"/>
  <c r="CM176" i="25"/>
  <c r="CR258" i="25"/>
  <c r="CR342" i="25"/>
  <c r="CR17" i="25"/>
  <c r="AI346" i="25"/>
  <c r="M346" i="25" s="1"/>
  <c r="AF343" i="25"/>
  <c r="AQ343" i="25" s="1"/>
  <c r="AH335" i="25"/>
  <c r="AJ335" i="25" s="1"/>
  <c r="AI338" i="25"/>
  <c r="M338" i="25" s="1"/>
  <c r="AF338" i="25"/>
  <c r="J338" i="25" s="1"/>
  <c r="AF318" i="25"/>
  <c r="J318" i="25" s="1"/>
  <c r="AI310" i="25"/>
  <c r="AN310" i="25" s="1"/>
  <c r="R310" i="25" s="1"/>
  <c r="AH302" i="25"/>
  <c r="AH278" i="25"/>
  <c r="L278" i="25" s="1"/>
  <c r="AG271" i="25"/>
  <c r="AL271" i="25" s="1"/>
  <c r="AI279" i="25"/>
  <c r="AN279" i="25" s="1"/>
  <c r="R279" i="25" s="1"/>
  <c r="AI263" i="25"/>
  <c r="AN263" i="25" s="1"/>
  <c r="R263" i="25" s="1"/>
  <c r="AG239" i="25"/>
  <c r="K239" i="25" s="1"/>
  <c r="AF303" i="25"/>
  <c r="J303" i="25" s="1"/>
  <c r="AF319" i="25"/>
  <c r="AI336" i="25"/>
  <c r="AI303" i="25"/>
  <c r="M303" i="25" s="1"/>
  <c r="K261" i="25"/>
  <c r="CR245" i="25"/>
  <c r="CR253" i="25"/>
  <c r="CL261" i="25"/>
  <c r="CL269" i="25"/>
  <c r="CL293" i="25"/>
  <c r="CL301" i="25"/>
  <c r="CL309" i="25"/>
  <c r="CL317" i="25"/>
  <c r="CM325" i="25"/>
  <c r="CR337" i="25"/>
  <c r="CM333" i="25"/>
  <c r="CM16" i="25"/>
  <c r="CM32" i="25"/>
  <c r="CR208" i="25"/>
  <c r="CR290" i="25"/>
  <c r="CL306" i="25"/>
  <c r="CL338" i="25"/>
  <c r="CR231" i="25"/>
  <c r="CR244" i="25"/>
  <c r="CR328" i="25"/>
  <c r="CR344" i="25"/>
  <c r="CM88" i="25"/>
  <c r="CM124" i="25"/>
  <c r="CR322" i="25"/>
  <c r="AH338" i="25"/>
  <c r="AM338" i="25" s="1"/>
  <c r="AF302" i="25"/>
  <c r="J302" i="25" s="1"/>
  <c r="J301" i="25"/>
  <c r="AI270" i="25"/>
  <c r="AN270" i="25" s="1"/>
  <c r="R270" i="25" s="1"/>
  <c r="AI262" i="25"/>
  <c r="AN262" i="25" s="1"/>
  <c r="R262" i="25" s="1"/>
  <c r="AF271" i="25"/>
  <c r="AG276" i="25"/>
  <c r="AH244" i="25"/>
  <c r="L244" i="25" s="1"/>
  <c r="AG295" i="25"/>
  <c r="K295" i="25" s="1"/>
  <c r="AH279" i="25"/>
  <c r="AM279" i="25" s="1"/>
  <c r="AH263" i="25"/>
  <c r="L263" i="25" s="1"/>
  <c r="AG287" i="25"/>
  <c r="K287" i="25" s="1"/>
  <c r="AF256" i="25"/>
  <c r="J256" i="25" s="1"/>
  <c r="AG319" i="25"/>
  <c r="AL319" i="25" s="1"/>
  <c r="CR114" i="25"/>
  <c r="CR130" i="25"/>
  <c r="CR249" i="25"/>
  <c r="CR281" i="25"/>
  <c r="CR305" i="25"/>
  <c r="CR313" i="25"/>
  <c r="CR325" i="25"/>
  <c r="CR341" i="25"/>
  <c r="CM56" i="25"/>
  <c r="CL80" i="25"/>
  <c r="CL128" i="25"/>
  <c r="CL180" i="25"/>
  <c r="CR246" i="25"/>
  <c r="CR262" i="25"/>
  <c r="CR320" i="25"/>
  <c r="CM265" i="25"/>
  <c r="CN265" i="25"/>
  <c r="CQ265" i="25" s="1"/>
  <c r="CL277" i="25"/>
  <c r="CN277" i="25"/>
  <c r="CQ277" i="25" s="1"/>
  <c r="CL285" i="25"/>
  <c r="CR285" i="25"/>
  <c r="CR293" i="25"/>
  <c r="J272" i="25"/>
  <c r="CR162" i="25"/>
  <c r="CR227" i="25"/>
  <c r="CR283" i="25"/>
  <c r="CR26" i="25"/>
  <c r="J260" i="25"/>
  <c r="CL299" i="25"/>
  <c r="CL331" i="25"/>
  <c r="CL339" i="25"/>
  <c r="CR106" i="25"/>
  <c r="CR154" i="25"/>
  <c r="K249" i="25"/>
  <c r="CR241" i="25"/>
  <c r="CL245" i="25"/>
  <c r="CM273" i="25"/>
  <c r="CR277" i="25"/>
  <c r="CM341" i="25"/>
  <c r="CL24" i="25"/>
  <c r="CM40" i="25"/>
  <c r="CM96" i="25"/>
  <c r="CL112" i="25"/>
  <c r="CM132" i="25"/>
  <c r="CM184" i="25"/>
  <c r="CR254" i="25"/>
  <c r="CR266" i="25"/>
  <c r="CR270" i="25"/>
  <c r="CR73" i="25"/>
  <c r="CR203" i="25"/>
  <c r="CR239" i="25"/>
  <c r="CM152" i="25"/>
  <c r="CL322" i="25"/>
  <c r="CR41" i="25"/>
  <c r="CM189" i="25"/>
  <c r="CM205" i="25"/>
  <c r="CM225" i="25"/>
  <c r="CR44" i="25"/>
  <c r="CR243" i="25"/>
  <c r="CR255" i="25"/>
  <c r="CR263" i="25"/>
  <c r="CR303" i="25"/>
  <c r="CM307" i="25"/>
  <c r="CM323" i="25"/>
  <c r="CR339" i="25"/>
  <c r="CR343" i="25"/>
  <c r="CL241" i="25"/>
  <c r="CM257" i="25"/>
  <c r="CL140" i="25"/>
  <c r="CM144" i="25"/>
  <c r="CR148" i="25"/>
  <c r="CL156" i="25"/>
  <c r="CM160" i="25"/>
  <c r="CM164" i="25"/>
  <c r="CR168" i="25"/>
  <c r="CR326" i="25"/>
  <c r="CR69" i="25"/>
  <c r="CL193" i="25"/>
  <c r="CM197" i="25"/>
  <c r="CL209" i="25"/>
  <c r="CM213" i="25"/>
  <c r="CM217" i="25"/>
  <c r="CL229" i="25"/>
  <c r="CM233" i="25"/>
  <c r="K272" i="25"/>
  <c r="K268" i="25"/>
  <c r="K273" i="25"/>
  <c r="K241" i="25"/>
  <c r="AF345" i="25"/>
  <c r="J345" i="25" s="1"/>
  <c r="AH330" i="25"/>
  <c r="AI322" i="25"/>
  <c r="M322" i="25" s="1"/>
  <c r="AI318" i="25"/>
  <c r="M318" i="25" s="1"/>
  <c r="AH312" i="25"/>
  <c r="L312" i="25" s="1"/>
  <c r="AH310" i="25"/>
  <c r="AM310" i="25" s="1"/>
  <c r="AH308" i="25"/>
  <c r="AM308" i="25" s="1"/>
  <c r="AG302" i="25"/>
  <c r="K302" i="25" s="1"/>
  <c r="AH337" i="25"/>
  <c r="AG286" i="25"/>
  <c r="K286" i="25" s="1"/>
  <c r="AF342" i="25"/>
  <c r="J342" i="25" s="1"/>
  <c r="AH270" i="25"/>
  <c r="AK270" i="25" s="1"/>
  <c r="AG262" i="25"/>
  <c r="AH334" i="25"/>
  <c r="L334" i="25" s="1"/>
  <c r="AG288" i="25"/>
  <c r="AL288" i="25" s="1"/>
  <c r="AF277" i="25"/>
  <c r="J277" i="25" s="1"/>
  <c r="AH273" i="25"/>
  <c r="AJ273" i="25" s="1"/>
  <c r="AH264" i="25"/>
  <c r="AM264" i="25" s="1"/>
  <c r="AG253" i="25"/>
  <c r="K253" i="25" s="1"/>
  <c r="AH245" i="25"/>
  <c r="L245" i="25" s="1"/>
  <c r="AH289" i="25"/>
  <c r="L289" i="25" s="1"/>
  <c r="AF321" i="25"/>
  <c r="J321" i="25" s="1"/>
  <c r="AI321" i="25"/>
  <c r="AN321" i="25" s="1"/>
  <c r="R321" i="25" s="1"/>
  <c r="AH345" i="25"/>
  <c r="L345" i="25" s="1"/>
  <c r="AG349" i="25"/>
  <c r="AG338" i="25"/>
  <c r="K338" i="25" s="1"/>
  <c r="AF330" i="25"/>
  <c r="J330" i="25" s="1"/>
  <c r="AG318" i="25"/>
  <c r="K318" i="25" s="1"/>
  <c r="AI314" i="25"/>
  <c r="M314" i="25" s="1"/>
  <c r="AF312" i="25"/>
  <c r="AF310" i="25"/>
  <c r="J310" i="25" s="1"/>
  <c r="AF308" i="25"/>
  <c r="J308" i="25" s="1"/>
  <c r="AI302" i="25"/>
  <c r="AG329" i="25"/>
  <c r="AL329" i="25" s="1"/>
  <c r="AH288" i="25"/>
  <c r="L288" i="25" s="1"/>
  <c r="AF265" i="25"/>
  <c r="J265" i="25" s="1"/>
  <c r="AF250" i="25"/>
  <c r="J250" i="25" s="1"/>
  <c r="AI281" i="25"/>
  <c r="AN281" i="25" s="1"/>
  <c r="R281" i="25" s="1"/>
  <c r="AG264" i="25"/>
  <c r="K264" i="25" s="1"/>
  <c r="AF285" i="25"/>
  <c r="J285" i="25" s="1"/>
  <c r="AI257" i="25"/>
  <c r="AN257" i="25" s="1"/>
  <c r="R257" i="25" s="1"/>
  <c r="AI305" i="25"/>
  <c r="M305" i="25" s="1"/>
  <c r="AF242" i="25"/>
  <c r="J242" i="25" s="1"/>
  <c r="K244" i="25"/>
  <c r="AM253" i="25"/>
  <c r="L253" i="25"/>
  <c r="AM269" i="25"/>
  <c r="Q269" i="25" s="1"/>
  <c r="L269" i="25"/>
  <c r="K246" i="25"/>
  <c r="AI283" i="25"/>
  <c r="I283" i="25"/>
  <c r="CM127" i="25"/>
  <c r="CL127" i="25"/>
  <c r="AG269" i="25"/>
  <c r="K269" i="25" s="1"/>
  <c r="K260" i="25"/>
  <c r="AH259" i="25"/>
  <c r="AF280" i="25"/>
  <c r="J280" i="25" s="1"/>
  <c r="AI277" i="25"/>
  <c r="AF276" i="25"/>
  <c r="J276" i="25" s="1"/>
  <c r="AG255" i="25"/>
  <c r="K255" i="25" s="1"/>
  <c r="AG250" i="25"/>
  <c r="K250" i="25" s="1"/>
  <c r="AF296" i="25"/>
  <c r="J296" i="25" s="1"/>
  <c r="AI295" i="25"/>
  <c r="J292" i="25"/>
  <c r="AM284" i="25"/>
  <c r="L284" i="25"/>
  <c r="AF281" i="25"/>
  <c r="J281" i="25" s="1"/>
  <c r="AF279" i="25"/>
  <c r="J279" i="25" s="1"/>
  <c r="AF275" i="25"/>
  <c r="J275" i="25" s="1"/>
  <c r="AF263" i="25"/>
  <c r="J263" i="25" s="1"/>
  <c r="AG248" i="25"/>
  <c r="K248" i="25" s="1"/>
  <c r="J241" i="25"/>
  <c r="AI331" i="25"/>
  <c r="CN269" i="25"/>
  <c r="CP269" i="25" s="1"/>
  <c r="AN268" i="25"/>
  <c r="R268" i="25" s="1"/>
  <c r="M268" i="25"/>
  <c r="AF289" i="25"/>
  <c r="J289" i="25" s="1"/>
  <c r="AI287" i="25"/>
  <c r="AI285" i="25"/>
  <c r="AI267" i="25"/>
  <c r="AG257" i="25"/>
  <c r="K257" i="25" s="1"/>
  <c r="AG256" i="25"/>
  <c r="K256" i="25" s="1"/>
  <c r="CO253" i="25"/>
  <c r="CP253" i="25" s="1"/>
  <c r="AF251" i="25"/>
  <c r="J251" i="25" s="1"/>
  <c r="AI248" i="25"/>
  <c r="AG243" i="25"/>
  <c r="K243" i="25" s="1"/>
  <c r="AH239" i="25"/>
  <c r="AH307" i="25"/>
  <c r="AH315" i="25"/>
  <c r="AH323" i="25"/>
  <c r="AF325" i="25"/>
  <c r="AF309" i="25"/>
  <c r="AG325" i="25"/>
  <c r="AG309" i="25"/>
  <c r="AG321" i="25"/>
  <c r="K321" i="25" s="1"/>
  <c r="AG305" i="25"/>
  <c r="AG348" i="25"/>
  <c r="AG317" i="25"/>
  <c r="AG242" i="25"/>
  <c r="CO347" i="25"/>
  <c r="AI333" i="25"/>
  <c r="AG303" i="25"/>
  <c r="AG315" i="25"/>
  <c r="AG327" i="25"/>
  <c r="AI319" i="25"/>
  <c r="CL259" i="25"/>
  <c r="CM259" i="25"/>
  <c r="CL271" i="25"/>
  <c r="CM271" i="25"/>
  <c r="CM283" i="25"/>
  <c r="CL283" i="25"/>
  <c r="CM291" i="25"/>
  <c r="CL291" i="25"/>
  <c r="CM299" i="25"/>
  <c r="CL303" i="25"/>
  <c r="CM303" i="25"/>
  <c r="CL323" i="25"/>
  <c r="CM331" i="25"/>
  <c r="CL335" i="25"/>
  <c r="CM335" i="25"/>
  <c r="CM339" i="25"/>
  <c r="CL239" i="25"/>
  <c r="CM239" i="25"/>
  <c r="CL22" i="25"/>
  <c r="CM22" i="25"/>
  <c r="CL26" i="25"/>
  <c r="CM26" i="25"/>
  <c r="CL42" i="25"/>
  <c r="CM42" i="25"/>
  <c r="CL62" i="25"/>
  <c r="CM62" i="25"/>
  <c r="CL102" i="25"/>
  <c r="CM102" i="25"/>
  <c r="CL114" i="25"/>
  <c r="CM114" i="25"/>
  <c r="CL130" i="25"/>
  <c r="CM130" i="25"/>
  <c r="CL146" i="25"/>
  <c r="CM146" i="25"/>
  <c r="CL166" i="25"/>
  <c r="CM166" i="25"/>
  <c r="CL182" i="25"/>
  <c r="CM182" i="25"/>
  <c r="CM206" i="25"/>
  <c r="CL206" i="25"/>
  <c r="CM222" i="25"/>
  <c r="CL222" i="25"/>
  <c r="AG240" i="25"/>
  <c r="I240" i="25"/>
  <c r="CM241" i="25"/>
  <c r="CM245" i="25"/>
  <c r="CM249" i="25"/>
  <c r="CL257" i="25"/>
  <c r="CL265" i="25"/>
  <c r="CL273" i="25"/>
  <c r="CM277" i="25"/>
  <c r="CL281" i="25"/>
  <c r="CM281" i="25"/>
  <c r="CM289" i="25"/>
  <c r="CL289" i="25"/>
  <c r="CL297" i="25"/>
  <c r="CM297" i="25"/>
  <c r="CL305" i="25"/>
  <c r="CM305" i="25"/>
  <c r="CM313" i="25"/>
  <c r="CL313" i="25"/>
  <c r="CL329" i="25"/>
  <c r="CM329" i="25"/>
  <c r="CL341" i="25"/>
  <c r="CL349" i="25"/>
  <c r="CM24" i="25"/>
  <c r="CL40" i="25"/>
  <c r="CL44" i="25"/>
  <c r="CM44" i="25"/>
  <c r="CM48" i="25"/>
  <c r="CL60" i="25"/>
  <c r="CM60" i="25"/>
  <c r="CM64" i="25"/>
  <c r="CL72" i="25"/>
  <c r="CL96" i="25"/>
  <c r="CL104" i="25"/>
  <c r="CM112" i="25"/>
  <c r="CM116" i="25"/>
  <c r="CL132" i="25"/>
  <c r="CM136" i="25"/>
  <c r="CM140" i="25"/>
  <c r="CL152" i="25"/>
  <c r="CM156" i="25"/>
  <c r="CO168" i="25"/>
  <c r="CQ168" i="25" s="1"/>
  <c r="CL176" i="25"/>
  <c r="CM180" i="25"/>
  <c r="CM196" i="25"/>
  <c r="CL196" i="25"/>
  <c r="CM212" i="25"/>
  <c r="CL212" i="25"/>
  <c r="CM228" i="25"/>
  <c r="CL228" i="25"/>
  <c r="CM242" i="25"/>
  <c r="CL242" i="25"/>
  <c r="CM250" i="25"/>
  <c r="CL250" i="25"/>
  <c r="CM258" i="25"/>
  <c r="CL258" i="25"/>
  <c r="CL274" i="25"/>
  <c r="CM274" i="25"/>
  <c r="CM286" i="25"/>
  <c r="CL286" i="25"/>
  <c r="CM298" i="25"/>
  <c r="CM302" i="25"/>
  <c r="CL302" i="25"/>
  <c r="CL314" i="25"/>
  <c r="CM318" i="25"/>
  <c r="CL318" i="25"/>
  <c r="CM326" i="25"/>
  <c r="CL326" i="25"/>
  <c r="CM330" i="25"/>
  <c r="CM334" i="25"/>
  <c r="CL334" i="25"/>
  <c r="CL346" i="25"/>
  <c r="CM350" i="25"/>
  <c r="CL350" i="25"/>
  <c r="CL21" i="25"/>
  <c r="CM21" i="25"/>
  <c r="CL37" i="25"/>
  <c r="CM37" i="25"/>
  <c r="CM49" i="25"/>
  <c r="CL49" i="25"/>
  <c r="CM61" i="25"/>
  <c r="CL61" i="25"/>
  <c r="CM89" i="25"/>
  <c r="CL89" i="25"/>
  <c r="CL101" i="25"/>
  <c r="CM101" i="25"/>
  <c r="CM121" i="25"/>
  <c r="CL121" i="25"/>
  <c r="CM137" i="25"/>
  <c r="CL137" i="25"/>
  <c r="CM153" i="25"/>
  <c r="CL153" i="25"/>
  <c r="CM169" i="25"/>
  <c r="CL169" i="25"/>
  <c r="CM185" i="25"/>
  <c r="CL185" i="25"/>
  <c r="CL197" i="25"/>
  <c r="CM201" i="25"/>
  <c r="CL213" i="25"/>
  <c r="CL217" i="25"/>
  <c r="CM221" i="25"/>
  <c r="CL233" i="25"/>
  <c r="CL237" i="25"/>
  <c r="CL252" i="25"/>
  <c r="CM252" i="25"/>
  <c r="CL272" i="25"/>
  <c r="CM272" i="25"/>
  <c r="CL300" i="25"/>
  <c r="CM300" i="25"/>
  <c r="CL312" i="25"/>
  <c r="CM312" i="25"/>
  <c r="CM340" i="25"/>
  <c r="CL340" i="25"/>
  <c r="CM324" i="25"/>
  <c r="CL324" i="25"/>
  <c r="CL63" i="25"/>
  <c r="CM63" i="25"/>
  <c r="CM75" i="25"/>
  <c r="CL75" i="25"/>
  <c r="CL87" i="25"/>
  <c r="CM87" i="25"/>
  <c r="CL103" i="25"/>
  <c r="CM103" i="25"/>
  <c r="CM123" i="25"/>
  <c r="CL123" i="25"/>
  <c r="CM139" i="25"/>
  <c r="CL139" i="25"/>
  <c r="CM159" i="25"/>
  <c r="CL159" i="25"/>
  <c r="CM175" i="25"/>
  <c r="CL175" i="25"/>
  <c r="CL195" i="25"/>
  <c r="CM195" i="25"/>
  <c r="CL211" i="25"/>
  <c r="CM211" i="25"/>
  <c r="CL231" i="25"/>
  <c r="CM231" i="25"/>
  <c r="CL235" i="25"/>
  <c r="CM235" i="25"/>
  <c r="CL244" i="25"/>
  <c r="CM244" i="25"/>
  <c r="CL248" i="25"/>
  <c r="CM248" i="25"/>
  <c r="CM316" i="25"/>
  <c r="CL316" i="25"/>
  <c r="CM348" i="25"/>
  <c r="CL348" i="25"/>
  <c r="CM143" i="25"/>
  <c r="CL143" i="25"/>
  <c r="J300" i="25"/>
  <c r="AG299" i="25"/>
  <c r="K299" i="25" s="1"/>
  <c r="AH283" i="25"/>
  <c r="CR278" i="25"/>
  <c r="AM262" i="25"/>
  <c r="Q262" i="25" s="1"/>
  <c r="L262" i="25"/>
  <c r="AI334" i="25"/>
  <c r="AF291" i="25"/>
  <c r="J291" i="25" s="1"/>
  <c r="AG277" i="25"/>
  <c r="AI250" i="25"/>
  <c r="AG296" i="25"/>
  <c r="K296" i="25" s="1"/>
  <c r="K292" i="25"/>
  <c r="J284" i="25"/>
  <c r="AI275" i="25"/>
  <c r="AI245" i="25"/>
  <c r="AN240" i="25"/>
  <c r="R240" i="25" s="1"/>
  <c r="M240" i="25"/>
  <c r="AM268" i="25"/>
  <c r="L268" i="25"/>
  <c r="CN261" i="25"/>
  <c r="J311" i="25"/>
  <c r="AF347" i="25"/>
  <c r="J347" i="25" s="1"/>
  <c r="AI323" i="25"/>
  <c r="CL267" i="25"/>
  <c r="CM267" i="25"/>
  <c r="CL78" i="25"/>
  <c r="CM78" i="25"/>
  <c r="CL94" i="25"/>
  <c r="CM94" i="25"/>
  <c r="CL110" i="25"/>
  <c r="CM110" i="25"/>
  <c r="CL158" i="25"/>
  <c r="CM158" i="25"/>
  <c r="CM202" i="25"/>
  <c r="CL202" i="25"/>
  <c r="CM218" i="25"/>
  <c r="CL218" i="25"/>
  <c r="AI249" i="25"/>
  <c r="I249" i="25"/>
  <c r="AI265" i="25"/>
  <c r="I265" i="25"/>
  <c r="AI273" i="25"/>
  <c r="I273" i="25"/>
  <c r="AI297" i="25"/>
  <c r="I297" i="25"/>
  <c r="AF313" i="25"/>
  <c r="J313" i="25" s="1"/>
  <c r="I313" i="25"/>
  <c r="CM261" i="25"/>
  <c r="CM269" i="25"/>
  <c r="CM293" i="25"/>
  <c r="CM301" i="25"/>
  <c r="CM309" i="25"/>
  <c r="CL325" i="25"/>
  <c r="CL337" i="25"/>
  <c r="CM337" i="25"/>
  <c r="CM345" i="25"/>
  <c r="CL345" i="25"/>
  <c r="CL333" i="25"/>
  <c r="CL20" i="25"/>
  <c r="CM20" i="25"/>
  <c r="CL84" i="25"/>
  <c r="CM84" i="25"/>
  <c r="CL108" i="25"/>
  <c r="CM108" i="25"/>
  <c r="CM192" i="25"/>
  <c r="CL192" i="25"/>
  <c r="CM208" i="25"/>
  <c r="CL208" i="25"/>
  <c r="CM224" i="25"/>
  <c r="CL224" i="25"/>
  <c r="AF246" i="25"/>
  <c r="J246" i="25" s="1"/>
  <c r="I246" i="25"/>
  <c r="AF254" i="25"/>
  <c r="I254" i="25"/>
  <c r="AF262" i="25"/>
  <c r="J262" i="25" s="1"/>
  <c r="I262" i="25"/>
  <c r="AF270" i="25"/>
  <c r="I270" i="25"/>
  <c r="AF278" i="25"/>
  <c r="J278" i="25" s="1"/>
  <c r="I278" i="25"/>
  <c r="AF286" i="25"/>
  <c r="J286" i="25" s="1"/>
  <c r="I286" i="25"/>
  <c r="AF294" i="25"/>
  <c r="J294" i="25" s="1"/>
  <c r="I294" i="25"/>
  <c r="AH346" i="25"/>
  <c r="I346" i="25"/>
  <c r="CM254" i="25"/>
  <c r="CL254" i="25"/>
  <c r="CL290" i="25"/>
  <c r="CM290" i="25"/>
  <c r="CM294" i="25"/>
  <c r="CL294" i="25"/>
  <c r="CM306" i="25"/>
  <c r="CM338" i="25"/>
  <c r="CM25" i="25"/>
  <c r="CL25" i="25"/>
  <c r="CL53" i="25"/>
  <c r="CM53" i="25"/>
  <c r="CM65" i="25"/>
  <c r="CL65" i="25"/>
  <c r="CM73" i="25"/>
  <c r="CL73" i="25"/>
  <c r="CM81" i="25"/>
  <c r="CL81" i="25"/>
  <c r="CM93" i="25"/>
  <c r="CL93" i="25"/>
  <c r="CM97" i="25"/>
  <c r="CL97" i="25"/>
  <c r="CM117" i="25"/>
  <c r="CL117" i="25"/>
  <c r="CM133" i="25"/>
  <c r="CL133" i="25"/>
  <c r="CM149" i="25"/>
  <c r="CL149" i="25"/>
  <c r="CM165" i="25"/>
  <c r="CL165" i="25"/>
  <c r="CM181" i="25"/>
  <c r="CL181" i="25"/>
  <c r="CL260" i="25"/>
  <c r="CM260" i="25"/>
  <c r="CM284" i="25"/>
  <c r="CL284" i="25"/>
  <c r="CL240" i="25"/>
  <c r="CM240" i="25"/>
  <c r="CL23" i="25"/>
  <c r="CM23" i="25"/>
  <c r="CL31" i="25"/>
  <c r="CM31" i="25"/>
  <c r="CM43" i="25"/>
  <c r="CL43" i="25"/>
  <c r="CM67" i="25"/>
  <c r="CL67" i="25"/>
  <c r="CL79" i="25"/>
  <c r="CM79" i="25"/>
  <c r="CM99" i="25"/>
  <c r="CL99" i="25"/>
  <c r="CM107" i="25"/>
  <c r="CL107" i="25"/>
  <c r="CM119" i="25"/>
  <c r="CL119" i="25"/>
  <c r="CM135" i="25"/>
  <c r="CL135" i="25"/>
  <c r="CM151" i="25"/>
  <c r="CL151" i="25"/>
  <c r="CM155" i="25"/>
  <c r="CL155" i="25"/>
  <c r="CM171" i="25"/>
  <c r="CL171" i="25"/>
  <c r="CL191" i="25"/>
  <c r="CM191" i="25"/>
  <c r="CL207" i="25"/>
  <c r="CM207" i="25"/>
  <c r="CL223" i="25"/>
  <c r="CM223" i="25"/>
  <c r="CL227" i="25"/>
  <c r="CM227" i="25"/>
  <c r="CM276" i="25"/>
  <c r="CL276" i="25"/>
  <c r="AN350" i="25"/>
  <c r="R350" i="25" s="1"/>
  <c r="M350" i="25"/>
  <c r="AN344" i="25"/>
  <c r="R344" i="25" s="1"/>
  <c r="M344" i="25"/>
  <c r="AN308" i="25"/>
  <c r="R308" i="25" s="1"/>
  <c r="M308" i="25"/>
  <c r="AN298" i="25"/>
  <c r="R298" i="25" s="1"/>
  <c r="M298" i="25"/>
  <c r="AN290" i="25"/>
  <c r="R290" i="25" s="1"/>
  <c r="M290" i="25"/>
  <c r="AM282" i="25"/>
  <c r="Q282" i="25" s="1"/>
  <c r="L282" i="25"/>
  <c r="AN294" i="25"/>
  <c r="R294" i="25" s="1"/>
  <c r="M294" i="25"/>
  <c r="AM293" i="25"/>
  <c r="Q293" i="25" s="1"/>
  <c r="L293" i="25"/>
  <c r="AN258" i="25"/>
  <c r="R258" i="25" s="1"/>
  <c r="M258" i="25"/>
  <c r="AN300" i="25"/>
  <c r="R300" i="25" s="1"/>
  <c r="M300" i="25"/>
  <c r="K270" i="25"/>
  <c r="AN272" i="25"/>
  <c r="R272" i="25" s="1"/>
  <c r="M272" i="25"/>
  <c r="AM292" i="25"/>
  <c r="L292" i="25"/>
  <c r="AN284" i="25"/>
  <c r="R284" i="25" s="1"/>
  <c r="M284" i="25"/>
  <c r="AH275" i="25"/>
  <c r="AF267" i="25"/>
  <c r="J267" i="25" s="1"/>
  <c r="CM275" i="25"/>
  <c r="CL275" i="25"/>
  <c r="CL279" i="25"/>
  <c r="CM279" i="25"/>
  <c r="CL287" i="25"/>
  <c r="CM287" i="25"/>
  <c r="CL295" i="25"/>
  <c r="CM295" i="25"/>
  <c r="CL319" i="25"/>
  <c r="CM319" i="25"/>
  <c r="CL30" i="25"/>
  <c r="CM30" i="25"/>
  <c r="CL34" i="25"/>
  <c r="CM34" i="25"/>
  <c r="CL46" i="25"/>
  <c r="CM46" i="25"/>
  <c r="CL50" i="25"/>
  <c r="CM50" i="25"/>
  <c r="CL66" i="25"/>
  <c r="CM66" i="25"/>
  <c r="CL70" i="25"/>
  <c r="CM70" i="25"/>
  <c r="CL86" i="25"/>
  <c r="CM86" i="25"/>
  <c r="CL118" i="25"/>
  <c r="CM118" i="25"/>
  <c r="CL134" i="25"/>
  <c r="CM134" i="25"/>
  <c r="CL150" i="25"/>
  <c r="CM150" i="25"/>
  <c r="CL170" i="25"/>
  <c r="CM170" i="25"/>
  <c r="CM186" i="25"/>
  <c r="CL186" i="25"/>
  <c r="CM190" i="25"/>
  <c r="CL190" i="25"/>
  <c r="CM194" i="25"/>
  <c r="CL194" i="25"/>
  <c r="CM210" i="25"/>
  <c r="CL210" i="25"/>
  <c r="CM226" i="25"/>
  <c r="CL226" i="25"/>
  <c r="AI253" i="25"/>
  <c r="I253" i="25"/>
  <c r="AI261" i="25"/>
  <c r="I261" i="25"/>
  <c r="AI269" i="25"/>
  <c r="I269" i="25"/>
  <c r="AI293" i="25"/>
  <c r="I293" i="25"/>
  <c r="AI301" i="25"/>
  <c r="I301" i="25"/>
  <c r="CL28" i="25"/>
  <c r="CM28" i="25"/>
  <c r="CL52" i="25"/>
  <c r="CM52" i="25"/>
  <c r="CL100" i="25"/>
  <c r="CM100" i="25"/>
  <c r="CM200" i="25"/>
  <c r="CL200" i="25"/>
  <c r="CM216" i="25"/>
  <c r="CL216" i="25"/>
  <c r="CM232" i="25"/>
  <c r="CL232" i="25"/>
  <c r="AF258" i="25"/>
  <c r="J258" i="25" s="1"/>
  <c r="I258" i="25"/>
  <c r="AF266" i="25"/>
  <c r="J266" i="25" s="1"/>
  <c r="I266" i="25"/>
  <c r="AF274" i="25"/>
  <c r="J274" i="25" s="1"/>
  <c r="I274" i="25"/>
  <c r="AF282" i="25"/>
  <c r="J282" i="25" s="1"/>
  <c r="I282" i="25"/>
  <c r="AF290" i="25"/>
  <c r="J290" i="25" s="1"/>
  <c r="I290" i="25"/>
  <c r="AF298" i="25"/>
  <c r="J298" i="25" s="1"/>
  <c r="I298" i="25"/>
  <c r="AG350" i="25"/>
  <c r="I350" i="25"/>
  <c r="CM246" i="25"/>
  <c r="CL246" i="25"/>
  <c r="CM262" i="25"/>
  <c r="CL262" i="25"/>
  <c r="CL270" i="25"/>
  <c r="CM270" i="25"/>
  <c r="CM278" i="25"/>
  <c r="CL278" i="25"/>
  <c r="CL282" i="25"/>
  <c r="CM282" i="25"/>
  <c r="CM33" i="25"/>
  <c r="CL33" i="25"/>
  <c r="CM45" i="25"/>
  <c r="CL45" i="25"/>
  <c r="CL85" i="25"/>
  <c r="CM85" i="25"/>
  <c r="CM105" i="25"/>
  <c r="CL105" i="25"/>
  <c r="CM109" i="25"/>
  <c r="CL109" i="25"/>
  <c r="CM125" i="25"/>
  <c r="CL125" i="25"/>
  <c r="CM141" i="25"/>
  <c r="CL141" i="25"/>
  <c r="CM157" i="25"/>
  <c r="CL157" i="25"/>
  <c r="CM173" i="25"/>
  <c r="CL173" i="25"/>
  <c r="AI328" i="25"/>
  <c r="I328" i="25"/>
  <c r="AH344" i="25"/>
  <c r="I344" i="25"/>
  <c r="CL268" i="25"/>
  <c r="CM268" i="25"/>
  <c r="CL288" i="25"/>
  <c r="CM288" i="25"/>
  <c r="CM308" i="25"/>
  <c r="CL308" i="25"/>
  <c r="CL336" i="25"/>
  <c r="CM336" i="25"/>
  <c r="CM35" i="25"/>
  <c r="CL35" i="25"/>
  <c r="CL39" i="25"/>
  <c r="CM39" i="25"/>
  <c r="CM51" i="25"/>
  <c r="CL51" i="25"/>
  <c r="CL71" i="25"/>
  <c r="CM71" i="25"/>
  <c r="CM91" i="25"/>
  <c r="CL91" i="25"/>
  <c r="CL95" i="25"/>
  <c r="CM95" i="25"/>
  <c r="CM163" i="25"/>
  <c r="CL163" i="25"/>
  <c r="CM179" i="25"/>
  <c r="CL179" i="25"/>
  <c r="CM183" i="25"/>
  <c r="CL183" i="25"/>
  <c r="CL199" i="25"/>
  <c r="CM199" i="25"/>
  <c r="CL215" i="25"/>
  <c r="CM215" i="25"/>
  <c r="CN15" i="25"/>
  <c r="CM15" i="25"/>
  <c r="CL15" i="25"/>
  <c r="CL256" i="25"/>
  <c r="CM256" i="25"/>
  <c r="CL328" i="25"/>
  <c r="CM328" i="25"/>
  <c r="BO15" i="25"/>
  <c r="CR95" i="25"/>
  <c r="CR210" i="25"/>
  <c r="CR144" i="25"/>
  <c r="CN225" i="25"/>
  <c r="CN216" i="25"/>
  <c r="CR85" i="25"/>
  <c r="CN160" i="25"/>
  <c r="CQ160" i="25" s="1"/>
  <c r="CN39" i="25"/>
  <c r="CN72" i="25"/>
  <c r="CN189" i="25"/>
  <c r="CR66" i="25"/>
  <c r="CR30" i="25"/>
  <c r="CN109" i="25"/>
  <c r="CP109" i="25" s="1"/>
  <c r="AH328" i="25"/>
  <c r="AJ328" i="25" s="1"/>
  <c r="CR346" i="25"/>
  <c r="AF322" i="25"/>
  <c r="J322" i="25" s="1"/>
  <c r="AF320" i="25"/>
  <c r="J320" i="25" s="1"/>
  <c r="AF314" i="25"/>
  <c r="J314" i="25" s="1"/>
  <c r="AF306" i="25"/>
  <c r="J306" i="25" s="1"/>
  <c r="AH298" i="25"/>
  <c r="AH290" i="25"/>
  <c r="CR282" i="25"/>
  <c r="AH339" i="25"/>
  <c r="AF293" i="25"/>
  <c r="J293" i="25" s="1"/>
  <c r="AM286" i="25"/>
  <c r="Q286" i="25" s="1"/>
  <c r="L286" i="25"/>
  <c r="AG274" i="25"/>
  <c r="AL274" i="25" s="1"/>
  <c r="P274" i="25" s="1"/>
  <c r="AI266" i="25"/>
  <c r="CR261" i="25"/>
  <c r="AH258" i="25"/>
  <c r="AG342" i="25"/>
  <c r="CR308" i="25"/>
  <c r="AM300" i="25"/>
  <c r="L300" i="25"/>
  <c r="AI299" i="25"/>
  <c r="AG283" i="25"/>
  <c r="K283" i="25" s="1"/>
  <c r="AN278" i="25"/>
  <c r="R278" i="25" s="1"/>
  <c r="M278" i="25"/>
  <c r="CR265" i="25"/>
  <c r="AN254" i="25"/>
  <c r="R254" i="25" s="1"/>
  <c r="M254" i="25"/>
  <c r="AF334" i="25"/>
  <c r="AH291" i="25"/>
  <c r="AM272" i="25"/>
  <c r="L272" i="25"/>
  <c r="CR120" i="25"/>
  <c r="CN215" i="25"/>
  <c r="CR109" i="25"/>
  <c r="CR46" i="25"/>
  <c r="CR160" i="25"/>
  <c r="CN120" i="25"/>
  <c r="CP120" i="25" s="1"/>
  <c r="CN35" i="25"/>
  <c r="CN150" i="25"/>
  <c r="CN199" i="25"/>
  <c r="CN32" i="25"/>
  <c r="CN205" i="25"/>
  <c r="CR71" i="25"/>
  <c r="CN28" i="25"/>
  <c r="CR190" i="25"/>
  <c r="AF350" i="25"/>
  <c r="AF344" i="25"/>
  <c r="J344" i="25" s="1"/>
  <c r="AG333" i="25"/>
  <c r="K333" i="25" s="1"/>
  <c r="AH349" i="25"/>
  <c r="K335" i="25"/>
  <c r="AF349" i="25"/>
  <c r="J349" i="25" s="1"/>
  <c r="CN336" i="25"/>
  <c r="CQ336" i="25" s="1"/>
  <c r="AG322" i="25"/>
  <c r="K322" i="25" s="1"/>
  <c r="AG320" i="25"/>
  <c r="AG314" i="25"/>
  <c r="K314" i="25" s="1"/>
  <c r="AG306" i="25"/>
  <c r="K306" i="25" s="1"/>
  <c r="CR301" i="25"/>
  <c r="AG301" i="25"/>
  <c r="K301" i="25" s="1"/>
  <c r="AG282" i="25"/>
  <c r="K282" i="25" s="1"/>
  <c r="AI339" i="25"/>
  <c r="CR317" i="25"/>
  <c r="CR287" i="25"/>
  <c r="CN285" i="25"/>
  <c r="AI274" i="25"/>
  <c r="CR269" i="25"/>
  <c r="AH266" i="25"/>
  <c r="AK266" i="25" s="1"/>
  <c r="AH342" i="25"/>
  <c r="AN260" i="25"/>
  <c r="R260" i="25" s="1"/>
  <c r="M260" i="25"/>
  <c r="AF259" i="25"/>
  <c r="J259" i="25" s="1"/>
  <c r="AH261" i="25"/>
  <c r="AK261" i="25" s="1"/>
  <c r="AM241" i="25"/>
  <c r="L241" i="25"/>
  <c r="AG331" i="25"/>
  <c r="K331" i="25" s="1"/>
  <c r="AF253" i="25"/>
  <c r="J253" i="25" s="1"/>
  <c r="AG285" i="25"/>
  <c r="AG267" i="25"/>
  <c r="K267" i="25" s="1"/>
  <c r="AI251" i="25"/>
  <c r="AF245" i="25"/>
  <c r="J245" i="25" s="1"/>
  <c r="AH243" i="25"/>
  <c r="AI325" i="25"/>
  <c r="AI309" i="25"/>
  <c r="AI317" i="25"/>
  <c r="AF328" i="25"/>
  <c r="J328" i="25" s="1"/>
  <c r="AG307" i="25"/>
  <c r="AI311" i="25"/>
  <c r="I311" i="25"/>
  <c r="AI335" i="25"/>
  <c r="I335" i="25"/>
  <c r="AI343" i="25"/>
  <c r="I343" i="25"/>
  <c r="CL255" i="25"/>
  <c r="CM255" i="25"/>
  <c r="CL263" i="25"/>
  <c r="CM263" i="25"/>
  <c r="CL327" i="25"/>
  <c r="CM327" i="25"/>
  <c r="CL38" i="25"/>
  <c r="CM38" i="25"/>
  <c r="CL54" i="25"/>
  <c r="CM54" i="25"/>
  <c r="CL58" i="25"/>
  <c r="CM58" i="25"/>
  <c r="CL74" i="25"/>
  <c r="CM74" i="25"/>
  <c r="CL90" i="25"/>
  <c r="CM90" i="25"/>
  <c r="CL98" i="25"/>
  <c r="CM98" i="25"/>
  <c r="CL126" i="25"/>
  <c r="CM126" i="25"/>
  <c r="CL142" i="25"/>
  <c r="CM142" i="25"/>
  <c r="CL162" i="25"/>
  <c r="CM162" i="25"/>
  <c r="CL178" i="25"/>
  <c r="CM178" i="25"/>
  <c r="CN186" i="25"/>
  <c r="CM234" i="25"/>
  <c r="CL234" i="25"/>
  <c r="CM238" i="25"/>
  <c r="CL238" i="25"/>
  <c r="CN104" i="25"/>
  <c r="CR50" i="25"/>
  <c r="CN74" i="25"/>
  <c r="CR127" i="25"/>
  <c r="CN226" i="25"/>
  <c r="CN164" i="25"/>
  <c r="CN183" i="25"/>
  <c r="CN184" i="25"/>
  <c r="CN232" i="25"/>
  <c r="CR45" i="25"/>
  <c r="CN142" i="25"/>
  <c r="CR157" i="25"/>
  <c r="CN170" i="25"/>
  <c r="CQ170" i="25" s="1"/>
  <c r="CN33" i="25"/>
  <c r="CN50" i="25"/>
  <c r="CN90" i="25"/>
  <c r="CR15" i="25"/>
  <c r="CN54" i="25"/>
  <c r="CN163" i="25"/>
  <c r="CR118" i="25"/>
  <c r="CN30" i="25"/>
  <c r="CP30" i="25" s="1"/>
  <c r="CR94" i="25"/>
  <c r="AG336" i="25"/>
  <c r="AH350" i="25"/>
  <c r="J346" i="25"/>
  <c r="AG344" i="25"/>
  <c r="K344" i="25" s="1"/>
  <c r="AH343" i="25"/>
  <c r="AG341" i="25"/>
  <c r="AL341" i="25" s="1"/>
  <c r="AF333" i="25"/>
  <c r="J333" i="25" s="1"/>
  <c r="AF335" i="25"/>
  <c r="AI349" i="25"/>
  <c r="AG345" i="25"/>
  <c r="K345" i="25" s="1"/>
  <c r="AH322" i="25"/>
  <c r="AH320" i="25"/>
  <c r="AH314" i="25"/>
  <c r="AH306" i="25"/>
  <c r="AH301" i="25"/>
  <c r="AG298" i="25"/>
  <c r="K298" i="25" s="1"/>
  <c r="AG290" i="25"/>
  <c r="AL290" i="25" s="1"/>
  <c r="P290" i="25" s="1"/>
  <c r="AI282" i="25"/>
  <c r="CO349" i="25"/>
  <c r="CQ349" i="25" s="1"/>
  <c r="CN337" i="25"/>
  <c r="AF337" i="25"/>
  <c r="J337" i="25" s="1"/>
  <c r="AI329" i="25"/>
  <c r="AG339" i="25"/>
  <c r="CR309" i="25"/>
  <c r="CN301" i="25"/>
  <c r="CP301" i="25" s="1"/>
  <c r="AG293" i="25"/>
  <c r="AJ293" i="25" s="1"/>
  <c r="AH274" i="25"/>
  <c r="AG258" i="25"/>
  <c r="K258" i="25" s="1"/>
  <c r="AI342" i="25"/>
  <c r="AH299" i="25"/>
  <c r="AF297" i="25"/>
  <c r="AF283" i="25"/>
  <c r="J283" i="25" s="1"/>
  <c r="AG334" i="25"/>
  <c r="K334" i="25" s="1"/>
  <c r="CO298" i="25"/>
  <c r="CP298" i="25" s="1"/>
  <c r="AI291" i="25"/>
  <c r="AH271" i="25"/>
  <c r="AF269" i="25"/>
  <c r="J269" i="25" s="1"/>
  <c r="AM260" i="25"/>
  <c r="L260" i="25"/>
  <c r="AI259" i="25"/>
  <c r="AF249" i="25"/>
  <c r="AH277" i="25"/>
  <c r="AF273" i="25"/>
  <c r="CN262" i="25"/>
  <c r="CQ262" i="25" s="1"/>
  <c r="AF261" i="25"/>
  <c r="J261" i="25" s="1"/>
  <c r="AF255" i="25"/>
  <c r="J255" i="25" s="1"/>
  <c r="AH250" i="25"/>
  <c r="AF247" i="25"/>
  <c r="J247" i="25" s="1"/>
  <c r="AH242" i="25"/>
  <c r="L242" i="25" s="1"/>
  <c r="AI296" i="25"/>
  <c r="AH295" i="25"/>
  <c r="AN292" i="25"/>
  <c r="R292" i="25" s="1"/>
  <c r="M292" i="25"/>
  <c r="K284" i="25"/>
  <c r="AG281" i="25"/>
  <c r="K281" i="25" s="1"/>
  <c r="AG279" i="25"/>
  <c r="AG275" i="25"/>
  <c r="K275" i="25" s="1"/>
  <c r="CR268" i="25"/>
  <c r="AG263" i="25"/>
  <c r="AL263" i="25" s="1"/>
  <c r="CR256" i="25"/>
  <c r="AF331" i="25"/>
  <c r="CN270" i="25"/>
  <c r="CQ270" i="25" s="1"/>
  <c r="J268" i="25"/>
  <c r="AI246" i="25"/>
  <c r="CR295" i="25"/>
  <c r="AG289" i="25"/>
  <c r="AH287" i="25"/>
  <c r="AH285" i="25"/>
  <c r="CN273" i="25"/>
  <c r="CQ273" i="25" s="1"/>
  <c r="AH267" i="25"/>
  <c r="CO261" i="25"/>
  <c r="AF257" i="25"/>
  <c r="J257" i="25" s="1"/>
  <c r="AG251" i="25"/>
  <c r="CO249" i="25"/>
  <c r="CQ249" i="25" s="1"/>
  <c r="AG245" i="25"/>
  <c r="AL245" i="25" s="1"/>
  <c r="AI243" i="25"/>
  <c r="AF239" i="25"/>
  <c r="AH303" i="25"/>
  <c r="AH311" i="25"/>
  <c r="AH319" i="25"/>
  <c r="AH327" i="25"/>
  <c r="AI313" i="25"/>
  <c r="AH347" i="25"/>
  <c r="AH325" i="25"/>
  <c r="AH309" i="25"/>
  <c r="AH341" i="25"/>
  <c r="AH321" i="25"/>
  <c r="AH305" i="25"/>
  <c r="AF336" i="25"/>
  <c r="J336" i="25" s="1"/>
  <c r="AH317" i="25"/>
  <c r="CR336" i="25"/>
  <c r="AG311" i="25"/>
  <c r="AQ311" i="25" s="1"/>
  <c r="AI247" i="25"/>
  <c r="AI307" i="25"/>
  <c r="AG323" i="25"/>
  <c r="CR186" i="25"/>
  <c r="CL243" i="25"/>
  <c r="CM243" i="25"/>
  <c r="CL247" i="25"/>
  <c r="CM247" i="25"/>
  <c r="CL251" i="25"/>
  <c r="CM251" i="25"/>
  <c r="CL307" i="25"/>
  <c r="CL311" i="25"/>
  <c r="CM311" i="25"/>
  <c r="CL315" i="25"/>
  <c r="CL343" i="25"/>
  <c r="CM343" i="25"/>
  <c r="CL347" i="25"/>
  <c r="CL18" i="25"/>
  <c r="CM18" i="25"/>
  <c r="CL82" i="25"/>
  <c r="CM82" i="25"/>
  <c r="CN94" i="25"/>
  <c r="CQ94" i="25" s="1"/>
  <c r="CL106" i="25"/>
  <c r="CM106" i="25"/>
  <c r="CL122" i="25"/>
  <c r="CM122" i="25"/>
  <c r="CL138" i="25"/>
  <c r="CM138" i="25"/>
  <c r="CL154" i="25"/>
  <c r="CM154" i="25"/>
  <c r="CL174" i="25"/>
  <c r="CM174" i="25"/>
  <c r="CM198" i="25"/>
  <c r="CL198" i="25"/>
  <c r="CM214" i="25"/>
  <c r="CL214" i="25"/>
  <c r="CM230" i="25"/>
  <c r="CL230" i="25"/>
  <c r="AF244" i="25"/>
  <c r="I244" i="25"/>
  <c r="CL253" i="25"/>
  <c r="CM285" i="25"/>
  <c r="CM317" i="25"/>
  <c r="CL321" i="25"/>
  <c r="CM321" i="25"/>
  <c r="AN241" i="25"/>
  <c r="R241" i="25" s="1"/>
  <c r="M241" i="25"/>
  <c r="CL16" i="25"/>
  <c r="CL32" i="25"/>
  <c r="CL36" i="25"/>
  <c r="CM36" i="25"/>
  <c r="CL56" i="25"/>
  <c r="CL68" i="25"/>
  <c r="CM68" i="25"/>
  <c r="CL76" i="25"/>
  <c r="CM76" i="25"/>
  <c r="CM80" i="25"/>
  <c r="CL88" i="25"/>
  <c r="CL92" i="25"/>
  <c r="CM92" i="25"/>
  <c r="CL120" i="25"/>
  <c r="CL124" i="25"/>
  <c r="CM128" i="25"/>
  <c r="CO136" i="25"/>
  <c r="CL144" i="25"/>
  <c r="CM148" i="25"/>
  <c r="CL160" i="25"/>
  <c r="CL164" i="25"/>
  <c r="CM168" i="25"/>
  <c r="CM172" i="25"/>
  <c r="CL184" i="25"/>
  <c r="CM188" i="25"/>
  <c r="CL188" i="25"/>
  <c r="CM204" i="25"/>
  <c r="CL204" i="25"/>
  <c r="CM220" i="25"/>
  <c r="CL220" i="25"/>
  <c r="CM236" i="25"/>
  <c r="CL236" i="25"/>
  <c r="CM266" i="25"/>
  <c r="CL266" i="25"/>
  <c r="CM310" i="25"/>
  <c r="CL310" i="25"/>
  <c r="CM322" i="25"/>
  <c r="CM342" i="25"/>
  <c r="CL342" i="25"/>
  <c r="CM17" i="25"/>
  <c r="CL17" i="25"/>
  <c r="CM29" i="25"/>
  <c r="CL29" i="25"/>
  <c r="CM41" i="25"/>
  <c r="CL41" i="25"/>
  <c r="CM57" i="25"/>
  <c r="CL57" i="25"/>
  <c r="CL69" i="25"/>
  <c r="CM69" i="25"/>
  <c r="CM77" i="25"/>
  <c r="CL77" i="25"/>
  <c r="CM113" i="25"/>
  <c r="CL113" i="25"/>
  <c r="CM129" i="25"/>
  <c r="CL129" i="25"/>
  <c r="CM145" i="25"/>
  <c r="CL145" i="25"/>
  <c r="CM161" i="25"/>
  <c r="CL161" i="25"/>
  <c r="CM177" i="25"/>
  <c r="CL177" i="25"/>
  <c r="CL189" i="25"/>
  <c r="CM193" i="25"/>
  <c r="CL205" i="25"/>
  <c r="CM209" i="25"/>
  <c r="CL225" i="25"/>
  <c r="CM229" i="25"/>
  <c r="CL264" i="25"/>
  <c r="CM264" i="25"/>
  <c r="CL280" i="25"/>
  <c r="CM280" i="25"/>
  <c r="CL292" i="25"/>
  <c r="CM292" i="25"/>
  <c r="CL296" i="25"/>
  <c r="CM296" i="25"/>
  <c r="CM19" i="25"/>
  <c r="CL19" i="25"/>
  <c r="CM27" i="25"/>
  <c r="CL27" i="25"/>
  <c r="CL47" i="25"/>
  <c r="CM47" i="25"/>
  <c r="CL55" i="25"/>
  <c r="CM55" i="25"/>
  <c r="CM59" i="25"/>
  <c r="CL59" i="25"/>
  <c r="CM83" i="25"/>
  <c r="CL83" i="25"/>
  <c r="CM111" i="25"/>
  <c r="CL111" i="25"/>
  <c r="CM115" i="25"/>
  <c r="CL115" i="25"/>
  <c r="CM131" i="25"/>
  <c r="CL131" i="25"/>
  <c r="CM147" i="25"/>
  <c r="CL147" i="25"/>
  <c r="CM167" i="25"/>
  <c r="CL167" i="25"/>
  <c r="CL187" i="25"/>
  <c r="CM187" i="25"/>
  <c r="CL203" i="25"/>
  <c r="CM203" i="25"/>
  <c r="CL219" i="25"/>
  <c r="CM219" i="25"/>
  <c r="CL304" i="25"/>
  <c r="CM304" i="25"/>
  <c r="CL320" i="25"/>
  <c r="CM320" i="25"/>
  <c r="CL344" i="25"/>
  <c r="CM344" i="25"/>
  <c r="CL332" i="25"/>
  <c r="CM332" i="25"/>
  <c r="CQ23" i="25"/>
  <c r="CQ190" i="25"/>
  <c r="CP63" i="25"/>
  <c r="CP65" i="25"/>
  <c r="CP282" i="25"/>
  <c r="CQ101" i="25"/>
  <c r="CQ73" i="25"/>
  <c r="CP158" i="25"/>
  <c r="BL336" i="25"/>
  <c r="BM338" i="25"/>
  <c r="BM294" i="25"/>
  <c r="BR286" i="25"/>
  <c r="BM336" i="25"/>
  <c r="CO57" i="25"/>
  <c r="CQ63" i="25"/>
  <c r="BM258" i="25"/>
  <c r="CO126" i="25"/>
  <c r="CO53" i="25"/>
  <c r="BR76" i="25"/>
  <c r="BR132" i="25"/>
  <c r="BR209" i="25"/>
  <c r="BR44" i="25"/>
  <c r="BR96" i="25"/>
  <c r="BR74" i="25"/>
  <c r="BR141" i="25"/>
  <c r="AL244" i="25"/>
  <c r="CO211" i="25"/>
  <c r="CR132" i="25"/>
  <c r="BR262" i="25"/>
  <c r="BR199" i="25"/>
  <c r="BR148" i="25"/>
  <c r="BR185" i="25"/>
  <c r="BL324" i="25"/>
  <c r="BR270" i="25"/>
  <c r="CO47" i="25"/>
  <c r="CO226" i="25"/>
  <c r="CO21" i="25"/>
  <c r="CO124" i="25"/>
  <c r="CR181" i="25"/>
  <c r="BR339" i="25"/>
  <c r="AQ284" i="25"/>
  <c r="CN347" i="25"/>
  <c r="BM250" i="25"/>
  <c r="CO107" i="25"/>
  <c r="BR348" i="25"/>
  <c r="BL330" i="25"/>
  <c r="BM286" i="25"/>
  <c r="CR18" i="25"/>
  <c r="CR60" i="25"/>
  <c r="BM343" i="25"/>
  <c r="BR329" i="25"/>
  <c r="CO131" i="25"/>
  <c r="BL347" i="25"/>
  <c r="BL165" i="25"/>
  <c r="BR215" i="25"/>
  <c r="CO31" i="25"/>
  <c r="CO191" i="25"/>
  <c r="CO199" i="25"/>
  <c r="CR226" i="25"/>
  <c r="CR32" i="25"/>
  <c r="CR126" i="25"/>
  <c r="CR36" i="25"/>
  <c r="BL258" i="25"/>
  <c r="BL294" i="25"/>
  <c r="BR278" i="25"/>
  <c r="BR294" i="25"/>
  <c r="BR338" i="25"/>
  <c r="BR78" i="25"/>
  <c r="CO39" i="25"/>
  <c r="CO132" i="25"/>
  <c r="BN338" i="25"/>
  <c r="BP338" i="25" s="1"/>
  <c r="BM347" i="25"/>
  <c r="BR254" i="25"/>
  <c r="BR267" i="25"/>
  <c r="BR279" i="25"/>
  <c r="BM266" i="25"/>
  <c r="BP326" i="25"/>
  <c r="BL125" i="25"/>
  <c r="BR87" i="25"/>
  <c r="BP125" i="25"/>
  <c r="CO81" i="25"/>
  <c r="BR164" i="25"/>
  <c r="BL328" i="25"/>
  <c r="BL286" i="25"/>
  <c r="CQ282" i="25"/>
  <c r="BR260" i="25"/>
  <c r="BR275" i="25"/>
  <c r="BN245" i="25"/>
  <c r="BP245" i="25" s="1"/>
  <c r="BN324" i="25"/>
  <c r="BQ324" i="25" s="1"/>
  <c r="BL304" i="25"/>
  <c r="BL274" i="25"/>
  <c r="BR290" i="25"/>
  <c r="BR310" i="25"/>
  <c r="BR347" i="25"/>
  <c r="BL344" i="25"/>
  <c r="BR72" i="25"/>
  <c r="BR100" i="25"/>
  <c r="BR125" i="25"/>
  <c r="CO54" i="25"/>
  <c r="CO102" i="25"/>
  <c r="CO212" i="25"/>
  <c r="BR232" i="25"/>
  <c r="BR45" i="25"/>
  <c r="BR75" i="25"/>
  <c r="BR61" i="25"/>
  <c r="BR112" i="25"/>
  <c r="BR144" i="25"/>
  <c r="BR34" i="25"/>
  <c r="CO80" i="25"/>
  <c r="CO97" i="25"/>
  <c r="CO18" i="25"/>
  <c r="CO181" i="25"/>
  <c r="CO195" i="25"/>
  <c r="CO224" i="25"/>
  <c r="CO164" i="25"/>
  <c r="CR121" i="25"/>
  <c r="CR21" i="25"/>
  <c r="CR97" i="25"/>
  <c r="CR166" i="25"/>
  <c r="CR189" i="25"/>
  <c r="CR54" i="25"/>
  <c r="BN336" i="25"/>
  <c r="BQ336" i="25" s="1"/>
  <c r="BN304" i="25"/>
  <c r="BQ304" i="25" s="1"/>
  <c r="BR304" i="25"/>
  <c r="CR347" i="25"/>
  <c r="BR333" i="25"/>
  <c r="BM344" i="25"/>
  <c r="BR331" i="25"/>
  <c r="BM300" i="25"/>
  <c r="BM274" i="25"/>
  <c r="BR263" i="25"/>
  <c r="BR298" i="25"/>
  <c r="BR344" i="25"/>
  <c r="BR324" i="25"/>
  <c r="BR316" i="25"/>
  <c r="BR336" i="25"/>
  <c r="BR248" i="25"/>
  <c r="BR240" i="25"/>
  <c r="BR291" i="25"/>
  <c r="BR287" i="25"/>
  <c r="BN316" i="25"/>
  <c r="BL316" i="25"/>
  <c r="BR312" i="25"/>
  <c r="BR239" i="25"/>
  <c r="BM320" i="25"/>
  <c r="BN320" i="25"/>
  <c r="BL320" i="25"/>
  <c r="BR306" i="25"/>
  <c r="BL343" i="25"/>
  <c r="BM328" i="25"/>
  <c r="BR311" i="25"/>
  <c r="BR292" i="25"/>
  <c r="BR268" i="25"/>
  <c r="BM318" i="25"/>
  <c r="BN318" i="25"/>
  <c r="BL318" i="25"/>
  <c r="BR318" i="25"/>
  <c r="BM310" i="25"/>
  <c r="BL310" i="25"/>
  <c r="BN310" i="25"/>
  <c r="BR342" i="25"/>
  <c r="BM330" i="25"/>
  <c r="BR303" i="25"/>
  <c r="BR250" i="25"/>
  <c r="BR284" i="25"/>
  <c r="BL278" i="25"/>
  <c r="BR252" i="25"/>
  <c r="BR243" i="25"/>
  <c r="BN243" i="25"/>
  <c r="BQ243" i="25" s="1"/>
  <c r="BM243" i="25"/>
  <c r="BM298" i="25"/>
  <c r="BL250" i="25"/>
  <c r="BL245" i="25"/>
  <c r="BQ326" i="25"/>
  <c r="BM312" i="25"/>
  <c r="BL312" i="25"/>
  <c r="BN312" i="25"/>
  <c r="BL254" i="25"/>
  <c r="BM306" i="25"/>
  <c r="BN306" i="25"/>
  <c r="BL306" i="25"/>
  <c r="BR320" i="25"/>
  <c r="BR296" i="25"/>
  <c r="BR313" i="25"/>
  <c r="BR280" i="25"/>
  <c r="BM302" i="25"/>
  <c r="BN302" i="25"/>
  <c r="BL302" i="25"/>
  <c r="BM322" i="25"/>
  <c r="BN322" i="25"/>
  <c r="BL322" i="25"/>
  <c r="BL326" i="25"/>
  <c r="BR328" i="25"/>
  <c r="BR301" i="25"/>
  <c r="BR346" i="25"/>
  <c r="BR323" i="25"/>
  <c r="BR274" i="25"/>
  <c r="BR264" i="25"/>
  <c r="BR276" i="25"/>
  <c r="BM245" i="25"/>
  <c r="BL266" i="25"/>
  <c r="BM308" i="25"/>
  <c r="BN308" i="25"/>
  <c r="BL308" i="25"/>
  <c r="BR308" i="25"/>
  <c r="BM314" i="25"/>
  <c r="BN314" i="25"/>
  <c r="BL314" i="25"/>
  <c r="BM326" i="25"/>
  <c r="BR302" i="25"/>
  <c r="AQ272" i="25"/>
  <c r="AQ260" i="25"/>
  <c r="AQ300" i="25"/>
  <c r="CO337" i="25"/>
  <c r="BM332" i="25"/>
  <c r="BL332" i="25"/>
  <c r="BN332" i="25"/>
  <c r="BO290" i="25"/>
  <c r="BQ290" i="25" s="1"/>
  <c r="BL290" i="25"/>
  <c r="BM290" i="25"/>
  <c r="BL289" i="25"/>
  <c r="BM289" i="25"/>
  <c r="BN289" i="25"/>
  <c r="BR289" i="25"/>
  <c r="BL281" i="25"/>
  <c r="BN281" i="25"/>
  <c r="BM281" i="25"/>
  <c r="BR281" i="25"/>
  <c r="CQ334" i="25"/>
  <c r="CP334" i="25"/>
  <c r="CO304" i="25"/>
  <c r="CN304" i="25"/>
  <c r="CR304" i="25"/>
  <c r="CQ328" i="25"/>
  <c r="CP328" i="25"/>
  <c r="CO340" i="25"/>
  <c r="CN340" i="25"/>
  <c r="CR340" i="25"/>
  <c r="BQ344" i="25"/>
  <c r="BP344" i="25"/>
  <c r="BL345" i="25"/>
  <c r="BM345" i="25"/>
  <c r="BN345" i="25"/>
  <c r="BM341" i="25"/>
  <c r="BN341" i="25"/>
  <c r="BL341" i="25"/>
  <c r="BM319" i="25"/>
  <c r="BN319" i="25"/>
  <c r="BL319" i="25"/>
  <c r="CO296" i="25"/>
  <c r="CN296" i="25"/>
  <c r="CQ289" i="25"/>
  <c r="CP289" i="25"/>
  <c r="BQ334" i="25"/>
  <c r="BP334" i="25"/>
  <c r="CN321" i="25"/>
  <c r="CO321" i="25"/>
  <c r="BM307" i="25"/>
  <c r="BN307" i="25"/>
  <c r="BL307" i="25"/>
  <c r="CO299" i="25"/>
  <c r="CN299" i="25"/>
  <c r="CO292" i="25"/>
  <c r="CN292" i="25"/>
  <c r="BQ286" i="25"/>
  <c r="BP286" i="25"/>
  <c r="CO284" i="25"/>
  <c r="CN284" i="25"/>
  <c r="BL269" i="25"/>
  <c r="BM269" i="25"/>
  <c r="BN269" i="25"/>
  <c r="CN327" i="25"/>
  <c r="CO327" i="25"/>
  <c r="BL295" i="25"/>
  <c r="BN295" i="25"/>
  <c r="BM295" i="25"/>
  <c r="CQ278" i="25"/>
  <c r="CP278" i="25"/>
  <c r="CO271" i="25"/>
  <c r="CN271" i="25"/>
  <c r="CQ266" i="25"/>
  <c r="CP266" i="25"/>
  <c r="CO264" i="25"/>
  <c r="CN264" i="25"/>
  <c r="CO259" i="25"/>
  <c r="CN259" i="25"/>
  <c r="CN319" i="25"/>
  <c r="CO319" i="25"/>
  <c r="AL273" i="25"/>
  <c r="BM272" i="25"/>
  <c r="BN272" i="25"/>
  <c r="BL272" i="25"/>
  <c r="BQ262" i="25"/>
  <c r="BP262" i="25"/>
  <c r="BN244" i="25"/>
  <c r="BM244" i="25"/>
  <c r="BL244" i="25"/>
  <c r="CO314" i="25"/>
  <c r="CN314" i="25"/>
  <c r="CN307" i="25"/>
  <c r="CO307" i="25"/>
  <c r="BL283" i="25"/>
  <c r="BM283" i="25"/>
  <c r="BN283" i="25"/>
  <c r="BQ270" i="25"/>
  <c r="BP270" i="25"/>
  <c r="BQ266" i="25"/>
  <c r="BP266" i="25"/>
  <c r="CN240" i="25"/>
  <c r="CO240" i="25"/>
  <c r="BR345" i="25"/>
  <c r="CO335" i="25"/>
  <c r="CN335" i="25"/>
  <c r="BM333" i="25"/>
  <c r="BN333" i="25"/>
  <c r="BL333" i="25"/>
  <c r="CO331" i="25"/>
  <c r="CN331" i="25"/>
  <c r="CO332" i="25"/>
  <c r="CN332" i="25"/>
  <c r="CO300" i="25"/>
  <c r="CN300" i="25"/>
  <c r="BN329" i="25"/>
  <c r="BM329" i="25"/>
  <c r="BL329" i="25"/>
  <c r="CO312" i="25"/>
  <c r="CN312" i="25"/>
  <c r="BL265" i="25"/>
  <c r="BM265" i="25"/>
  <c r="BN265" i="25"/>
  <c r="BL257" i="25"/>
  <c r="BM257" i="25"/>
  <c r="BN257" i="25"/>
  <c r="BL334" i="25"/>
  <c r="CR321" i="25"/>
  <c r="AL300" i="25"/>
  <c r="AK300" i="25"/>
  <c r="AJ300" i="25"/>
  <c r="CR299" i="25"/>
  <c r="BR288" i="25"/>
  <c r="AL270" i="25"/>
  <c r="BM321" i="25"/>
  <c r="BN321" i="25"/>
  <c r="BL321" i="25"/>
  <c r="BR305" i="25"/>
  <c r="BR340" i="25"/>
  <c r="CQ297" i="25"/>
  <c r="CP297" i="25"/>
  <c r="BQ278" i="25"/>
  <c r="BP278" i="25"/>
  <c r="AL272" i="25"/>
  <c r="AK272" i="25"/>
  <c r="AJ272" i="25"/>
  <c r="CR271" i="25"/>
  <c r="CR264" i="25"/>
  <c r="AL249" i="25"/>
  <c r="CR319" i="25"/>
  <c r="BM262" i="25"/>
  <c r="BL241" i="25"/>
  <c r="BN241" i="25"/>
  <c r="BM241" i="25"/>
  <c r="BM325" i="25"/>
  <c r="BN325" i="25"/>
  <c r="BL325" i="25"/>
  <c r="CO267" i="25"/>
  <c r="CN267" i="25"/>
  <c r="CR307" i="25"/>
  <c r="BL291" i="25"/>
  <c r="BN291" i="25"/>
  <c r="BM291" i="25"/>
  <c r="BL275" i="25"/>
  <c r="BN275" i="25"/>
  <c r="BM275" i="25"/>
  <c r="BM270" i="25"/>
  <c r="CQ254" i="25"/>
  <c r="CP254" i="25"/>
  <c r="CO250" i="25"/>
  <c r="CN250" i="25"/>
  <c r="AL246" i="25"/>
  <c r="CQ274" i="25"/>
  <c r="CP274" i="25"/>
  <c r="CR250" i="25"/>
  <c r="BR247" i="25"/>
  <c r="CR240" i="25"/>
  <c r="CN242" i="25"/>
  <c r="CO242" i="25"/>
  <c r="BP347" i="25"/>
  <c r="BQ347" i="25"/>
  <c r="BN335" i="25"/>
  <c r="BL335" i="25"/>
  <c r="BM335" i="25"/>
  <c r="AL328" i="25"/>
  <c r="P328" i="25" s="1"/>
  <c r="BN348" i="25"/>
  <c r="BM348" i="25"/>
  <c r="BL348" i="25"/>
  <c r="BP343" i="25"/>
  <c r="BQ343" i="25"/>
  <c r="CO341" i="25"/>
  <c r="CN341" i="25"/>
  <c r="AL335" i="25"/>
  <c r="CR335" i="25"/>
  <c r="CR331" i="25"/>
  <c r="CN344" i="25"/>
  <c r="CO344" i="25"/>
  <c r="CP343" i="25"/>
  <c r="CQ343" i="25"/>
  <c r="BQ328" i="25"/>
  <c r="BP328" i="25"/>
  <c r="CR300" i="25"/>
  <c r="CO330" i="25"/>
  <c r="CN330" i="25"/>
  <c r="BR327" i="25"/>
  <c r="CO320" i="25"/>
  <c r="CN320" i="25"/>
  <c r="CN317" i="25"/>
  <c r="CO317" i="25"/>
  <c r="BM303" i="25"/>
  <c r="BN303" i="25"/>
  <c r="BL303" i="25"/>
  <c r="BM296" i="25"/>
  <c r="BN296" i="25"/>
  <c r="BL296" i="25"/>
  <c r="CO285" i="25"/>
  <c r="AL266" i="25"/>
  <c r="P266" i="25" s="1"/>
  <c r="BR350" i="25"/>
  <c r="BM334" i="25"/>
  <c r="BM323" i="25"/>
  <c r="BN323" i="25"/>
  <c r="BL323" i="25"/>
  <c r="BR315" i="25"/>
  <c r="CO308" i="25"/>
  <c r="CN308" i="25"/>
  <c r="CN305" i="25"/>
  <c r="CO305" i="25"/>
  <c r="BR299" i="25"/>
  <c r="BM292" i="25"/>
  <c r="BN292" i="25"/>
  <c r="BL292" i="25"/>
  <c r="BL285" i="25"/>
  <c r="BM285" i="25"/>
  <c r="BN285" i="25"/>
  <c r="BL253" i="25"/>
  <c r="BM253" i="25"/>
  <c r="BN253" i="25"/>
  <c r="BR337" i="25"/>
  <c r="BR321" i="25"/>
  <c r="CO306" i="25"/>
  <c r="CN306" i="25"/>
  <c r="CO338" i="25"/>
  <c r="CN338" i="25"/>
  <c r="BR317" i="25"/>
  <c r="CO302" i="25"/>
  <c r="CN302" i="25"/>
  <c r="BQ282" i="25"/>
  <c r="BP282" i="25"/>
  <c r="CP281" i="25"/>
  <c r="CQ281" i="25"/>
  <c r="BM278" i="25"/>
  <c r="BR271" i="25"/>
  <c r="BM264" i="25"/>
  <c r="BN264" i="25"/>
  <c r="BL264" i="25"/>
  <c r="BR259" i="25"/>
  <c r="BQ258" i="25"/>
  <c r="BP258" i="25"/>
  <c r="CQ257" i="25"/>
  <c r="CP257" i="25"/>
  <c r="CN323" i="25"/>
  <c r="CO323" i="25"/>
  <c r="BL300" i="25"/>
  <c r="BQ274" i="25"/>
  <c r="BP274" i="25"/>
  <c r="BM268" i="25"/>
  <c r="BN268" i="25"/>
  <c r="BL268" i="25"/>
  <c r="AL261" i="25"/>
  <c r="BM260" i="25"/>
  <c r="BN260" i="25"/>
  <c r="BL260" i="25"/>
  <c r="BR325" i="25"/>
  <c r="AL284" i="25"/>
  <c r="AJ284" i="25"/>
  <c r="AK284" i="25"/>
  <c r="CR267" i="25"/>
  <c r="BL263" i="25"/>
  <c r="BN263" i="25"/>
  <c r="BM263" i="25"/>
  <c r="CO256" i="25"/>
  <c r="CN256" i="25"/>
  <c r="BR255" i="25"/>
  <c r="BQ254" i="25"/>
  <c r="BP254" i="25"/>
  <c r="BN240" i="25"/>
  <c r="BM240" i="25"/>
  <c r="BL240" i="25"/>
  <c r="BL239" i="25"/>
  <c r="BM239" i="25"/>
  <c r="BN239" i="25"/>
  <c r="BM313" i="25"/>
  <c r="BN313" i="25"/>
  <c r="BL313" i="25"/>
  <c r="CN303" i="25"/>
  <c r="CO303" i="25"/>
  <c r="BL279" i="25"/>
  <c r="BN279" i="25"/>
  <c r="BM279" i="25"/>
  <c r="BM276" i="25"/>
  <c r="BN276" i="25"/>
  <c r="BL276" i="25"/>
  <c r="BR269" i="25"/>
  <c r="BR309" i="25"/>
  <c r="CO295" i="25"/>
  <c r="CN295" i="25"/>
  <c r="CQ293" i="25"/>
  <c r="CP293" i="25"/>
  <c r="BL287" i="25"/>
  <c r="BN287" i="25"/>
  <c r="BM287" i="25"/>
  <c r="BR251" i="25"/>
  <c r="CP245" i="25"/>
  <c r="CQ245" i="25"/>
  <c r="CR242" i="25"/>
  <c r="BR242" i="25"/>
  <c r="CO324" i="25"/>
  <c r="CN324" i="25"/>
  <c r="BM288" i="25"/>
  <c r="BN288" i="25"/>
  <c r="BL288" i="25"/>
  <c r="BM305" i="25"/>
  <c r="BN305" i="25"/>
  <c r="BL305" i="25"/>
  <c r="BM340" i="25"/>
  <c r="BL340" i="25"/>
  <c r="BN340" i="25"/>
  <c r="CO243" i="25"/>
  <c r="CN243" i="25"/>
  <c r="AL292" i="25"/>
  <c r="AK292" i="25"/>
  <c r="AJ292" i="25"/>
  <c r="CO260" i="25"/>
  <c r="CN260" i="25"/>
  <c r="BM256" i="25"/>
  <c r="BN256" i="25"/>
  <c r="BL256" i="25"/>
  <c r="AK241" i="25"/>
  <c r="AJ241" i="25"/>
  <c r="AL241" i="25"/>
  <c r="CO276" i="25"/>
  <c r="CN276" i="25"/>
  <c r="AL268" i="25"/>
  <c r="AK268" i="25"/>
  <c r="AJ268" i="25"/>
  <c r="CO239" i="25"/>
  <c r="CN239" i="25"/>
  <c r="BQ298" i="25"/>
  <c r="BP298" i="25"/>
  <c r="CO251" i="25"/>
  <c r="CN251" i="25"/>
  <c r="BL247" i="25"/>
  <c r="BN247" i="25"/>
  <c r="BM247" i="25"/>
  <c r="BN246" i="25"/>
  <c r="BM246" i="25"/>
  <c r="BL246" i="25"/>
  <c r="CO241" i="25"/>
  <c r="CN241" i="25"/>
  <c r="AL343" i="25"/>
  <c r="P343" i="25" s="1"/>
  <c r="BL301" i="25"/>
  <c r="BN301" i="25"/>
  <c r="BM301" i="25"/>
  <c r="CN342" i="25"/>
  <c r="CO342" i="25"/>
  <c r="BR332" i="25"/>
  <c r="BM327" i="25"/>
  <c r="BN327" i="25"/>
  <c r="BL327" i="25"/>
  <c r="BR319" i="25"/>
  <c r="CN309" i="25"/>
  <c r="CO309" i="25"/>
  <c r="CR296" i="25"/>
  <c r="BL273" i="25"/>
  <c r="BM273" i="25"/>
  <c r="BN273" i="25"/>
  <c r="BM315" i="25"/>
  <c r="BN315" i="25"/>
  <c r="BL315" i="25"/>
  <c r="BR307" i="25"/>
  <c r="CR292" i="25"/>
  <c r="CR284" i="25"/>
  <c r="BL261" i="25"/>
  <c r="BM261" i="25"/>
  <c r="BN261" i="25"/>
  <c r="CR327" i="25"/>
  <c r="BM317" i="25"/>
  <c r="BN317" i="25"/>
  <c r="BL317" i="25"/>
  <c r="BL282" i="25"/>
  <c r="AL260" i="25"/>
  <c r="AK260" i="25"/>
  <c r="AJ260" i="25"/>
  <c r="CR259" i="25"/>
  <c r="CO252" i="25"/>
  <c r="CN252" i="25"/>
  <c r="BN248" i="25"/>
  <c r="BM248" i="25"/>
  <c r="BL248" i="25"/>
  <c r="CO291" i="25"/>
  <c r="CN291" i="25"/>
  <c r="BR272" i="25"/>
  <c r="BL267" i="25"/>
  <c r="BN267" i="25"/>
  <c r="BM267" i="25"/>
  <c r="BL249" i="25"/>
  <c r="BM249" i="25"/>
  <c r="BN249" i="25"/>
  <c r="BQ294" i="25"/>
  <c r="BP294" i="25"/>
  <c r="CO272" i="25"/>
  <c r="CN272" i="25"/>
  <c r="BR256" i="25"/>
  <c r="CR276" i="25"/>
  <c r="BM309" i="25"/>
  <c r="BN309" i="25"/>
  <c r="BL309" i="25"/>
  <c r="CO279" i="25"/>
  <c r="CN279" i="25"/>
  <c r="CN346" i="25"/>
  <c r="CO346" i="25"/>
  <c r="BR341" i="25"/>
  <c r="CO333" i="25"/>
  <c r="CN333" i="25"/>
  <c r="BQ330" i="25"/>
  <c r="BP330" i="25"/>
  <c r="BL349" i="25"/>
  <c r="BN349" i="25"/>
  <c r="BM349" i="25"/>
  <c r="CN350" i="25"/>
  <c r="CO350" i="25"/>
  <c r="BN342" i="25"/>
  <c r="BM342" i="25"/>
  <c r="BL342" i="25"/>
  <c r="BL339" i="25"/>
  <c r="BM339" i="25"/>
  <c r="BN339" i="25"/>
  <c r="BL331" i="25"/>
  <c r="BM331" i="25"/>
  <c r="BN331" i="25"/>
  <c r="CO339" i="25"/>
  <c r="CN339" i="25"/>
  <c r="BL297" i="25"/>
  <c r="BM297" i="25"/>
  <c r="BN297" i="25"/>
  <c r="CN348" i="25"/>
  <c r="CO348" i="25"/>
  <c r="BN346" i="25"/>
  <c r="BL346" i="25"/>
  <c r="BM346" i="25"/>
  <c r="CP329" i="25"/>
  <c r="CQ329" i="25"/>
  <c r="BL293" i="25"/>
  <c r="BM293" i="25"/>
  <c r="BN293" i="25"/>
  <c r="CN325" i="25"/>
  <c r="CO325" i="25"/>
  <c r="BM311" i="25"/>
  <c r="BN311" i="25"/>
  <c r="BL311" i="25"/>
  <c r="CQ290" i="25"/>
  <c r="CP290" i="25"/>
  <c r="CO287" i="25"/>
  <c r="CN287" i="25"/>
  <c r="BN350" i="25"/>
  <c r="BM350" i="25"/>
  <c r="BL350" i="25"/>
  <c r="CR324" i="25"/>
  <c r="CO316" i="25"/>
  <c r="CN316" i="25"/>
  <c r="CN313" i="25"/>
  <c r="CO313" i="25"/>
  <c r="BL299" i="25"/>
  <c r="BN299" i="25"/>
  <c r="BM299" i="25"/>
  <c r="BL277" i="25"/>
  <c r="BM277" i="25"/>
  <c r="BN277" i="25"/>
  <c r="BN337" i="25"/>
  <c r="BM337" i="25"/>
  <c r="BL337" i="25"/>
  <c r="CO322" i="25"/>
  <c r="CN322" i="25"/>
  <c r="CN315" i="25"/>
  <c r="CO315" i="25"/>
  <c r="CO318" i="25"/>
  <c r="CN318" i="25"/>
  <c r="CN311" i="25"/>
  <c r="CO311" i="25"/>
  <c r="BR295" i="25"/>
  <c r="CQ286" i="25"/>
  <c r="CP286" i="25"/>
  <c r="BM284" i="25"/>
  <c r="BN284" i="25"/>
  <c r="BL284" i="25"/>
  <c r="BM282" i="25"/>
  <c r="BR277" i="25"/>
  <c r="BL271" i="25"/>
  <c r="BN271" i="25"/>
  <c r="BM271" i="25"/>
  <c r="BL259" i="25"/>
  <c r="BN259" i="25"/>
  <c r="BM259" i="25"/>
  <c r="BM252" i="25"/>
  <c r="BN252" i="25"/>
  <c r="BL252" i="25"/>
  <c r="BQ300" i="25"/>
  <c r="BP300" i="25"/>
  <c r="BR265" i="25"/>
  <c r="BL262" i="25"/>
  <c r="CO248" i="25"/>
  <c r="CN248" i="25"/>
  <c r="CN246" i="25"/>
  <c r="CO246" i="25"/>
  <c r="CO326" i="25"/>
  <c r="CN326" i="25"/>
  <c r="AQ292" i="25"/>
  <c r="CO288" i="25"/>
  <c r="CN288" i="25"/>
  <c r="CO268" i="25"/>
  <c r="CN268" i="25"/>
  <c r="CO263" i="25"/>
  <c r="CN263" i="25"/>
  <c r="BL255" i="25"/>
  <c r="BN255" i="25"/>
  <c r="BM255" i="25"/>
  <c r="BM254" i="25"/>
  <c r="BR244" i="25"/>
  <c r="AQ241" i="25"/>
  <c r="CR314" i="25"/>
  <c r="BR283" i="25"/>
  <c r="BM280" i="25"/>
  <c r="BN280" i="25"/>
  <c r="BL280" i="25"/>
  <c r="BL270" i="25"/>
  <c r="AQ268" i="25"/>
  <c r="CQ258" i="25"/>
  <c r="CP258" i="25"/>
  <c r="CO255" i="25"/>
  <c r="CN255" i="25"/>
  <c r="CO247" i="25"/>
  <c r="CN247" i="25"/>
  <c r="CO310" i="25"/>
  <c r="CN310" i="25"/>
  <c r="BL298" i="25"/>
  <c r="CP283" i="25"/>
  <c r="CQ283" i="25"/>
  <c r="CO275" i="25"/>
  <c r="CN275" i="25"/>
  <c r="BR261" i="25"/>
  <c r="BL251" i="25"/>
  <c r="BN251" i="25"/>
  <c r="BM251" i="25"/>
  <c r="BQ250" i="25"/>
  <c r="BP250" i="25"/>
  <c r="BR246" i="25"/>
  <c r="CN244" i="25"/>
  <c r="CO244" i="25"/>
  <c r="BN242" i="25"/>
  <c r="BM242" i="25"/>
  <c r="BL242" i="25"/>
  <c r="BR241" i="25"/>
  <c r="BR180" i="25"/>
  <c r="BR128" i="25"/>
  <c r="BR46" i="25"/>
  <c r="BR124" i="25"/>
  <c r="BR163" i="25"/>
  <c r="BR116" i="25"/>
  <c r="CO36" i="25"/>
  <c r="CO207" i="25"/>
  <c r="CO90" i="25"/>
  <c r="CO115" i="25"/>
  <c r="BR196" i="25"/>
  <c r="BR130" i="25"/>
  <c r="BP237" i="25"/>
  <c r="CO156" i="25"/>
  <c r="CO235" i="25"/>
  <c r="BR179" i="25"/>
  <c r="BR119" i="25"/>
  <c r="BR47" i="25"/>
  <c r="BR27" i="25"/>
  <c r="BR42" i="25"/>
  <c r="BR123" i="25"/>
  <c r="BR30" i="25"/>
  <c r="BR17" i="25"/>
  <c r="BR41" i="25"/>
  <c r="BR98" i="25"/>
  <c r="BR36" i="25"/>
  <c r="CO76" i="25"/>
  <c r="CO163" i="25"/>
  <c r="CO210" i="25"/>
  <c r="CO238" i="25"/>
  <c r="CO215" i="25"/>
  <c r="CO236" i="25"/>
  <c r="CR236" i="25"/>
  <c r="CR182" i="25"/>
  <c r="CR81" i="25"/>
  <c r="BR92" i="25"/>
  <c r="BR212" i="25"/>
  <c r="BR38" i="25"/>
  <c r="BN62" i="25"/>
  <c r="BR62" i="25"/>
  <c r="BR90" i="25"/>
  <c r="BN28" i="25"/>
  <c r="BQ28" i="25" s="1"/>
  <c r="BR28" i="25"/>
  <c r="BR81" i="25"/>
  <c r="BR225" i="25"/>
  <c r="BR203" i="25"/>
  <c r="BR235" i="25"/>
  <c r="CN22" i="25"/>
  <c r="CO22" i="25"/>
  <c r="CN82" i="25"/>
  <c r="CO82" i="25"/>
  <c r="CO50" i="25"/>
  <c r="CO130" i="25"/>
  <c r="CN40" i="25"/>
  <c r="CN88" i="25"/>
  <c r="CN187" i="25"/>
  <c r="CN105" i="25"/>
  <c r="CR105" i="25"/>
  <c r="BR31" i="25"/>
  <c r="BR79" i="25"/>
  <c r="BR19" i="25"/>
  <c r="BR51" i="25"/>
  <c r="BR83" i="25"/>
  <c r="BR23" i="25"/>
  <c r="BR55" i="25"/>
  <c r="BR71" i="25"/>
  <c r="BR93" i="25"/>
  <c r="BR105" i="25"/>
  <c r="BR113" i="25"/>
  <c r="BR121" i="25"/>
  <c r="BR127" i="25"/>
  <c r="BR143" i="25"/>
  <c r="BR151" i="25"/>
  <c r="BN158" i="25"/>
  <c r="BP158" i="25" s="1"/>
  <c r="BR158" i="25"/>
  <c r="BN162" i="25"/>
  <c r="BQ162" i="25" s="1"/>
  <c r="BR162" i="25"/>
  <c r="BN166" i="25"/>
  <c r="BQ166" i="25" s="1"/>
  <c r="BR166" i="25"/>
  <c r="BN170" i="25"/>
  <c r="BQ170" i="25" s="1"/>
  <c r="BR170" i="25"/>
  <c r="BN174" i="25"/>
  <c r="BP174" i="25" s="1"/>
  <c r="BR174" i="25"/>
  <c r="BN178" i="25"/>
  <c r="BP178" i="25" s="1"/>
  <c r="BR178" i="25"/>
  <c r="BN182" i="25"/>
  <c r="BQ182" i="25" s="1"/>
  <c r="BR182" i="25"/>
  <c r="BN186" i="25"/>
  <c r="BQ186" i="25" s="1"/>
  <c r="BR186" i="25"/>
  <c r="BN190" i="25"/>
  <c r="BP190" i="25" s="1"/>
  <c r="BR190" i="25"/>
  <c r="BN194" i="25"/>
  <c r="BP194" i="25" s="1"/>
  <c r="BR194" i="25"/>
  <c r="BN198" i="25"/>
  <c r="BQ198" i="25" s="1"/>
  <c r="BR198" i="25"/>
  <c r="BN202" i="25"/>
  <c r="BQ202" i="25" s="1"/>
  <c r="BR202" i="25"/>
  <c r="BN206" i="25"/>
  <c r="BP206" i="25" s="1"/>
  <c r="BR206" i="25"/>
  <c r="BN210" i="25"/>
  <c r="BP210" i="25" s="1"/>
  <c r="BR210" i="25"/>
  <c r="BN214" i="25"/>
  <c r="BQ214" i="25" s="1"/>
  <c r="BR214" i="25"/>
  <c r="BN218" i="25"/>
  <c r="BQ218" i="25" s="1"/>
  <c r="BR218" i="25"/>
  <c r="BN222" i="25"/>
  <c r="BQ222" i="25" s="1"/>
  <c r="BR222" i="25"/>
  <c r="BN226" i="25"/>
  <c r="BQ226" i="25" s="1"/>
  <c r="BR226" i="25"/>
  <c r="BN230" i="25"/>
  <c r="BQ230" i="25" s="1"/>
  <c r="BR230" i="25"/>
  <c r="BN234" i="25"/>
  <c r="BQ234" i="25" s="1"/>
  <c r="BR234" i="25"/>
  <c r="BN238" i="25"/>
  <c r="BP238" i="25" s="1"/>
  <c r="BR238" i="25"/>
  <c r="BN73" i="25"/>
  <c r="BQ73" i="25" s="1"/>
  <c r="BR73" i="25"/>
  <c r="BR120" i="25"/>
  <c r="BR152" i="25"/>
  <c r="BR122" i="25"/>
  <c r="BQ165" i="25"/>
  <c r="BR65" i="25"/>
  <c r="BR50" i="25"/>
  <c r="BN156" i="25"/>
  <c r="BP156" i="25" s="1"/>
  <c r="BR156" i="25"/>
  <c r="BN85" i="25"/>
  <c r="BP85" i="25" s="1"/>
  <c r="BR85" i="25"/>
  <c r="BR108" i="25"/>
  <c r="BN177" i="25"/>
  <c r="BP177" i="25" s="1"/>
  <c r="BR177" i="25"/>
  <c r="BR131" i="25"/>
  <c r="BR15" i="25"/>
  <c r="BN217" i="25"/>
  <c r="BP217" i="25" s="1"/>
  <c r="BR217" i="25"/>
  <c r="BN157" i="25"/>
  <c r="BQ157" i="25" s="1"/>
  <c r="BR157" i="25"/>
  <c r="BR221" i="25"/>
  <c r="BR20" i="25"/>
  <c r="BN37" i="25"/>
  <c r="BQ37" i="25" s="1"/>
  <c r="BR37" i="25"/>
  <c r="BR171" i="25"/>
  <c r="BN49" i="25"/>
  <c r="BQ49" i="25" s="1"/>
  <c r="BR49" i="25"/>
  <c r="CO186" i="25"/>
  <c r="CO206" i="25"/>
  <c r="CN61" i="25"/>
  <c r="CR61" i="25"/>
  <c r="CR164" i="25"/>
  <c r="CN134" i="25"/>
  <c r="CR134" i="25"/>
  <c r="CN202" i="25"/>
  <c r="CO202" i="25"/>
  <c r="CR102" i="25"/>
  <c r="CN208" i="25"/>
  <c r="CR197" i="25"/>
  <c r="CN203" i="25"/>
  <c r="CN56" i="25"/>
  <c r="CR56" i="25"/>
  <c r="CN173" i="25"/>
  <c r="BR168" i="25"/>
  <c r="BR200" i="25"/>
  <c r="BR236" i="25"/>
  <c r="BN82" i="25"/>
  <c r="BQ82" i="25" s="1"/>
  <c r="BR82" i="25"/>
  <c r="BN147" i="25"/>
  <c r="BP147" i="25" s="1"/>
  <c r="BR147" i="25"/>
  <c r="BN94" i="25"/>
  <c r="BQ94" i="25" s="1"/>
  <c r="BR94" i="25"/>
  <c r="BN57" i="25"/>
  <c r="BR57" i="25"/>
  <c r="BN133" i="25"/>
  <c r="BQ133" i="25" s="1"/>
  <c r="BR133" i="25"/>
  <c r="BN233" i="25"/>
  <c r="BQ233" i="25" s="1"/>
  <c r="BR233" i="25"/>
  <c r="BN227" i="25"/>
  <c r="BQ227" i="25" s="1"/>
  <c r="BR227" i="25"/>
  <c r="BR115" i="25"/>
  <c r="BN197" i="25"/>
  <c r="BQ197" i="25" s="1"/>
  <c r="BR197" i="25"/>
  <c r="BN173" i="25"/>
  <c r="BQ173" i="25" s="1"/>
  <c r="BR173" i="25"/>
  <c r="CN210" i="25"/>
  <c r="CN129" i="25"/>
  <c r="CR129" i="25"/>
  <c r="CN185" i="25"/>
  <c r="CN29" i="25"/>
  <c r="CO29" i="25"/>
  <c r="CP23" i="25"/>
  <c r="CN51" i="25"/>
  <c r="CR51" i="25"/>
  <c r="BR63" i="25"/>
  <c r="BR95" i="25"/>
  <c r="BR35" i="25"/>
  <c r="BR67" i="25"/>
  <c r="BR99" i="25"/>
  <c r="BR39" i="25"/>
  <c r="BR59" i="25"/>
  <c r="BR111" i="25"/>
  <c r="BM125" i="25"/>
  <c r="BR129" i="25"/>
  <c r="BR137" i="25"/>
  <c r="BR145" i="25"/>
  <c r="BR153" i="25"/>
  <c r="BR29" i="25"/>
  <c r="BN160" i="25"/>
  <c r="BP160" i="25" s="1"/>
  <c r="BR160" i="25"/>
  <c r="BN172" i="25"/>
  <c r="BP172" i="25" s="1"/>
  <c r="BR172" i="25"/>
  <c r="BN176" i="25"/>
  <c r="BP176" i="25" s="1"/>
  <c r="BR176" i="25"/>
  <c r="BN188" i="25"/>
  <c r="BQ188" i="25" s="1"/>
  <c r="BR188" i="25"/>
  <c r="BN192" i="25"/>
  <c r="BP192" i="25" s="1"/>
  <c r="BR192" i="25"/>
  <c r="BN204" i="25"/>
  <c r="BQ204" i="25" s="1"/>
  <c r="BR204" i="25"/>
  <c r="BN208" i="25"/>
  <c r="BQ208" i="25" s="1"/>
  <c r="BR208" i="25"/>
  <c r="BN220" i="25"/>
  <c r="BP220" i="25" s="1"/>
  <c r="BR220" i="25"/>
  <c r="BN224" i="25"/>
  <c r="BQ224" i="25" s="1"/>
  <c r="BR224" i="25"/>
  <c r="BN228" i="25"/>
  <c r="BQ228" i="25" s="1"/>
  <c r="BR228" i="25"/>
  <c r="BR43" i="25"/>
  <c r="BR91" i="25"/>
  <c r="BR104" i="25"/>
  <c r="BR136" i="25"/>
  <c r="BR77" i="25"/>
  <c r="BM165" i="25"/>
  <c r="BR86" i="25"/>
  <c r="BN187" i="25"/>
  <c r="BQ187" i="25" s="1"/>
  <c r="BR187" i="25"/>
  <c r="BR53" i="25"/>
  <c r="BR58" i="25"/>
  <c r="BN21" i="25"/>
  <c r="BP21" i="25" s="1"/>
  <c r="BR21" i="25"/>
  <c r="BN60" i="25"/>
  <c r="BQ60" i="25" s="1"/>
  <c r="BR60" i="25"/>
  <c r="CO52" i="25"/>
  <c r="CO214" i="25"/>
  <c r="CO220" i="25"/>
  <c r="CR153" i="25"/>
  <c r="CR22" i="25"/>
  <c r="CN19" i="25"/>
  <c r="CR19" i="25"/>
  <c r="CN85" i="25"/>
  <c r="CO85" i="25"/>
  <c r="CR142" i="25"/>
  <c r="CN148" i="25"/>
  <c r="CR220" i="25"/>
  <c r="CN83" i="25"/>
  <c r="CO83" i="25"/>
  <c r="CN169" i="25"/>
  <c r="CR169" i="25"/>
  <c r="CR214" i="25"/>
  <c r="CN227" i="25"/>
  <c r="CR40" i="25"/>
  <c r="CN78" i="25"/>
  <c r="CR78" i="25"/>
  <c r="CR88" i="25"/>
  <c r="CR43" i="25"/>
  <c r="CN118" i="25"/>
  <c r="BR140" i="25"/>
  <c r="BR184" i="25"/>
  <c r="BR216" i="25"/>
  <c r="CR206" i="25"/>
  <c r="BR139" i="25"/>
  <c r="BN69" i="25"/>
  <c r="D86" i="37" s="1"/>
  <c r="BR69" i="25"/>
  <c r="BR52" i="25"/>
  <c r="BR205" i="25"/>
  <c r="BR64" i="25"/>
  <c r="BR80" i="25"/>
  <c r="BR107" i="25"/>
  <c r="BN181" i="25"/>
  <c r="BQ181" i="25" s="1"/>
  <c r="BR181" i="25"/>
  <c r="BR165" i="25"/>
  <c r="CR107" i="25"/>
  <c r="CR147" i="25"/>
  <c r="CR161" i="25"/>
  <c r="CR192" i="25"/>
  <c r="CR215" i="25"/>
  <c r="CR235" i="25"/>
  <c r="CR38" i="25"/>
  <c r="CR150" i="25"/>
  <c r="CR89" i="25"/>
  <c r="CR115" i="25"/>
  <c r="CR140" i="25"/>
  <c r="CR145" i="25"/>
  <c r="CR155" i="25"/>
  <c r="CR191" i="25"/>
  <c r="CR217" i="25"/>
  <c r="CR233" i="25"/>
  <c r="CR33" i="25"/>
  <c r="CR39" i="25"/>
  <c r="CR137" i="25"/>
  <c r="CR195" i="25"/>
  <c r="CR200" i="25"/>
  <c r="CR205" i="25"/>
  <c r="CR224" i="25"/>
  <c r="CR230" i="25"/>
  <c r="CR16" i="25"/>
  <c r="CR20" i="25"/>
  <c r="CR98" i="25"/>
  <c r="CQ158" i="25"/>
  <c r="CR238" i="25"/>
  <c r="CR221" i="25"/>
  <c r="CP101" i="25"/>
  <c r="CO78" i="25"/>
  <c r="CO196" i="25"/>
  <c r="CN75" i="25"/>
  <c r="CP190" i="25"/>
  <c r="CO84" i="25"/>
  <c r="CN84" i="25"/>
  <c r="CO96" i="25"/>
  <c r="CN96" i="25"/>
  <c r="CQ114" i="25"/>
  <c r="CP114" i="25"/>
  <c r="CO138" i="25"/>
  <c r="CN138" i="25"/>
  <c r="CP73" i="25"/>
  <c r="CO48" i="25"/>
  <c r="CN48" i="25"/>
  <c r="CO70" i="25"/>
  <c r="CN70" i="25"/>
  <c r="CN87" i="25"/>
  <c r="CN99" i="25"/>
  <c r="CN125" i="25"/>
  <c r="CN86" i="25"/>
  <c r="CN111" i="25"/>
  <c r="CN141" i="25"/>
  <c r="CN167" i="25"/>
  <c r="CO213" i="25"/>
  <c r="CO129" i="25"/>
  <c r="CO231" i="25"/>
  <c r="CR104" i="25"/>
  <c r="CR25" i="25"/>
  <c r="CR34" i="25"/>
  <c r="CR47" i="25"/>
  <c r="CO59" i="25"/>
  <c r="CN59" i="25"/>
  <c r="CR74" i="25"/>
  <c r="CN144" i="25"/>
  <c r="CR183" i="25"/>
  <c r="CR198" i="25"/>
  <c r="CR211" i="25"/>
  <c r="CR225" i="25"/>
  <c r="CR237" i="25"/>
  <c r="CN26" i="25"/>
  <c r="CR35" i="25"/>
  <c r="CR52" i="25"/>
  <c r="CR67" i="25"/>
  <c r="CR82" i="25"/>
  <c r="CN112" i="25"/>
  <c r="CR138" i="25"/>
  <c r="CN159" i="25"/>
  <c r="CR194" i="25"/>
  <c r="CR199" i="25"/>
  <c r="CR204" i="25"/>
  <c r="CR216" i="25"/>
  <c r="CR232" i="25"/>
  <c r="CO24" i="25"/>
  <c r="CN24" i="25"/>
  <c r="CR53" i="25"/>
  <c r="CN157" i="25"/>
  <c r="CQ65" i="25"/>
  <c r="CR72" i="25"/>
  <c r="CR83" i="25"/>
  <c r="CR90" i="25"/>
  <c r="CR110" i="25"/>
  <c r="CN133" i="25"/>
  <c r="CN149" i="25"/>
  <c r="CN66" i="25"/>
  <c r="CR86" i="25"/>
  <c r="CR108" i="25"/>
  <c r="CR116" i="25"/>
  <c r="CN128" i="25"/>
  <c r="CR139" i="25"/>
  <c r="CR156" i="25"/>
  <c r="CR163" i="25"/>
  <c r="CR174" i="25"/>
  <c r="CR180" i="25"/>
  <c r="CR193" i="25"/>
  <c r="CR212" i="25"/>
  <c r="CR222" i="25"/>
  <c r="CO44" i="25"/>
  <c r="CO51" i="25"/>
  <c r="CO77" i="25"/>
  <c r="CO41" i="25"/>
  <c r="CO68" i="25"/>
  <c r="CO179" i="25"/>
  <c r="CO169" i="25"/>
  <c r="CO223" i="25"/>
  <c r="CN95" i="25"/>
  <c r="CN46" i="25"/>
  <c r="CN117" i="25"/>
  <c r="CN175" i="25"/>
  <c r="CQ45" i="25"/>
  <c r="CP45" i="25"/>
  <c r="CQ162" i="25"/>
  <c r="CP162" i="25"/>
  <c r="CN165" i="25"/>
  <c r="CN176" i="25"/>
  <c r="CO122" i="25"/>
  <c r="CN122" i="25"/>
  <c r="CN146" i="25"/>
  <c r="CO49" i="25"/>
  <c r="CN49" i="25"/>
  <c r="CO100" i="25"/>
  <c r="CN100" i="25"/>
  <c r="CN143" i="25"/>
  <c r="BL213" i="25"/>
  <c r="CO17" i="25"/>
  <c r="CO19" i="25"/>
  <c r="CO79" i="25"/>
  <c r="CO37" i="25"/>
  <c r="CO234" i="25"/>
  <c r="CR75" i="25"/>
  <c r="CQ151" i="25"/>
  <c r="CP151" i="25"/>
  <c r="CR27" i="25"/>
  <c r="CR42" i="25"/>
  <c r="CR92" i="25"/>
  <c r="CN127" i="25"/>
  <c r="CR84" i="25"/>
  <c r="CR124" i="25"/>
  <c r="CR171" i="25"/>
  <c r="CR178" i="25"/>
  <c r="CR188" i="25"/>
  <c r="CR201" i="25"/>
  <c r="CR219" i="25"/>
  <c r="CR228" i="25"/>
  <c r="CR31" i="25"/>
  <c r="CR37" i="25"/>
  <c r="CR64" i="25"/>
  <c r="CR76" i="25"/>
  <c r="CR91" i="25"/>
  <c r="CR96" i="25"/>
  <c r="CQ106" i="25"/>
  <c r="CP106" i="25"/>
  <c r="CN119" i="25"/>
  <c r="CR172" i="25"/>
  <c r="CR184" i="25"/>
  <c r="CR196" i="25"/>
  <c r="CR202" i="25"/>
  <c r="CR207" i="25"/>
  <c r="CR229" i="25"/>
  <c r="CR48" i="25"/>
  <c r="CR55" i="25"/>
  <c r="CR62" i="25"/>
  <c r="CR176" i="25"/>
  <c r="CN58" i="25"/>
  <c r="CR70" i="25"/>
  <c r="CR80" i="25"/>
  <c r="CR87" i="25"/>
  <c r="CR93" i="25"/>
  <c r="CR99" i="25"/>
  <c r="CR113" i="25"/>
  <c r="CR125" i="25"/>
  <c r="CN135" i="25"/>
  <c r="CR146" i="25"/>
  <c r="CN154" i="25"/>
  <c r="CR49" i="25"/>
  <c r="CN71" i="25"/>
  <c r="CR103" i="25"/>
  <c r="CR111" i="25"/>
  <c r="CR123" i="25"/>
  <c r="CR131" i="25"/>
  <c r="CR141" i="25"/>
  <c r="CN152" i="25"/>
  <c r="CR167" i="25"/>
  <c r="CR177" i="25"/>
  <c r="CR187" i="25"/>
  <c r="CR209" i="25"/>
  <c r="CR218" i="25"/>
  <c r="CR28" i="25"/>
  <c r="BM49" i="25"/>
  <c r="BP80" i="25"/>
  <c r="BL40" i="25"/>
  <c r="BM237" i="25"/>
  <c r="BL237" i="25"/>
  <c r="BQ213" i="25"/>
  <c r="BQ201" i="25"/>
  <c r="BM80" i="25"/>
  <c r="BM167" i="25"/>
  <c r="BM213" i="25"/>
  <c r="BQ209" i="25"/>
  <c r="BQ32" i="25"/>
  <c r="BP44" i="25"/>
  <c r="BM32" i="25"/>
  <c r="BL109" i="25"/>
  <c r="BM132" i="25"/>
  <c r="BL209" i="25"/>
  <c r="BQ221" i="25"/>
  <c r="BL48" i="25"/>
  <c r="BL80" i="25"/>
  <c r="BM209" i="25"/>
  <c r="BQ132" i="25"/>
  <c r="BL117" i="25"/>
  <c r="BP40" i="25"/>
  <c r="BP109" i="25"/>
  <c r="BQ117" i="25"/>
  <c r="BQ100" i="25"/>
  <c r="BL97" i="25"/>
  <c r="BL108" i="25"/>
  <c r="BM24" i="25"/>
  <c r="BL81" i="25"/>
  <c r="BM231" i="25"/>
  <c r="BQ116" i="25"/>
  <c r="BQ20" i="25"/>
  <c r="BL56" i="25"/>
  <c r="BL157" i="25"/>
  <c r="BM20" i="25"/>
  <c r="BL173" i="25"/>
  <c r="BQ155" i="25"/>
  <c r="BM44" i="25"/>
  <c r="BM205" i="25"/>
  <c r="BL229" i="25"/>
  <c r="BP97" i="25"/>
  <c r="BQ229" i="25"/>
  <c r="BP92" i="25"/>
  <c r="BL24" i="25"/>
  <c r="BM56" i="25"/>
  <c r="BM88" i="25"/>
  <c r="BM101" i="25"/>
  <c r="BP131" i="25"/>
  <c r="BL155" i="25"/>
  <c r="BP56" i="25"/>
  <c r="BQ185" i="25"/>
  <c r="BP149" i="25"/>
  <c r="BL30" i="25"/>
  <c r="BP72" i="25"/>
  <c r="BQ96" i="25"/>
  <c r="BQ36" i="25"/>
  <c r="BM201" i="25"/>
  <c r="BM199" i="25"/>
  <c r="BM229" i="25"/>
  <c r="BL233" i="25"/>
  <c r="BM155" i="25"/>
  <c r="BQ205" i="25"/>
  <c r="BQ68" i="25"/>
  <c r="BQ183" i="25"/>
  <c r="BQ81" i="25"/>
  <c r="BP76" i="25"/>
  <c r="BQ199" i="25"/>
  <c r="BP116" i="25"/>
  <c r="BL32" i="25"/>
  <c r="BM117" i="25"/>
  <c r="BL132" i="25"/>
  <c r="BP29" i="25"/>
  <c r="BL199" i="25"/>
  <c r="BL221" i="25"/>
  <c r="BP199" i="25"/>
  <c r="BQ148" i="25"/>
  <c r="BM109" i="25"/>
  <c r="BM157" i="25"/>
  <c r="BL185" i="25"/>
  <c r="BQ48" i="25"/>
  <c r="BL28" i="25"/>
  <c r="BL84" i="25"/>
  <c r="BL193" i="25"/>
  <c r="BP140" i="25"/>
  <c r="BP20" i="25"/>
  <c r="BQ129" i="25"/>
  <c r="BQ151" i="25"/>
  <c r="BQ44" i="25"/>
  <c r="BQ92" i="25"/>
  <c r="BM72" i="25"/>
  <c r="BM156" i="25"/>
  <c r="BM189" i="25"/>
  <c r="BP139" i="25"/>
  <c r="BM66" i="25"/>
  <c r="BM37" i="25"/>
  <c r="BP36" i="25"/>
  <c r="BP96" i="25"/>
  <c r="BP171" i="25"/>
  <c r="BL49" i="25"/>
  <c r="BL88" i="25"/>
  <c r="BM60" i="25"/>
  <c r="BL69" i="25"/>
  <c r="BM140" i="25"/>
  <c r="BM36" i="25"/>
  <c r="BL201" i="25"/>
  <c r="BL20" i="25"/>
  <c r="BM169" i="25"/>
  <c r="BL181" i="25"/>
  <c r="BL195" i="25"/>
  <c r="BL205" i="25"/>
  <c r="BL235" i="25"/>
  <c r="BQ78" i="25"/>
  <c r="BM97" i="25"/>
  <c r="BP169" i="25"/>
  <c r="BP189" i="25"/>
  <c r="BP108" i="25"/>
  <c r="BL72" i="25"/>
  <c r="BM181" i="25"/>
  <c r="BL189" i="25"/>
  <c r="BQ72" i="25"/>
  <c r="BL98" i="25"/>
  <c r="BL60" i="25"/>
  <c r="BL116" i="25"/>
  <c r="BL36" i="25"/>
  <c r="BM84" i="25"/>
  <c r="BQ143" i="25"/>
  <c r="BQ43" i="25"/>
  <c r="BM173" i="25"/>
  <c r="BL217" i="25"/>
  <c r="BP179" i="25"/>
  <c r="BP88" i="25"/>
  <c r="BQ123" i="25"/>
  <c r="BM81" i="25"/>
  <c r="BM15" i="25"/>
  <c r="BQ64" i="25"/>
  <c r="BQ76" i="25"/>
  <c r="BN18" i="25"/>
  <c r="BL18" i="25"/>
  <c r="BO159" i="25"/>
  <c r="BL159" i="25"/>
  <c r="BL82" i="25"/>
  <c r="BL167" i="25"/>
  <c r="BQ216" i="25"/>
  <c r="BM225" i="25"/>
  <c r="BP193" i="25"/>
  <c r="BL15" i="25"/>
  <c r="BP215" i="25"/>
  <c r="BP52" i="25"/>
  <c r="BL76" i="25"/>
  <c r="BL16" i="25"/>
  <c r="BM179" i="25"/>
  <c r="BM96" i="25"/>
  <c r="BM68" i="25"/>
  <c r="BM161" i="25"/>
  <c r="BP100" i="25"/>
  <c r="BQ225" i="25"/>
  <c r="BP101" i="25"/>
  <c r="BN15" i="25"/>
  <c r="BM33" i="25"/>
  <c r="BM30" i="25"/>
  <c r="BM76" i="25"/>
  <c r="BM92" i="25"/>
  <c r="BL101" i="25"/>
  <c r="BL148" i="25"/>
  <c r="BM197" i="25"/>
  <c r="BQ168" i="25"/>
  <c r="BQ184" i="25"/>
  <c r="BQ200" i="25"/>
  <c r="BQ144" i="25"/>
  <c r="BL227" i="25"/>
  <c r="BM46" i="25"/>
  <c r="BP64" i="25"/>
  <c r="BL34" i="25"/>
  <c r="BM53" i="25"/>
  <c r="BL92" i="25"/>
  <c r="BM100" i="25"/>
  <c r="BM133" i="25"/>
  <c r="BM149" i="25"/>
  <c r="BM215" i="25"/>
  <c r="BM64" i="25"/>
  <c r="BL177" i="25"/>
  <c r="BL225" i="25"/>
  <c r="BL123" i="25"/>
  <c r="BP84" i="25"/>
  <c r="BQ53" i="25"/>
  <c r="BL33" i="25"/>
  <c r="BL37" i="25"/>
  <c r="BL53" i="25"/>
  <c r="BL100" i="25"/>
  <c r="BM108" i="25"/>
  <c r="BM116" i="25"/>
  <c r="BL133" i="25"/>
  <c r="BL149" i="25"/>
  <c r="BM193" i="25"/>
  <c r="BL215" i="25"/>
  <c r="BL96" i="25"/>
  <c r="BL68" i="25"/>
  <c r="BL64" i="25"/>
  <c r="BQ135" i="25"/>
  <c r="BL161" i="25"/>
  <c r="BL169" i="25"/>
  <c r="BM217" i="25"/>
  <c r="BM233" i="25"/>
  <c r="BM207" i="25"/>
  <c r="BL219" i="25"/>
  <c r="BM123" i="25"/>
  <c r="BP24" i="25"/>
  <c r="BP34" i="25"/>
  <c r="BQ161" i="25"/>
  <c r="BQ167" i="25"/>
  <c r="BP141" i="25"/>
  <c r="BP124" i="25"/>
  <c r="BP148" i="25"/>
  <c r="BQ93" i="25"/>
  <c r="BQ105" i="25"/>
  <c r="BQ113" i="25"/>
  <c r="BQ121" i="25"/>
  <c r="BP83" i="25"/>
  <c r="BL46" i="25"/>
  <c r="BM85" i="25"/>
  <c r="BL21" i="25"/>
  <c r="BM16" i="25"/>
  <c r="BM48" i="25"/>
  <c r="BM148" i="25"/>
  <c r="BQ45" i="25"/>
  <c r="BP43" i="25"/>
  <c r="BM185" i="25"/>
  <c r="BM221" i="25"/>
  <c r="BP163" i="25"/>
  <c r="BP16" i="25"/>
  <c r="BP66" i="25"/>
  <c r="BQ140" i="25"/>
  <c r="BN30" i="25"/>
  <c r="BP30" i="25" s="1"/>
  <c r="BP46" i="25"/>
  <c r="BP33" i="25"/>
  <c r="BM21" i="25"/>
  <c r="BM40" i="25"/>
  <c r="BM69" i="25"/>
  <c r="BL85" i="25"/>
  <c r="BM124" i="25"/>
  <c r="BL141" i="25"/>
  <c r="BL183" i="25"/>
  <c r="BM52" i="25"/>
  <c r="BP152" i="25"/>
  <c r="BL163" i="25"/>
  <c r="BQ51" i="25"/>
  <c r="BQ124" i="25"/>
  <c r="BP59" i="25"/>
  <c r="BQ139" i="25"/>
  <c r="BL50" i="25"/>
  <c r="BL78" i="25"/>
  <c r="BM28" i="25"/>
  <c r="BQ27" i="25"/>
  <c r="BL124" i="25"/>
  <c r="BL140" i="25"/>
  <c r="BL156" i="25"/>
  <c r="BM183" i="25"/>
  <c r="BL52" i="25"/>
  <c r="BP91" i="25"/>
  <c r="BM163" i="25"/>
  <c r="BM177" i="25"/>
  <c r="BM195" i="25"/>
  <c r="BM227" i="25"/>
  <c r="BM34" i="25"/>
  <c r="BM78" i="25"/>
  <c r="BQ52" i="25"/>
  <c r="BQ137" i="25"/>
  <c r="BP145" i="25"/>
  <c r="BQ153" i="25"/>
  <c r="BP75" i="25"/>
  <c r="BP61" i="25"/>
  <c r="BL66" i="25"/>
  <c r="BL44" i="25"/>
  <c r="BM141" i="25"/>
  <c r="BM187" i="25"/>
  <c r="BL197" i="25"/>
  <c r="BQ136" i="25"/>
  <c r="BL231" i="25"/>
  <c r="BP231" i="25"/>
  <c r="BP63" i="25"/>
  <c r="BQ63" i="25"/>
  <c r="BP95" i="25"/>
  <c r="BQ95" i="25"/>
  <c r="BP23" i="25"/>
  <c r="BQ23" i="25"/>
  <c r="BP55" i="25"/>
  <c r="BQ55" i="25"/>
  <c r="BP71" i="25"/>
  <c r="BQ71" i="25"/>
  <c r="BQ111" i="25"/>
  <c r="BP111" i="25"/>
  <c r="BP87" i="25"/>
  <c r="BQ87" i="25"/>
  <c r="BQ164" i="25"/>
  <c r="BP164" i="25"/>
  <c r="BQ196" i="25"/>
  <c r="BP196" i="25"/>
  <c r="BQ236" i="25"/>
  <c r="BP236" i="25"/>
  <c r="BQ107" i="25"/>
  <c r="BP107" i="25"/>
  <c r="BL114" i="25"/>
  <c r="BO114" i="25"/>
  <c r="BL211" i="25"/>
  <c r="BO211" i="25"/>
  <c r="BP105" i="25"/>
  <c r="BP144" i="25"/>
  <c r="BP47" i="25"/>
  <c r="BQ47" i="25"/>
  <c r="BL65" i="25"/>
  <c r="BM114" i="25"/>
  <c r="BP143" i="25"/>
  <c r="BL179" i="25"/>
  <c r="BL187" i="25"/>
  <c r="BL142" i="25"/>
  <c r="BO142" i="25"/>
  <c r="BQ104" i="25"/>
  <c r="BP104" i="25"/>
  <c r="BQ128" i="25"/>
  <c r="BM90" i="25"/>
  <c r="BN90" i="25"/>
  <c r="BP90" i="25" s="1"/>
  <c r="BL138" i="25"/>
  <c r="BN138" i="25"/>
  <c r="BM50" i="25"/>
  <c r="BN50" i="25"/>
  <c r="BP50" i="25" s="1"/>
  <c r="BM191" i="25"/>
  <c r="BN191" i="25"/>
  <c r="BQ191" i="25" s="1"/>
  <c r="BL26" i="25"/>
  <c r="BO26" i="25"/>
  <c r="BQ26" i="25" s="1"/>
  <c r="BM74" i="25"/>
  <c r="BQ145" i="25"/>
  <c r="BQ29" i="25"/>
  <c r="BQ61" i="25"/>
  <c r="BP184" i="25"/>
  <c r="BL74" i="25"/>
  <c r="BP31" i="25"/>
  <c r="BQ31" i="25"/>
  <c r="BP79" i="25"/>
  <c r="BQ79" i="25"/>
  <c r="BP93" i="25"/>
  <c r="BQ127" i="25"/>
  <c r="BP127" i="25"/>
  <c r="BM171" i="25"/>
  <c r="BL126" i="25"/>
  <c r="BM142" i="25"/>
  <c r="BQ103" i="25"/>
  <c r="BP103" i="25"/>
  <c r="BQ115" i="25"/>
  <c r="BP115" i="25"/>
  <c r="BM38" i="25"/>
  <c r="BN38" i="25"/>
  <c r="BM54" i="25"/>
  <c r="BO54" i="25"/>
  <c r="BM98" i="25"/>
  <c r="BO98" i="25"/>
  <c r="BL146" i="25"/>
  <c r="BO146" i="25"/>
  <c r="BM94" i="25"/>
  <c r="BM219" i="25"/>
  <c r="BN219" i="25"/>
  <c r="BP74" i="25"/>
  <c r="BP113" i="25"/>
  <c r="BP129" i="25"/>
  <c r="BP153" i="25"/>
  <c r="BQ67" i="25"/>
  <c r="BQ99" i="25"/>
  <c r="BQ59" i="25"/>
  <c r="BQ91" i="25"/>
  <c r="BP128" i="25"/>
  <c r="BM62" i="25"/>
  <c r="BO62" i="25"/>
  <c r="BM25" i="25"/>
  <c r="BO25" i="25"/>
  <c r="BP39" i="25"/>
  <c r="BQ39" i="25"/>
  <c r="BQ180" i="25"/>
  <c r="BP180" i="25"/>
  <c r="BQ212" i="25"/>
  <c r="BP212" i="25"/>
  <c r="BQ232" i="25"/>
  <c r="BP232" i="25"/>
  <c r="BQ120" i="25"/>
  <c r="BP120" i="25"/>
  <c r="BQ119" i="25"/>
  <c r="BP119" i="25"/>
  <c r="BP121" i="25"/>
  <c r="BP137" i="25"/>
  <c r="BQ75" i="25"/>
  <c r="BP65" i="25"/>
  <c r="BQ65" i="25"/>
  <c r="BL110" i="25"/>
  <c r="BO110" i="25"/>
  <c r="BQ112" i="25"/>
  <c r="BP112" i="25"/>
  <c r="BM70" i="25"/>
  <c r="BO70" i="25"/>
  <c r="BM86" i="25"/>
  <c r="BN86" i="25"/>
  <c r="BL122" i="25"/>
  <c r="BN122" i="25"/>
  <c r="BM159" i="25"/>
  <c r="BN159" i="25"/>
  <c r="BM223" i="25"/>
  <c r="BN223" i="25"/>
  <c r="BQ223" i="25" s="1"/>
  <c r="BP216" i="25"/>
  <c r="BM17" i="25"/>
  <c r="BN17" i="25"/>
  <c r="BL94" i="25"/>
  <c r="BL57" i="25"/>
  <c r="BO57" i="25"/>
  <c r="BL62" i="25"/>
  <c r="BL41" i="25"/>
  <c r="BO41" i="25"/>
  <c r="BP41" i="25" s="1"/>
  <c r="BP19" i="25"/>
  <c r="BQ19" i="25"/>
  <c r="BP27" i="25"/>
  <c r="BP45" i="25"/>
  <c r="BP89" i="25"/>
  <c r="BQ89" i="25"/>
  <c r="BP151" i="25"/>
  <c r="BL171" i="25"/>
  <c r="BM102" i="25"/>
  <c r="BO102" i="25"/>
  <c r="BM118" i="25"/>
  <c r="BO118" i="25"/>
  <c r="BM134" i="25"/>
  <c r="BO134" i="25"/>
  <c r="BM150" i="25"/>
  <c r="BO150" i="25"/>
  <c r="BM110" i="25"/>
  <c r="BM126" i="25"/>
  <c r="BQ152" i="25"/>
  <c r="BP135" i="25"/>
  <c r="BL191" i="25"/>
  <c r="BM211" i="25"/>
  <c r="BM235" i="25"/>
  <c r="BL223" i="25"/>
  <c r="BL106" i="25"/>
  <c r="BN106" i="25"/>
  <c r="BM22" i="25"/>
  <c r="BN22" i="25"/>
  <c r="BP22" i="25" s="1"/>
  <c r="BM42" i="25"/>
  <c r="BN42" i="25"/>
  <c r="BM58" i="25"/>
  <c r="BN58" i="25"/>
  <c r="BP58" i="25" s="1"/>
  <c r="BL130" i="25"/>
  <c r="BN130" i="25"/>
  <c r="BL154" i="25"/>
  <c r="BN154" i="25"/>
  <c r="BL175" i="25"/>
  <c r="BN175" i="25"/>
  <c r="BQ175" i="25" s="1"/>
  <c r="BL207" i="25"/>
  <c r="BN207" i="25"/>
  <c r="BQ207" i="25" s="1"/>
  <c r="BM18" i="25"/>
  <c r="BO18" i="25"/>
  <c r="BL203" i="25"/>
  <c r="BN203" i="25"/>
  <c r="BP78" i="25"/>
  <c r="BQ35" i="25"/>
  <c r="BQ131" i="25"/>
  <c r="BQ163" i="25"/>
  <c r="BQ179" i="25"/>
  <c r="BQ195" i="25"/>
  <c r="BP235" i="25"/>
  <c r="BP136" i="25"/>
  <c r="BP168" i="25"/>
  <c r="BP200" i="25"/>
  <c r="BM65" i="25"/>
  <c r="BQ46" i="25"/>
  <c r="BQ126" i="25"/>
  <c r="BM107" i="25"/>
  <c r="BL107" i="25"/>
  <c r="BM147" i="25"/>
  <c r="BL147" i="25"/>
  <c r="BM82" i="25"/>
  <c r="BM131" i="25"/>
  <c r="BL131" i="25"/>
  <c r="BL22" i="25"/>
  <c r="BM130" i="25"/>
  <c r="BL25" i="25"/>
  <c r="BM175" i="25"/>
  <c r="BL42" i="25"/>
  <c r="BL58" i="25"/>
  <c r="BL90" i="25"/>
  <c r="BM106" i="25"/>
  <c r="BM138" i="25"/>
  <c r="BM115" i="25"/>
  <c r="BL115" i="25"/>
  <c r="BM139" i="25"/>
  <c r="BL139" i="25"/>
  <c r="BM26" i="25"/>
  <c r="BL118" i="25"/>
  <c r="BL150" i="25"/>
  <c r="BL31" i="25"/>
  <c r="BM31" i="25"/>
  <c r="BL79" i="25"/>
  <c r="BM79" i="25"/>
  <c r="BM83" i="25"/>
  <c r="BL83" i="25"/>
  <c r="BL23" i="25"/>
  <c r="BM23" i="25"/>
  <c r="BL75" i="25"/>
  <c r="BM75" i="25"/>
  <c r="BM158" i="25"/>
  <c r="BL158" i="25"/>
  <c r="BM162" i="25"/>
  <c r="BL162" i="25"/>
  <c r="BM166" i="25"/>
  <c r="BL166" i="25"/>
  <c r="BM170" i="25"/>
  <c r="BL170" i="25"/>
  <c r="BM174" i="25"/>
  <c r="BL174" i="25"/>
  <c r="BM178" i="25"/>
  <c r="BL178" i="25"/>
  <c r="BM182" i="25"/>
  <c r="BL182" i="25"/>
  <c r="BM186" i="25"/>
  <c r="BL186" i="25"/>
  <c r="BM190" i="25"/>
  <c r="BL190" i="25"/>
  <c r="BM194" i="25"/>
  <c r="BL194" i="25"/>
  <c r="BM198" i="25"/>
  <c r="BL198" i="25"/>
  <c r="BM202" i="25"/>
  <c r="BL202" i="25"/>
  <c r="BM206" i="25"/>
  <c r="BL206" i="25"/>
  <c r="BM210" i="25"/>
  <c r="BL210" i="25"/>
  <c r="BM214" i="25"/>
  <c r="BL214" i="25"/>
  <c r="BM218" i="25"/>
  <c r="BL218" i="25"/>
  <c r="BM222" i="25"/>
  <c r="BL222" i="25"/>
  <c r="BM226" i="25"/>
  <c r="BL226" i="25"/>
  <c r="BM230" i="25"/>
  <c r="BL230" i="25"/>
  <c r="BM234" i="25"/>
  <c r="BL234" i="25"/>
  <c r="BM238" i="25"/>
  <c r="BL238" i="25"/>
  <c r="BM128" i="25"/>
  <c r="BL128" i="25"/>
  <c r="BL119" i="25"/>
  <c r="BM119" i="25"/>
  <c r="BM19" i="25"/>
  <c r="BL19" i="25"/>
  <c r="BM41" i="25"/>
  <c r="BM51" i="25"/>
  <c r="BL51" i="25"/>
  <c r="BM99" i="25"/>
  <c r="BL99" i="25"/>
  <c r="BL39" i="25"/>
  <c r="BM39" i="25"/>
  <c r="BL59" i="25"/>
  <c r="BM59" i="25"/>
  <c r="BL93" i="25"/>
  <c r="BM93" i="25"/>
  <c r="BL127" i="25"/>
  <c r="BM127" i="25"/>
  <c r="BL151" i="25"/>
  <c r="BM151" i="25"/>
  <c r="BL91" i="25"/>
  <c r="BM91" i="25"/>
  <c r="BM104" i="25"/>
  <c r="BL104" i="25"/>
  <c r="BM136" i="25"/>
  <c r="BL136" i="25"/>
  <c r="BL77" i="25"/>
  <c r="BM77" i="25"/>
  <c r="BM63" i="25"/>
  <c r="BL63" i="25"/>
  <c r="BL95" i="25"/>
  <c r="BM95" i="25"/>
  <c r="BL55" i="25"/>
  <c r="BM55" i="25"/>
  <c r="BL27" i="25"/>
  <c r="BM27" i="25"/>
  <c r="BL45" i="25"/>
  <c r="BM45" i="25"/>
  <c r="BL89" i="25"/>
  <c r="BM89" i="25"/>
  <c r="BL87" i="25"/>
  <c r="BM87" i="25"/>
  <c r="BM160" i="25"/>
  <c r="BL160" i="25"/>
  <c r="BM164" i="25"/>
  <c r="BL164" i="25"/>
  <c r="BM168" i="25"/>
  <c r="BL168" i="25"/>
  <c r="BM172" i="25"/>
  <c r="BL172" i="25"/>
  <c r="BM176" i="25"/>
  <c r="BL176" i="25"/>
  <c r="BM180" i="25"/>
  <c r="BL180" i="25"/>
  <c r="BM184" i="25"/>
  <c r="BL184" i="25"/>
  <c r="BM188" i="25"/>
  <c r="BL188" i="25"/>
  <c r="BM192" i="25"/>
  <c r="BL192" i="25"/>
  <c r="BM196" i="25"/>
  <c r="BL196" i="25"/>
  <c r="BM200" i="25"/>
  <c r="BL200" i="25"/>
  <c r="BM204" i="25"/>
  <c r="BL204" i="25"/>
  <c r="BM208" i="25"/>
  <c r="BL208" i="25"/>
  <c r="BM212" i="25"/>
  <c r="BL212" i="25"/>
  <c r="BM216" i="25"/>
  <c r="BL216" i="25"/>
  <c r="BM220" i="25"/>
  <c r="BL220" i="25"/>
  <c r="BM224" i="25"/>
  <c r="BL224" i="25"/>
  <c r="BM228" i="25"/>
  <c r="BL228" i="25"/>
  <c r="BM232" i="25"/>
  <c r="BL232" i="25"/>
  <c r="BM236" i="25"/>
  <c r="BL236" i="25"/>
  <c r="BL61" i="25"/>
  <c r="BM61" i="25"/>
  <c r="BL73" i="25"/>
  <c r="BM73" i="25"/>
  <c r="BL102" i="25"/>
  <c r="BM112" i="25"/>
  <c r="BL112" i="25"/>
  <c r="BL134" i="25"/>
  <c r="BM144" i="25"/>
  <c r="BL144" i="25"/>
  <c r="BL103" i="25"/>
  <c r="BM103" i="25"/>
  <c r="BL135" i="25"/>
  <c r="BM135" i="25"/>
  <c r="BL47" i="25"/>
  <c r="BM47" i="25"/>
  <c r="BM35" i="25"/>
  <c r="BL35" i="25"/>
  <c r="BM57" i="25"/>
  <c r="BM67" i="25"/>
  <c r="BL67" i="25"/>
  <c r="BL71" i="25"/>
  <c r="BM71" i="25"/>
  <c r="BL105" i="25"/>
  <c r="BM105" i="25"/>
  <c r="BL113" i="25"/>
  <c r="BM113" i="25"/>
  <c r="BL121" i="25"/>
  <c r="BM121" i="25"/>
  <c r="BL129" i="25"/>
  <c r="BM129" i="25"/>
  <c r="BL137" i="25"/>
  <c r="BM137" i="25"/>
  <c r="BL145" i="25"/>
  <c r="BM145" i="25"/>
  <c r="BL153" i="25"/>
  <c r="BM153" i="25"/>
  <c r="BL111" i="25"/>
  <c r="BM111" i="25"/>
  <c r="BL143" i="25"/>
  <c r="BM143" i="25"/>
  <c r="BL29" i="25"/>
  <c r="BM29" i="25"/>
  <c r="BL43" i="25"/>
  <c r="BM43" i="25"/>
  <c r="BM120" i="25"/>
  <c r="BL120" i="25"/>
  <c r="BM152" i="25"/>
  <c r="BL152" i="25"/>
  <c r="CQ69" i="25" l="1"/>
  <c r="E86" i="37"/>
  <c r="F97" i="37"/>
  <c r="C108" i="37" s="1"/>
  <c r="CP69" i="25"/>
  <c r="F75" i="37"/>
  <c r="E76" i="37"/>
  <c r="BP69" i="25"/>
  <c r="D76" i="37"/>
  <c r="BP77" i="25"/>
  <c r="BQ77" i="25"/>
  <c r="D59" i="37"/>
  <c r="D60" i="37"/>
  <c r="E54" i="37"/>
  <c r="D54" i="37"/>
  <c r="E53" i="37"/>
  <c r="D53" i="37"/>
  <c r="E60" i="37"/>
  <c r="AM332" i="25"/>
  <c r="Q332" i="25" s="1"/>
  <c r="M242" i="25"/>
  <c r="AN330" i="25"/>
  <c r="R330" i="25" s="1"/>
  <c r="CP15" i="25"/>
  <c r="E59" i="37"/>
  <c r="K346" i="25"/>
  <c r="AL346" i="25"/>
  <c r="P346" i="25" s="1"/>
  <c r="M276" i="25"/>
  <c r="AJ346" i="25"/>
  <c r="N346" i="25" s="1"/>
  <c r="M327" i="25"/>
  <c r="AL239" i="25"/>
  <c r="P239" i="25" s="1"/>
  <c r="AM254" i="25"/>
  <c r="Q254" i="25" s="1"/>
  <c r="M306" i="25"/>
  <c r="AL326" i="25"/>
  <c r="P326" i="25" s="1"/>
  <c r="AQ326" i="25"/>
  <c r="AK295" i="25"/>
  <c r="O295" i="25" s="1"/>
  <c r="AN312" i="25"/>
  <c r="R312" i="25" s="1"/>
  <c r="AQ340" i="25"/>
  <c r="AK246" i="25"/>
  <c r="O246" i="25" s="1"/>
  <c r="AL295" i="25"/>
  <c r="P295" i="25" s="1"/>
  <c r="L246" i="25"/>
  <c r="AM333" i="25"/>
  <c r="Q333" i="25" s="1"/>
  <c r="AL310" i="25"/>
  <c r="P310" i="25" s="1"/>
  <c r="AK332" i="25"/>
  <c r="O332" i="25" s="1"/>
  <c r="AL324" i="25"/>
  <c r="P324" i="25" s="1"/>
  <c r="AL340" i="25"/>
  <c r="P340" i="25" s="1"/>
  <c r="L256" i="25"/>
  <c r="K304" i="25"/>
  <c r="M255" i="25"/>
  <c r="AN346" i="25"/>
  <c r="R346" i="25" s="1"/>
  <c r="AQ327" i="25"/>
  <c r="L240" i="25"/>
  <c r="AL243" i="25"/>
  <c r="P243" i="25" s="1"/>
  <c r="AL247" i="25"/>
  <c r="AO247" i="25" s="1"/>
  <c r="Q268" i="25"/>
  <c r="AN280" i="25"/>
  <c r="R280" i="25" s="1"/>
  <c r="AN303" i="25"/>
  <c r="R303" i="25" s="1"/>
  <c r="AL278" i="25"/>
  <c r="P278" i="25" s="1"/>
  <c r="CP294" i="25"/>
  <c r="AQ324" i="25"/>
  <c r="AJ332" i="25"/>
  <c r="N332" i="25" s="1"/>
  <c r="L310" i="25"/>
  <c r="M340" i="25"/>
  <c r="K332" i="25"/>
  <c r="M315" i="25"/>
  <c r="M341" i="25"/>
  <c r="M252" i="25"/>
  <c r="L308" i="25"/>
  <c r="L251" i="25"/>
  <c r="AN322" i="25"/>
  <c r="R322" i="25" s="1"/>
  <c r="L336" i="25"/>
  <c r="AK281" i="25"/>
  <c r="O281" i="25" s="1"/>
  <c r="AL294" i="25"/>
  <c r="P294" i="25" s="1"/>
  <c r="J340" i="25"/>
  <c r="M262" i="25"/>
  <c r="AK254" i="25"/>
  <c r="O254" i="25" s="1"/>
  <c r="AJ324" i="25"/>
  <c r="N324" i="25" s="1"/>
  <c r="AM288" i="25"/>
  <c r="AP288" i="25" s="1"/>
  <c r="AJ304" i="25"/>
  <c r="N304" i="25" s="1"/>
  <c r="AK326" i="25"/>
  <c r="O326" i="25" s="1"/>
  <c r="L326" i="25"/>
  <c r="AJ291" i="25"/>
  <c r="N291" i="25" s="1"/>
  <c r="AN338" i="25"/>
  <c r="R338" i="25" s="1"/>
  <c r="AJ326" i="25"/>
  <c r="N326" i="25" s="1"/>
  <c r="L304" i="25"/>
  <c r="CQ109" i="25"/>
  <c r="L296" i="25"/>
  <c r="M320" i="25"/>
  <c r="AK244" i="25"/>
  <c r="O244" i="25" s="1"/>
  <c r="AL283" i="25"/>
  <c r="P283" i="25" s="1"/>
  <c r="AL345" i="25"/>
  <c r="P345" i="25" s="1"/>
  <c r="AN288" i="25"/>
  <c r="R288" i="25" s="1"/>
  <c r="Q241" i="25"/>
  <c r="AJ244" i="25"/>
  <c r="N244" i="25" s="1"/>
  <c r="AN289" i="25"/>
  <c r="R289" i="25" s="1"/>
  <c r="AK278" i="25"/>
  <c r="O278" i="25" s="1"/>
  <c r="AL264" i="25"/>
  <c r="P264" i="25" s="1"/>
  <c r="M264" i="25"/>
  <c r="AK296" i="25"/>
  <c r="O296" i="25" s="1"/>
  <c r="AJ278" i="25"/>
  <c r="N278" i="25" s="1"/>
  <c r="AK253" i="25"/>
  <c r="O253" i="25" s="1"/>
  <c r="AL257" i="25"/>
  <c r="P257" i="25" s="1"/>
  <c r="AJ246" i="25"/>
  <c r="N246" i="25" s="1"/>
  <c r="AJ298" i="25"/>
  <c r="N298" i="25" s="1"/>
  <c r="AK242" i="25"/>
  <c r="O242" i="25" s="1"/>
  <c r="AJ299" i="25"/>
  <c r="N299" i="25" s="1"/>
  <c r="AQ342" i="25"/>
  <c r="L329" i="25"/>
  <c r="M304" i="25"/>
  <c r="AN326" i="25"/>
  <c r="R326" i="25" s="1"/>
  <c r="AN256" i="25"/>
  <c r="R256" i="25" s="1"/>
  <c r="AM278" i="25"/>
  <c r="Q278" i="25" s="1"/>
  <c r="AQ242" i="25"/>
  <c r="AK239" i="25"/>
  <c r="O239" i="25" s="1"/>
  <c r="AQ252" i="25"/>
  <c r="AK308" i="25"/>
  <c r="O308" i="25" s="1"/>
  <c r="AJ261" i="25"/>
  <c r="N261" i="25" s="1"/>
  <c r="AJ288" i="25"/>
  <c r="N288" i="25" s="1"/>
  <c r="AQ289" i="25"/>
  <c r="P246" i="25"/>
  <c r="CP262" i="25"/>
  <c r="AK310" i="25"/>
  <c r="O310" i="25" s="1"/>
  <c r="AQ261" i="25"/>
  <c r="AJ307" i="25"/>
  <c r="N307" i="25" s="1"/>
  <c r="AK258" i="25"/>
  <c r="O258" i="25" s="1"/>
  <c r="CQ298" i="25"/>
  <c r="AJ266" i="25"/>
  <c r="N266" i="25" s="1"/>
  <c r="AJ294" i="25"/>
  <c r="N294" i="25" s="1"/>
  <c r="AM294" i="25"/>
  <c r="Q294" i="25" s="1"/>
  <c r="AN316" i="25"/>
  <c r="R316" i="25" s="1"/>
  <c r="AK277" i="25"/>
  <c r="O277" i="25" s="1"/>
  <c r="AJ308" i="25"/>
  <c r="N308" i="25" s="1"/>
  <c r="AJ281" i="25"/>
  <c r="N281" i="25" s="1"/>
  <c r="AK271" i="25"/>
  <c r="O271" i="25" s="1"/>
  <c r="AJ323" i="25"/>
  <c r="N323" i="25" s="1"/>
  <c r="L316" i="25"/>
  <c r="L257" i="25"/>
  <c r="K308" i="25"/>
  <c r="J343" i="25"/>
  <c r="AK291" i="25"/>
  <c r="O291" i="25" s="1"/>
  <c r="L331" i="25"/>
  <c r="M286" i="25"/>
  <c r="M337" i="25"/>
  <c r="AN314" i="25"/>
  <c r="R314" i="25" s="1"/>
  <c r="AN332" i="25"/>
  <c r="R332" i="25" s="1"/>
  <c r="M348" i="25"/>
  <c r="K271" i="25"/>
  <c r="AQ271" i="25"/>
  <c r="AK304" i="25"/>
  <c r="O304" i="25" s="1"/>
  <c r="AQ330" i="25"/>
  <c r="AJ249" i="25"/>
  <c r="N249" i="25" s="1"/>
  <c r="AL330" i="25"/>
  <c r="P330" i="25" s="1"/>
  <c r="AK303" i="25"/>
  <c r="O303" i="25" s="1"/>
  <c r="AM249" i="25"/>
  <c r="AP249" i="25" s="1"/>
  <c r="AM313" i="25"/>
  <c r="AP313" i="25" s="1"/>
  <c r="L281" i="25"/>
  <c r="K291" i="25"/>
  <c r="AQ287" i="25"/>
  <c r="AK324" i="25"/>
  <c r="O324" i="25" s="1"/>
  <c r="AL287" i="25"/>
  <c r="P287" i="25" s="1"/>
  <c r="CQ345" i="25"/>
  <c r="AQ348" i="25"/>
  <c r="AM312" i="25"/>
  <c r="Q312" i="25" s="1"/>
  <c r="L276" i="25"/>
  <c r="AK312" i="25"/>
  <c r="O312" i="25" s="1"/>
  <c r="AJ254" i="25"/>
  <c r="N254" i="25" s="1"/>
  <c r="AQ332" i="25"/>
  <c r="AL275" i="25"/>
  <c r="P275" i="25" s="1"/>
  <c r="AM244" i="25"/>
  <c r="AP244" i="25" s="1"/>
  <c r="L324" i="25"/>
  <c r="AK320" i="25"/>
  <c r="O320" i="25" s="1"/>
  <c r="M270" i="25"/>
  <c r="AJ317" i="25"/>
  <c r="N317" i="25" s="1"/>
  <c r="AK276" i="25"/>
  <c r="O276" i="25" s="1"/>
  <c r="AJ271" i="25"/>
  <c r="N271" i="25" s="1"/>
  <c r="AQ317" i="25"/>
  <c r="AL254" i="25"/>
  <c r="P254" i="25" s="1"/>
  <c r="CP273" i="25"/>
  <c r="CP261" i="25"/>
  <c r="AM324" i="25"/>
  <c r="AM289" i="25"/>
  <c r="Q289" i="25" s="1"/>
  <c r="AN324" i="25"/>
  <c r="R324" i="25" s="1"/>
  <c r="K254" i="25"/>
  <c r="K336" i="25"/>
  <c r="AK336" i="25"/>
  <c r="O336" i="25" s="1"/>
  <c r="AL265" i="25"/>
  <c r="P265" i="25" s="1"/>
  <c r="K265" i="25"/>
  <c r="AQ339" i="25"/>
  <c r="L247" i="25"/>
  <c r="AJ247" i="25"/>
  <c r="N247" i="25" s="1"/>
  <c r="J304" i="25"/>
  <c r="AQ304" i="25"/>
  <c r="AM340" i="25"/>
  <c r="Q340" i="25" s="1"/>
  <c r="AK340" i="25"/>
  <c r="O340" i="25" s="1"/>
  <c r="L340" i="25"/>
  <c r="L318" i="25"/>
  <c r="J254" i="25"/>
  <c r="AQ254" i="25"/>
  <c r="K277" i="25"/>
  <c r="AJ277" i="25"/>
  <c r="N277" i="25" s="1"/>
  <c r="K262" i="25"/>
  <c r="AL262" i="25"/>
  <c r="P262" i="25" s="1"/>
  <c r="AJ262" i="25"/>
  <c r="N262" i="25" s="1"/>
  <c r="AK262" i="25"/>
  <c r="O262" i="25" s="1"/>
  <c r="AM337" i="25"/>
  <c r="Q337" i="25" s="1"/>
  <c r="L337" i="25"/>
  <c r="AQ295" i="25"/>
  <c r="CP349" i="25"/>
  <c r="AJ255" i="25"/>
  <c r="N255" i="25" s="1"/>
  <c r="AQ307" i="25"/>
  <c r="L255" i="25"/>
  <c r="AJ349" i="25"/>
  <c r="N349" i="25" s="1"/>
  <c r="M257" i="25"/>
  <c r="AK247" i="25"/>
  <c r="O247" i="25" s="1"/>
  <c r="K339" i="25"/>
  <c r="AL339" i="25"/>
  <c r="P339" i="25" s="1"/>
  <c r="J335" i="25"/>
  <c r="AQ335" i="25"/>
  <c r="AJ343" i="25"/>
  <c r="N343" i="25" s="1"/>
  <c r="AK343" i="25"/>
  <c r="O343" i="25" s="1"/>
  <c r="AN336" i="25"/>
  <c r="R336" i="25" s="1"/>
  <c r="M336" i="25"/>
  <c r="AM302" i="25"/>
  <c r="Q302" i="25" s="1"/>
  <c r="L302" i="25"/>
  <c r="AL347" i="25"/>
  <c r="P347" i="25" s="1"/>
  <c r="K347" i="25"/>
  <c r="AJ312" i="25"/>
  <c r="N312" i="25" s="1"/>
  <c r="K312" i="25"/>
  <c r="K316" i="25"/>
  <c r="AJ316" i="25"/>
  <c r="N316" i="25" s="1"/>
  <c r="AK316" i="25"/>
  <c r="O316" i="25" s="1"/>
  <c r="AQ316" i="25"/>
  <c r="AN244" i="25"/>
  <c r="R244" i="25" s="1"/>
  <c r="M244" i="25"/>
  <c r="AL312" i="25"/>
  <c r="P312" i="25" s="1"/>
  <c r="J270" i="25"/>
  <c r="AQ270" i="25"/>
  <c r="M302" i="25"/>
  <c r="AN302" i="25"/>
  <c r="R302" i="25" s="1"/>
  <c r="K349" i="25"/>
  <c r="AL349" i="25"/>
  <c r="P349" i="25" s="1"/>
  <c r="AM273" i="25"/>
  <c r="Q273" i="25" s="1"/>
  <c r="AK273" i="25"/>
  <c r="O273" i="25" s="1"/>
  <c r="L273" i="25"/>
  <c r="AL316" i="25"/>
  <c r="P316" i="25" s="1"/>
  <c r="AJ340" i="25"/>
  <c r="N340" i="25" s="1"/>
  <c r="AJ287" i="25"/>
  <c r="N287" i="25" s="1"/>
  <c r="AK287" i="25"/>
  <c r="O287" i="25" s="1"/>
  <c r="J339" i="25"/>
  <c r="AM348" i="25"/>
  <c r="Q348" i="25" s="1"/>
  <c r="AK325" i="25"/>
  <c r="O325" i="25" s="1"/>
  <c r="AJ289" i="25"/>
  <c r="N289" i="25" s="1"/>
  <c r="AK297" i="25"/>
  <c r="O297" i="25" s="1"/>
  <c r="AQ291" i="25"/>
  <c r="AJ348" i="25"/>
  <c r="N348" i="25" s="1"/>
  <c r="AK347" i="25"/>
  <c r="O347" i="25" s="1"/>
  <c r="AJ259" i="25"/>
  <c r="N259" i="25" s="1"/>
  <c r="Q318" i="25"/>
  <c r="AK243" i="25"/>
  <c r="O243" i="25" s="1"/>
  <c r="CP336" i="25"/>
  <c r="AK252" i="25"/>
  <c r="O252" i="25" s="1"/>
  <c r="AL333" i="25"/>
  <c r="AQ347" i="25"/>
  <c r="AQ323" i="25"/>
  <c r="L248" i="25"/>
  <c r="AK314" i="25"/>
  <c r="O314" i="25" s="1"/>
  <c r="CP277" i="25"/>
  <c r="Q256" i="25"/>
  <c r="AL252" i="25"/>
  <c r="P252" i="25" s="1"/>
  <c r="AK249" i="25"/>
  <c r="O249" i="25" s="1"/>
  <c r="AK294" i="25"/>
  <c r="O294" i="25" s="1"/>
  <c r="AJ330" i="25"/>
  <c r="N330" i="25" s="1"/>
  <c r="Q304" i="25"/>
  <c r="AQ253" i="25"/>
  <c r="AJ309" i="25"/>
  <c r="N309" i="25" s="1"/>
  <c r="AK251" i="25"/>
  <c r="O251" i="25" s="1"/>
  <c r="AQ341" i="25"/>
  <c r="AN318" i="25"/>
  <c r="R318" i="25" s="1"/>
  <c r="AQ240" i="25"/>
  <c r="AQ312" i="25"/>
  <c r="AK330" i="25"/>
  <c r="O330" i="25" s="1"/>
  <c r="AJ252" i="25"/>
  <c r="N252" i="25" s="1"/>
  <c r="AJ329" i="25"/>
  <c r="N329" i="25" s="1"/>
  <c r="AQ294" i="25"/>
  <c r="AN271" i="25"/>
  <c r="R271" i="25" s="1"/>
  <c r="M347" i="25"/>
  <c r="AN239" i="25"/>
  <c r="R239" i="25" s="1"/>
  <c r="L264" i="25"/>
  <c r="AQ338" i="25"/>
  <c r="Q252" i="25"/>
  <c r="AL259" i="25"/>
  <c r="P259" i="25" s="1"/>
  <c r="AK286" i="25"/>
  <c r="O286" i="25" s="1"/>
  <c r="AQ256" i="25"/>
  <c r="AQ299" i="25"/>
  <c r="AM334" i="25"/>
  <c r="Q334" i="25" s="1"/>
  <c r="L252" i="25"/>
  <c r="K259" i="25"/>
  <c r="AL337" i="25"/>
  <c r="P337" i="25" s="1"/>
  <c r="Q251" i="25"/>
  <c r="AJ331" i="25"/>
  <c r="N331" i="25" s="1"/>
  <c r="AL286" i="25"/>
  <c r="P286" i="25" s="1"/>
  <c r="AQ329" i="25"/>
  <c r="AK329" i="25"/>
  <c r="O329" i="25" s="1"/>
  <c r="AQ250" i="25"/>
  <c r="AQ286" i="25"/>
  <c r="L330" i="25"/>
  <c r="AN305" i="25"/>
  <c r="R305" i="25" s="1"/>
  <c r="M310" i="25"/>
  <c r="M281" i="25"/>
  <c r="AM265" i="25"/>
  <c r="Q265" i="25" s="1"/>
  <c r="AQ319" i="25"/>
  <c r="AK337" i="25"/>
  <c r="O337" i="25" s="1"/>
  <c r="AK318" i="25"/>
  <c r="O318" i="25" s="1"/>
  <c r="AQ344" i="25"/>
  <c r="AL297" i="25"/>
  <c r="AO297" i="25" s="1"/>
  <c r="AJ251" i="25"/>
  <c r="N251" i="25" s="1"/>
  <c r="CQ280" i="25"/>
  <c r="O284" i="25"/>
  <c r="AK280" i="25"/>
  <c r="O280" i="25" s="1"/>
  <c r="AK259" i="25"/>
  <c r="O259" i="25" s="1"/>
  <c r="N272" i="25"/>
  <c r="AL282" i="25"/>
  <c r="P282" i="25" s="1"/>
  <c r="AK333" i="25"/>
  <c r="O333" i="25" s="1"/>
  <c r="Q240" i="25"/>
  <c r="AJ313" i="25"/>
  <c r="N313" i="25" s="1"/>
  <c r="L335" i="25"/>
  <c r="K319" i="25"/>
  <c r="AQ276" i="25"/>
  <c r="CP160" i="25"/>
  <c r="CP270" i="25"/>
  <c r="AQ328" i="25"/>
  <c r="AL322" i="25"/>
  <c r="P322" i="25" s="1"/>
  <c r="P291" i="25"/>
  <c r="AQ258" i="25"/>
  <c r="CQ301" i="25"/>
  <c r="AQ306" i="25"/>
  <c r="AK335" i="25"/>
  <c r="O335" i="25" s="1"/>
  <c r="AJ282" i="25"/>
  <c r="N282" i="25" s="1"/>
  <c r="AJ333" i="25"/>
  <c r="N333" i="25" s="1"/>
  <c r="AJ338" i="25"/>
  <c r="N338" i="25" s="1"/>
  <c r="AQ349" i="25"/>
  <c r="AQ281" i="25"/>
  <c r="CP168" i="25"/>
  <c r="AJ325" i="25"/>
  <c r="N325" i="25" s="1"/>
  <c r="AJ319" i="25"/>
  <c r="N319" i="25" s="1"/>
  <c r="AJ322" i="25"/>
  <c r="N322" i="25" s="1"/>
  <c r="J319" i="25"/>
  <c r="L338" i="25"/>
  <c r="M345" i="25"/>
  <c r="AJ305" i="25"/>
  <c r="N305" i="25" s="1"/>
  <c r="AK307" i="25"/>
  <c r="O307" i="25" s="1"/>
  <c r="J271" i="25"/>
  <c r="AL306" i="25"/>
  <c r="Q272" i="25"/>
  <c r="AJ290" i="25"/>
  <c r="N290" i="25" s="1"/>
  <c r="N241" i="25"/>
  <c r="AJ265" i="25"/>
  <c r="N265" i="25" s="1"/>
  <c r="AJ280" i="25"/>
  <c r="N280" i="25" s="1"/>
  <c r="N300" i="25"/>
  <c r="AK282" i="25"/>
  <c r="O282" i="25" s="1"/>
  <c r="AL344" i="25"/>
  <c r="P344" i="25" s="1"/>
  <c r="AQ336" i="25"/>
  <c r="AQ280" i="25"/>
  <c r="P245" i="25"/>
  <c r="AJ285" i="25"/>
  <c r="N285" i="25" s="1"/>
  <c r="M279" i="25"/>
  <c r="AK315" i="25"/>
  <c r="O315" i="25" s="1"/>
  <c r="AM270" i="25"/>
  <c r="Q270" i="25" s="1"/>
  <c r="AJ242" i="25"/>
  <c r="N242" i="25" s="1"/>
  <c r="AQ264" i="25"/>
  <c r="Q326" i="25"/>
  <c r="AQ288" i="25"/>
  <c r="AJ337" i="25"/>
  <c r="N337" i="25" s="1"/>
  <c r="AK302" i="25"/>
  <c r="O302" i="25" s="1"/>
  <c r="AK265" i="25"/>
  <c r="O265" i="25" s="1"/>
  <c r="AK289" i="25"/>
  <c r="O289" i="25" s="1"/>
  <c r="AL253" i="25"/>
  <c r="P253" i="25" s="1"/>
  <c r="AJ279" i="25"/>
  <c r="N279" i="25" s="1"/>
  <c r="AL250" i="25"/>
  <c r="P250" i="25" s="1"/>
  <c r="AL280" i="25"/>
  <c r="AP280" i="25" s="1"/>
  <c r="AJ258" i="25"/>
  <c r="N258" i="25" s="1"/>
  <c r="AQ310" i="25"/>
  <c r="AK328" i="25"/>
  <c r="O328" i="25" s="1"/>
  <c r="AK256" i="25"/>
  <c r="O256" i="25" s="1"/>
  <c r="AK331" i="25"/>
  <c r="O331" i="25" s="1"/>
  <c r="AK267" i="25"/>
  <c r="O267" i="25" s="1"/>
  <c r="AK288" i="25"/>
  <c r="O288" i="25" s="1"/>
  <c r="Q284" i="25"/>
  <c r="AK319" i="25"/>
  <c r="O319" i="25" s="1"/>
  <c r="AJ347" i="25"/>
  <c r="N347" i="25" s="1"/>
  <c r="AK313" i="25"/>
  <c r="O313" i="25" s="1"/>
  <c r="AK305" i="25"/>
  <c r="O305" i="25" s="1"/>
  <c r="AK279" i="25"/>
  <c r="O279" i="25" s="1"/>
  <c r="AJ314" i="25"/>
  <c r="N314" i="25" s="1"/>
  <c r="M321" i="25"/>
  <c r="K313" i="25"/>
  <c r="M263" i="25"/>
  <c r="AK342" i="25"/>
  <c r="O342" i="25" s="1"/>
  <c r="AM335" i="25"/>
  <c r="Q335" i="25" s="1"/>
  <c r="AM245" i="25"/>
  <c r="Q245" i="25" s="1"/>
  <c r="AM263" i="25"/>
  <c r="Q263" i="25" s="1"/>
  <c r="L279" i="25"/>
  <c r="L280" i="25"/>
  <c r="K288" i="25"/>
  <c r="L297" i="25"/>
  <c r="AJ240" i="25"/>
  <c r="N240" i="25" s="1"/>
  <c r="Q255" i="25"/>
  <c r="AK240" i="25"/>
  <c r="O240" i="25" s="1"/>
  <c r="AL301" i="25"/>
  <c r="P301" i="25" s="1"/>
  <c r="AJ297" i="25"/>
  <c r="N297" i="25" s="1"/>
  <c r="CQ269" i="25"/>
  <c r="AL276" i="25"/>
  <c r="AO276" i="25" s="1"/>
  <c r="AQ318" i="25"/>
  <c r="AQ333" i="25"/>
  <c r="AJ256" i="25"/>
  <c r="N256" i="25" s="1"/>
  <c r="AJ270" i="25"/>
  <c r="N270" i="25" s="1"/>
  <c r="AL334" i="25"/>
  <c r="P334" i="25" s="1"/>
  <c r="AQ305" i="25"/>
  <c r="AK245" i="25"/>
  <c r="O245" i="25" s="1"/>
  <c r="AJ267" i="25"/>
  <c r="N267" i="25" s="1"/>
  <c r="AM345" i="25"/>
  <c r="Q345" i="25" s="1"/>
  <c r="K276" i="25"/>
  <c r="AM242" i="25"/>
  <c r="Q242" i="25" s="1"/>
  <c r="Q248" i="25"/>
  <c r="AL314" i="25"/>
  <c r="P314" i="25" s="1"/>
  <c r="AK322" i="25"/>
  <c r="O322" i="25" s="1"/>
  <c r="CP265" i="25"/>
  <c r="AL269" i="25"/>
  <c r="P269" i="25" s="1"/>
  <c r="Q276" i="25"/>
  <c r="AL248" i="25"/>
  <c r="AP248" i="25" s="1"/>
  <c r="AQ278" i="25"/>
  <c r="AJ239" i="25"/>
  <c r="N239" i="25" s="1"/>
  <c r="AJ253" i="25"/>
  <c r="N253" i="25" s="1"/>
  <c r="AJ276" i="25"/>
  <c r="N276" i="25" s="1"/>
  <c r="Q338" i="25"/>
  <c r="AK299" i="25"/>
  <c r="O299" i="25" s="1"/>
  <c r="AL258" i="25"/>
  <c r="P258" i="25" s="1"/>
  <c r="AQ302" i="25"/>
  <c r="AQ314" i="25"/>
  <c r="AL256" i="25"/>
  <c r="P256" i="25" s="1"/>
  <c r="AL331" i="25"/>
  <c r="AP331" i="25" s="1"/>
  <c r="AJ264" i="25"/>
  <c r="N264" i="25" s="1"/>
  <c r="Q296" i="25"/>
  <c r="AQ298" i="25"/>
  <c r="AQ337" i="25"/>
  <c r="AQ313" i="25"/>
  <c r="AQ259" i="25"/>
  <c r="CQ30" i="25"/>
  <c r="AK327" i="25"/>
  <c r="O327" i="25" s="1"/>
  <c r="AK344" i="25"/>
  <c r="O344" i="25" s="1"/>
  <c r="Q253" i="25"/>
  <c r="CP94" i="25"/>
  <c r="CP249" i="25"/>
  <c r="O292" i="25"/>
  <c r="O300" i="25"/>
  <c r="P260" i="25"/>
  <c r="O261" i="25"/>
  <c r="P261" i="25"/>
  <c r="P272" i="25"/>
  <c r="N260" i="25"/>
  <c r="N292" i="25"/>
  <c r="P249" i="25"/>
  <c r="P284" i="25"/>
  <c r="N293" i="25"/>
  <c r="N328" i="25"/>
  <c r="AQ257" i="25"/>
  <c r="Q247" i="25"/>
  <c r="P313" i="25"/>
  <c r="AL302" i="25"/>
  <c r="AJ310" i="25"/>
  <c r="N310" i="25" s="1"/>
  <c r="AJ318" i="25"/>
  <c r="N318" i="25" s="1"/>
  <c r="AL296" i="25"/>
  <c r="AP296" i="25" s="1"/>
  <c r="AJ339" i="25"/>
  <c r="N339" i="25" s="1"/>
  <c r="Q260" i="25"/>
  <c r="AQ262" i="25"/>
  <c r="AL281" i="25"/>
  <c r="P281" i="25" s="1"/>
  <c r="AK255" i="25"/>
  <c r="O255" i="25" s="1"/>
  <c r="AQ265" i="25"/>
  <c r="P308" i="25"/>
  <c r="AQ266" i="25"/>
  <c r="AQ308" i="25"/>
  <c r="AJ345" i="25"/>
  <c r="N345" i="25" s="1"/>
  <c r="AJ295" i="25"/>
  <c r="N295" i="25" s="1"/>
  <c r="AJ286" i="25"/>
  <c r="N286" i="25" s="1"/>
  <c r="Q300" i="25"/>
  <c r="AQ282" i="25"/>
  <c r="P335" i="25"/>
  <c r="AK346" i="25"/>
  <c r="O346" i="25" s="1"/>
  <c r="AK264" i="25"/>
  <c r="O264" i="25" s="1"/>
  <c r="AK338" i="25"/>
  <c r="O338" i="25" s="1"/>
  <c r="AL336" i="25"/>
  <c r="P336" i="25" s="1"/>
  <c r="AQ321" i="25"/>
  <c r="AQ247" i="25"/>
  <c r="AQ345" i="25"/>
  <c r="AQ301" i="25"/>
  <c r="AK348" i="25"/>
  <c r="O348" i="25" s="1"/>
  <c r="AL321" i="25"/>
  <c r="P321" i="25" s="1"/>
  <c r="AQ277" i="25"/>
  <c r="AK321" i="25"/>
  <c r="O321" i="25" s="1"/>
  <c r="AQ315" i="25"/>
  <c r="AJ306" i="25"/>
  <c r="N306" i="25" s="1"/>
  <c r="AM330" i="25"/>
  <c r="K329" i="25"/>
  <c r="J312" i="25"/>
  <c r="L270" i="25"/>
  <c r="AQ246" i="25"/>
  <c r="Q264" i="25"/>
  <c r="Q316" i="25"/>
  <c r="AJ302" i="25"/>
  <c r="N302" i="25" s="1"/>
  <c r="AL318" i="25"/>
  <c r="P318" i="25" s="1"/>
  <c r="Q279" i="25"/>
  <c r="AJ296" i="25"/>
  <c r="N296" i="25" s="1"/>
  <c r="AK339" i="25"/>
  <c r="O339" i="25" s="1"/>
  <c r="AK248" i="25"/>
  <c r="O248" i="25" s="1"/>
  <c r="AL277" i="25"/>
  <c r="P277" i="25" s="1"/>
  <c r="AK345" i="25"/>
  <c r="O345" i="25" s="1"/>
  <c r="P329" i="25"/>
  <c r="AK334" i="25"/>
  <c r="O334" i="25" s="1"/>
  <c r="AL338" i="25"/>
  <c r="P338" i="25" s="1"/>
  <c r="AJ336" i="25"/>
  <c r="N336" i="25" s="1"/>
  <c r="AJ315" i="25"/>
  <c r="N315" i="25" s="1"/>
  <c r="AK293" i="25"/>
  <c r="O293" i="25" s="1"/>
  <c r="AQ293" i="25"/>
  <c r="P341" i="25"/>
  <c r="P332" i="25"/>
  <c r="CP136" i="25"/>
  <c r="J331" i="25"/>
  <c r="AQ331" i="25"/>
  <c r="AN296" i="25"/>
  <c r="R296" i="25" s="1"/>
  <c r="M296" i="25"/>
  <c r="AM250" i="25"/>
  <c r="L250" i="25"/>
  <c r="AK250" i="25"/>
  <c r="O250" i="25" s="1"/>
  <c r="J273" i="25"/>
  <c r="AQ273" i="25"/>
  <c r="AN299" i="25"/>
  <c r="R299" i="25" s="1"/>
  <c r="M299" i="25"/>
  <c r="K342" i="25"/>
  <c r="AL342" i="25"/>
  <c r="AQ274" i="25"/>
  <c r="K274" i="25"/>
  <c r="AJ274" i="25"/>
  <c r="N274" i="25" s="1"/>
  <c r="AM290" i="25"/>
  <c r="Q290" i="25" s="1"/>
  <c r="L290" i="25"/>
  <c r="AK290" i="25"/>
  <c r="O290" i="25" s="1"/>
  <c r="AK274" i="25"/>
  <c r="O274" i="25" s="1"/>
  <c r="AQ322" i="25"/>
  <c r="AJ342" i="25"/>
  <c r="N342" i="25" s="1"/>
  <c r="P271" i="25"/>
  <c r="J244" i="25"/>
  <c r="AQ244" i="25"/>
  <c r="AL323" i="25"/>
  <c r="K323" i="25"/>
  <c r="AK323" i="25"/>
  <c r="O323" i="25" s="1"/>
  <c r="AM321" i="25"/>
  <c r="Q321" i="25" s="1"/>
  <c r="L321" i="25"/>
  <c r="AJ321" i="25"/>
  <c r="N321" i="25" s="1"/>
  <c r="AM347" i="25"/>
  <c r="L347" i="25"/>
  <c r="AM311" i="25"/>
  <c r="Q311" i="25" s="1"/>
  <c r="L311" i="25"/>
  <c r="AK311" i="25"/>
  <c r="O311" i="25" s="1"/>
  <c r="AJ311" i="25"/>
  <c r="N311" i="25" s="1"/>
  <c r="K245" i="25"/>
  <c r="AJ245" i="25"/>
  <c r="N245" i="25" s="1"/>
  <c r="AQ245" i="25"/>
  <c r="AM267" i="25"/>
  <c r="Q267" i="25" s="1"/>
  <c r="L267" i="25"/>
  <c r="K289" i="25"/>
  <c r="AL289" i="25"/>
  <c r="P289" i="25" s="1"/>
  <c r="J334" i="25"/>
  <c r="AQ334" i="25"/>
  <c r="P263" i="25"/>
  <c r="P292" i="25"/>
  <c r="K279" i="25"/>
  <c r="AL279" i="25"/>
  <c r="AO279" i="25" s="1"/>
  <c r="J249" i="25"/>
  <c r="AQ249" i="25"/>
  <c r="K293" i="25"/>
  <c r="AL293" i="25"/>
  <c r="P293" i="25" s="1"/>
  <c r="K263" i="25"/>
  <c r="AJ263" i="25"/>
  <c r="N263" i="25" s="1"/>
  <c r="AK263" i="25"/>
  <c r="O263" i="25" s="1"/>
  <c r="AQ263" i="25"/>
  <c r="AN329" i="25"/>
  <c r="R329" i="25" s="1"/>
  <c r="M329" i="25"/>
  <c r="AN282" i="25"/>
  <c r="R282" i="25" s="1"/>
  <c r="M282" i="25"/>
  <c r="AM306" i="25"/>
  <c r="Q306" i="25" s="1"/>
  <c r="L306" i="25"/>
  <c r="AK306" i="25"/>
  <c r="O306" i="25" s="1"/>
  <c r="AM320" i="25"/>
  <c r="Q320" i="25" s="1"/>
  <c r="L320" i="25"/>
  <c r="AN349" i="25"/>
  <c r="R349" i="25" s="1"/>
  <c r="M349" i="25"/>
  <c r="K341" i="25"/>
  <c r="AJ341" i="25"/>
  <c r="N341" i="25" s="1"/>
  <c r="AK341" i="25"/>
  <c r="O341" i="25" s="1"/>
  <c r="AM350" i="25"/>
  <c r="Q350" i="25" s="1"/>
  <c r="L350" i="25"/>
  <c r="AK350" i="25"/>
  <c r="O350" i="25" s="1"/>
  <c r="K285" i="25"/>
  <c r="AQ285" i="25"/>
  <c r="AL285" i="25"/>
  <c r="P285" i="25" s="1"/>
  <c r="CQ136" i="25"/>
  <c r="AQ269" i="25"/>
  <c r="N268" i="25"/>
  <c r="AK285" i="25"/>
  <c r="O285" i="25" s="1"/>
  <c r="AJ250" i="25"/>
  <c r="N250" i="25" s="1"/>
  <c r="AJ350" i="25"/>
  <c r="N350" i="25" s="1"/>
  <c r="O270" i="25"/>
  <c r="AQ279" i="25"/>
  <c r="AN247" i="25"/>
  <c r="R247" i="25" s="1"/>
  <c r="M247" i="25"/>
  <c r="AM309" i="25"/>
  <c r="Q309" i="25" s="1"/>
  <c r="L309" i="25"/>
  <c r="AM327" i="25"/>
  <c r="Q327" i="25" s="1"/>
  <c r="L327" i="25"/>
  <c r="J239" i="25"/>
  <c r="AQ239" i="25"/>
  <c r="K251" i="25"/>
  <c r="AL251" i="25"/>
  <c r="P251" i="25" s="1"/>
  <c r="AQ251" i="25"/>
  <c r="AM285" i="25"/>
  <c r="Q285" i="25" s="1"/>
  <c r="L285" i="25"/>
  <c r="AN246" i="25"/>
  <c r="R246" i="25" s="1"/>
  <c r="M246" i="25"/>
  <c r="J297" i="25"/>
  <c r="AQ297" i="25"/>
  <c r="AM274" i="25"/>
  <c r="Q274" i="25" s="1"/>
  <c r="L274" i="25"/>
  <c r="AN335" i="25"/>
  <c r="R335" i="25" s="1"/>
  <c r="M335" i="25"/>
  <c r="AM243" i="25"/>
  <c r="Q243" i="25" s="1"/>
  <c r="L243" i="25"/>
  <c r="K320" i="25"/>
  <c r="AQ320" i="25"/>
  <c r="AJ320" i="25"/>
  <c r="N320" i="25" s="1"/>
  <c r="AL320" i="25"/>
  <c r="P320" i="25" s="1"/>
  <c r="AM349" i="25"/>
  <c r="L349" i="25"/>
  <c r="AK349" i="25"/>
  <c r="O349" i="25" s="1"/>
  <c r="AN328" i="25"/>
  <c r="R328" i="25" s="1"/>
  <c r="M328" i="25"/>
  <c r="AN342" i="25"/>
  <c r="R342" i="25" s="1"/>
  <c r="M342" i="25"/>
  <c r="AN343" i="25"/>
  <c r="R343" i="25" s="1"/>
  <c r="M343" i="25"/>
  <c r="AN311" i="25"/>
  <c r="R311" i="25" s="1"/>
  <c r="M311" i="25"/>
  <c r="AN309" i="25"/>
  <c r="R309" i="25" s="1"/>
  <c r="M309" i="25"/>
  <c r="AN251" i="25"/>
  <c r="R251" i="25" s="1"/>
  <c r="M251" i="25"/>
  <c r="AM261" i="25"/>
  <c r="AP261" i="25" s="1"/>
  <c r="L261" i="25"/>
  <c r="AM342" i="25"/>
  <c r="Q342" i="25" s="1"/>
  <c r="L342" i="25"/>
  <c r="AN339" i="25"/>
  <c r="R339" i="25" s="1"/>
  <c r="M339" i="25"/>
  <c r="AM339" i="25"/>
  <c r="Q339" i="25" s="1"/>
  <c r="L339" i="25"/>
  <c r="AM344" i="25"/>
  <c r="L344" i="25"/>
  <c r="AM275" i="25"/>
  <c r="L275" i="25"/>
  <c r="AN275" i="25"/>
  <c r="R275" i="25" s="1"/>
  <c r="M275" i="25"/>
  <c r="AN250" i="25"/>
  <c r="R250" i="25" s="1"/>
  <c r="M250" i="25"/>
  <c r="AL303" i="25"/>
  <c r="P303" i="25" s="1"/>
  <c r="K303" i="25"/>
  <c r="AL317" i="25"/>
  <c r="P317" i="25" s="1"/>
  <c r="K317" i="25"/>
  <c r="AL309" i="25"/>
  <c r="K309" i="25"/>
  <c r="AM323" i="25"/>
  <c r="Q323" i="25" s="1"/>
  <c r="L323" i="25"/>
  <c r="AN285" i="25"/>
  <c r="R285" i="25" s="1"/>
  <c r="M285" i="25"/>
  <c r="AN283" i="25"/>
  <c r="R283" i="25" s="1"/>
  <c r="M283" i="25"/>
  <c r="BQ15" i="25"/>
  <c r="CP170" i="25"/>
  <c r="AQ243" i="25"/>
  <c r="Q310" i="25"/>
  <c r="P268" i="25"/>
  <c r="AJ301" i="25"/>
  <c r="N301" i="25" s="1"/>
  <c r="O260" i="25"/>
  <c r="AJ269" i="25"/>
  <c r="N269" i="25" s="1"/>
  <c r="P241" i="25"/>
  <c r="O268" i="25"/>
  <c r="O241" i="25"/>
  <c r="AQ267" i="25"/>
  <c r="AQ248" i="25"/>
  <c r="AJ275" i="25"/>
  <c r="N275" i="25" s="1"/>
  <c r="N284" i="25"/>
  <c r="AL255" i="25"/>
  <c r="AO255" i="25" s="1"/>
  <c r="AJ283" i="25"/>
  <c r="N283" i="25" s="1"/>
  <c r="AL299" i="25"/>
  <c r="N335" i="25"/>
  <c r="AK257" i="25"/>
  <c r="O257" i="25" s="1"/>
  <c r="CQ261" i="25"/>
  <c r="P300" i="25"/>
  <c r="AL267" i="25"/>
  <c r="N273" i="25"/>
  <c r="Q292" i="25"/>
  <c r="AJ344" i="25"/>
  <c r="N344" i="25" s="1"/>
  <c r="P304" i="25"/>
  <c r="AK298" i="25"/>
  <c r="O298" i="25" s="1"/>
  <c r="AJ303" i="25"/>
  <c r="N303" i="25" s="1"/>
  <c r="AK309" i="25"/>
  <c r="O309" i="25" s="1"/>
  <c r="AQ303" i="25"/>
  <c r="AQ255" i="25"/>
  <c r="AQ275" i="25"/>
  <c r="AL311" i="25"/>
  <c r="K311" i="25"/>
  <c r="AM305" i="25"/>
  <c r="Q305" i="25" s="1"/>
  <c r="L305" i="25"/>
  <c r="AM325" i="25"/>
  <c r="Q325" i="25" s="1"/>
  <c r="L325" i="25"/>
  <c r="AM319" i="25"/>
  <c r="AP319" i="25" s="1"/>
  <c r="L319" i="25"/>
  <c r="AN243" i="25"/>
  <c r="R243" i="25" s="1"/>
  <c r="M243" i="25"/>
  <c r="AM287" i="25"/>
  <c r="Q287" i="25" s="1"/>
  <c r="L287" i="25"/>
  <c r="P270" i="25"/>
  <c r="AM295" i="25"/>
  <c r="Q295" i="25" s="1"/>
  <c r="L295" i="25"/>
  <c r="AM277" i="25"/>
  <c r="Q277" i="25" s="1"/>
  <c r="L277" i="25"/>
  <c r="AN259" i="25"/>
  <c r="R259" i="25" s="1"/>
  <c r="M259" i="25"/>
  <c r="AM271" i="25"/>
  <c r="AO271" i="25" s="1"/>
  <c r="L271" i="25"/>
  <c r="AN291" i="25"/>
  <c r="R291" i="25" s="1"/>
  <c r="M291" i="25"/>
  <c r="AM301" i="25"/>
  <c r="Q301" i="25" s="1"/>
  <c r="L301" i="25"/>
  <c r="AM314" i="25"/>
  <c r="Q314" i="25" s="1"/>
  <c r="L314" i="25"/>
  <c r="AL307" i="25"/>
  <c r="K307" i="25"/>
  <c r="AN325" i="25"/>
  <c r="R325" i="25" s="1"/>
  <c r="M325" i="25"/>
  <c r="AM266" i="25"/>
  <c r="Q266" i="25" s="1"/>
  <c r="L266" i="25"/>
  <c r="AM291" i="25"/>
  <c r="Q291" i="25" s="1"/>
  <c r="L291" i="25"/>
  <c r="AN266" i="25"/>
  <c r="R266" i="25" s="1"/>
  <c r="M266" i="25"/>
  <c r="AM328" i="25"/>
  <c r="Q328" i="25" s="1"/>
  <c r="L328" i="25"/>
  <c r="K350" i="25"/>
  <c r="AL350" i="25"/>
  <c r="P350" i="25" s="1"/>
  <c r="AN293" i="25"/>
  <c r="R293" i="25" s="1"/>
  <c r="M293" i="25"/>
  <c r="AN261" i="25"/>
  <c r="R261" i="25" s="1"/>
  <c r="M261" i="25"/>
  <c r="AM346" i="25"/>
  <c r="Q346" i="25" s="1"/>
  <c r="L346" i="25"/>
  <c r="AN297" i="25"/>
  <c r="R297" i="25" s="1"/>
  <c r="M297" i="25"/>
  <c r="AN265" i="25"/>
  <c r="R265" i="25" s="1"/>
  <c r="M265" i="25"/>
  <c r="AN323" i="25"/>
  <c r="R323" i="25" s="1"/>
  <c r="M323" i="25"/>
  <c r="AN334" i="25"/>
  <c r="R334" i="25" s="1"/>
  <c r="M334" i="25"/>
  <c r="AN319" i="25"/>
  <c r="R319" i="25" s="1"/>
  <c r="M319" i="25"/>
  <c r="AN333" i="25"/>
  <c r="R333" i="25" s="1"/>
  <c r="M333" i="25"/>
  <c r="AL348" i="25"/>
  <c r="P348" i="25" s="1"/>
  <c r="K348" i="25"/>
  <c r="AL325" i="25"/>
  <c r="P325" i="25" s="1"/>
  <c r="K325" i="25"/>
  <c r="AM315" i="25"/>
  <c r="Q315" i="25" s="1"/>
  <c r="L315" i="25"/>
  <c r="AN267" i="25"/>
  <c r="R267" i="25" s="1"/>
  <c r="M267" i="25"/>
  <c r="AN287" i="25"/>
  <c r="R287" i="25" s="1"/>
  <c r="M287" i="25"/>
  <c r="AN295" i="25"/>
  <c r="R295" i="25" s="1"/>
  <c r="M295" i="25"/>
  <c r="AM259" i="25"/>
  <c r="L259" i="25"/>
  <c r="AL240" i="25"/>
  <c r="AO240" i="25" s="1"/>
  <c r="K240" i="25"/>
  <c r="AL327" i="25"/>
  <c r="K327" i="25"/>
  <c r="AL305" i="25"/>
  <c r="P305" i="25" s="1"/>
  <c r="K305" i="25"/>
  <c r="AQ309" i="25"/>
  <c r="J309" i="25"/>
  <c r="AM307" i="25"/>
  <c r="Q307" i="25" s="1"/>
  <c r="L307" i="25"/>
  <c r="AN248" i="25"/>
  <c r="R248" i="25" s="1"/>
  <c r="M248" i="25"/>
  <c r="AN331" i="25"/>
  <c r="R331" i="25" s="1"/>
  <c r="M331" i="25"/>
  <c r="AN277" i="25"/>
  <c r="R277" i="25" s="1"/>
  <c r="M277" i="25"/>
  <c r="CQ120" i="25"/>
  <c r="P244" i="25"/>
  <c r="P288" i="25"/>
  <c r="Q246" i="25"/>
  <c r="AK301" i="25"/>
  <c r="O301" i="25" s="1"/>
  <c r="AK269" i="25"/>
  <c r="O269" i="25" s="1"/>
  <c r="AJ243" i="25"/>
  <c r="N243" i="25" s="1"/>
  <c r="AJ248" i="25"/>
  <c r="N248" i="25" s="1"/>
  <c r="CQ253" i="25"/>
  <c r="AK275" i="25"/>
  <c r="O275" i="25" s="1"/>
  <c r="AK283" i="25"/>
  <c r="O283" i="25" s="1"/>
  <c r="Q308" i="25"/>
  <c r="O266" i="25"/>
  <c r="AJ257" i="25"/>
  <c r="N257" i="25" s="1"/>
  <c r="O272" i="25"/>
  <c r="Q331" i="25"/>
  <c r="P319" i="25"/>
  <c r="AJ334" i="25"/>
  <c r="N334" i="25" s="1"/>
  <c r="AL298" i="25"/>
  <c r="P298" i="25" s="1"/>
  <c r="AQ296" i="25"/>
  <c r="AJ327" i="25"/>
  <c r="N327" i="25" s="1"/>
  <c r="AK317" i="25"/>
  <c r="O317" i="25" s="1"/>
  <c r="AQ283" i="25"/>
  <c r="AN307" i="25"/>
  <c r="R307" i="25" s="1"/>
  <c r="M307" i="25"/>
  <c r="AM317" i="25"/>
  <c r="Q317" i="25" s="1"/>
  <c r="L317" i="25"/>
  <c r="AM341" i="25"/>
  <c r="AP341" i="25" s="1"/>
  <c r="L341" i="25"/>
  <c r="AN313" i="25"/>
  <c r="R313" i="25" s="1"/>
  <c r="M313" i="25"/>
  <c r="AM303" i="25"/>
  <c r="Q303" i="25" s="1"/>
  <c r="L303" i="25"/>
  <c r="P273" i="25"/>
  <c r="AM299" i="25"/>
  <c r="Q299" i="25" s="1"/>
  <c r="L299" i="25"/>
  <c r="AQ290" i="25"/>
  <c r="K290" i="25"/>
  <c r="AM322" i="25"/>
  <c r="Q322" i="25" s="1"/>
  <c r="L322" i="25"/>
  <c r="AM343" i="25"/>
  <c r="Q343" i="25" s="1"/>
  <c r="L343" i="25"/>
  <c r="AN317" i="25"/>
  <c r="R317" i="25" s="1"/>
  <c r="M317" i="25"/>
  <c r="AN274" i="25"/>
  <c r="R274" i="25" s="1"/>
  <c r="M274" i="25"/>
  <c r="AQ350" i="25"/>
  <c r="J350" i="25"/>
  <c r="AM258" i="25"/>
  <c r="Q258" i="25" s="1"/>
  <c r="L258" i="25"/>
  <c r="AM298" i="25"/>
  <c r="L298" i="25"/>
  <c r="AN301" i="25"/>
  <c r="R301" i="25" s="1"/>
  <c r="M301" i="25"/>
  <c r="AN269" i="25"/>
  <c r="R269" i="25" s="1"/>
  <c r="M269" i="25"/>
  <c r="AN253" i="25"/>
  <c r="R253" i="25" s="1"/>
  <c r="M253" i="25"/>
  <c r="AN273" i="25"/>
  <c r="R273" i="25" s="1"/>
  <c r="M273" i="25"/>
  <c r="AN249" i="25"/>
  <c r="R249" i="25" s="1"/>
  <c r="M249" i="25"/>
  <c r="AN245" i="25"/>
  <c r="R245" i="25" s="1"/>
  <c r="M245" i="25"/>
  <c r="AM283" i="25"/>
  <c r="Q283" i="25" s="1"/>
  <c r="L283" i="25"/>
  <c r="AL315" i="25"/>
  <c r="P315" i="25" s="1"/>
  <c r="K315" i="25"/>
  <c r="AL242" i="25"/>
  <c r="P242" i="25" s="1"/>
  <c r="K242" i="25"/>
  <c r="AQ325" i="25"/>
  <c r="J325" i="25"/>
  <c r="AM239" i="25"/>
  <c r="Q239" i="25" s="1"/>
  <c r="L239" i="25"/>
  <c r="CP61" i="25"/>
  <c r="CP115" i="25"/>
  <c r="CQ238" i="25"/>
  <c r="CQ156" i="25"/>
  <c r="CQ18" i="25"/>
  <c r="CQ54" i="25"/>
  <c r="CQ31" i="25"/>
  <c r="CP131" i="25"/>
  <c r="CQ37" i="25"/>
  <c r="CQ196" i="25"/>
  <c r="CP206" i="25"/>
  <c r="CQ105" i="25"/>
  <c r="CP130" i="25"/>
  <c r="CP90" i="25"/>
  <c r="CP285" i="25"/>
  <c r="CP97" i="25"/>
  <c r="CQ81" i="25"/>
  <c r="CP107" i="25"/>
  <c r="CQ21" i="25"/>
  <c r="CQ220" i="25"/>
  <c r="CQ50" i="25"/>
  <c r="CQ236" i="25"/>
  <c r="CQ163" i="25"/>
  <c r="CP207" i="25"/>
  <c r="CQ195" i="25"/>
  <c r="CQ80" i="25"/>
  <c r="CQ132" i="25"/>
  <c r="CQ199" i="25"/>
  <c r="CQ226" i="25"/>
  <c r="CQ211" i="25"/>
  <c r="CQ164" i="25"/>
  <c r="CQ124" i="25"/>
  <c r="CP126" i="25"/>
  <c r="CQ214" i="25"/>
  <c r="CP215" i="25"/>
  <c r="CQ76" i="25"/>
  <c r="CQ36" i="25"/>
  <c r="CP337" i="25"/>
  <c r="CP181" i="25"/>
  <c r="CQ102" i="25"/>
  <c r="CQ39" i="25"/>
  <c r="CP191" i="25"/>
  <c r="CP347" i="25"/>
  <c r="CQ47" i="25"/>
  <c r="CP53" i="25"/>
  <c r="CP57" i="25"/>
  <c r="CQ15" i="25"/>
  <c r="CQ57" i="25"/>
  <c r="CO121" i="25"/>
  <c r="CQ53" i="25"/>
  <c r="CQ126" i="25"/>
  <c r="CO228" i="25"/>
  <c r="CO32" i="25"/>
  <c r="CQ347" i="25"/>
  <c r="CO28" i="25"/>
  <c r="CO203" i="25"/>
  <c r="CO98" i="25"/>
  <c r="CO153" i="25"/>
  <c r="CP39" i="25"/>
  <c r="CP164" i="25"/>
  <c r="CO188" i="25"/>
  <c r="CP211" i="25"/>
  <c r="CO216" i="25"/>
  <c r="CO221" i="25"/>
  <c r="CP81" i="25"/>
  <c r="BP182" i="25"/>
  <c r="CQ97" i="25"/>
  <c r="CP47" i="25"/>
  <c r="BQ338" i="25"/>
  <c r="BP197" i="25"/>
  <c r="CO137" i="25"/>
  <c r="CO233" i="25"/>
  <c r="CO20" i="25"/>
  <c r="CO93" i="25"/>
  <c r="BP204" i="25"/>
  <c r="BQ238" i="25"/>
  <c r="CP226" i="25"/>
  <c r="CO189" i="25"/>
  <c r="CQ90" i="25"/>
  <c r="CO140" i="25"/>
  <c r="CQ131" i="25"/>
  <c r="CP124" i="25"/>
  <c r="CO91" i="25"/>
  <c r="CP156" i="25"/>
  <c r="CP105" i="25"/>
  <c r="CP195" i="25"/>
  <c r="CQ107" i="25"/>
  <c r="CP210" i="25"/>
  <c r="BQ217" i="25"/>
  <c r="CO142" i="25"/>
  <c r="CQ130" i="25"/>
  <c r="BP233" i="25"/>
  <c r="CO208" i="25"/>
  <c r="CP163" i="25"/>
  <c r="CO60" i="25"/>
  <c r="CO182" i="25"/>
  <c r="BP243" i="25"/>
  <c r="BP28" i="25"/>
  <c r="CP54" i="25"/>
  <c r="CQ181" i="25"/>
  <c r="CP214" i="25"/>
  <c r="CP21" i="25"/>
  <c r="CO161" i="25"/>
  <c r="CO192" i="25"/>
  <c r="CP36" i="25"/>
  <c r="CO89" i="25"/>
  <c r="CQ202" i="25"/>
  <c r="BQ245" i="25"/>
  <c r="CP169" i="25"/>
  <c r="CO16" i="25"/>
  <c r="BQ172" i="25"/>
  <c r="BP228" i="25"/>
  <c r="BQ147" i="25"/>
  <c r="CP199" i="25"/>
  <c r="CO150" i="25"/>
  <c r="CO227" i="25"/>
  <c r="CQ210" i="25"/>
  <c r="BP324" i="25"/>
  <c r="CQ83" i="25"/>
  <c r="CP202" i="25"/>
  <c r="CQ82" i="25"/>
  <c r="CQ191" i="25"/>
  <c r="BQ177" i="25"/>
  <c r="BP60" i="25"/>
  <c r="CO166" i="25"/>
  <c r="CP132" i="25"/>
  <c r="CP76" i="25"/>
  <c r="CQ85" i="25"/>
  <c r="CQ212" i="25"/>
  <c r="CP212" i="25"/>
  <c r="BP224" i="25"/>
  <c r="BQ206" i="25"/>
  <c r="BQ85" i="25"/>
  <c r="CO33" i="25"/>
  <c r="CP238" i="25"/>
  <c r="CP18" i="25"/>
  <c r="BQ190" i="25"/>
  <c r="BQ160" i="25"/>
  <c r="CO205" i="25"/>
  <c r="CO197" i="25"/>
  <c r="BP214" i="25"/>
  <c r="BQ62" i="25"/>
  <c r="BQ158" i="25"/>
  <c r="BQ220" i="25"/>
  <c r="BP188" i="25"/>
  <c r="BP222" i="25"/>
  <c r="BP181" i="25"/>
  <c r="CO134" i="25"/>
  <c r="CQ224" i="25"/>
  <c r="CP224" i="25"/>
  <c r="CP235" i="25"/>
  <c r="CQ235" i="25"/>
  <c r="BP208" i="25"/>
  <c r="BQ192" i="25"/>
  <c r="BQ176" i="25"/>
  <c r="BP37" i="25"/>
  <c r="CP50" i="25"/>
  <c r="CO225" i="25"/>
  <c r="CO43" i="25"/>
  <c r="CQ51" i="25"/>
  <c r="BP336" i="25"/>
  <c r="BP304" i="25"/>
  <c r="BP173" i="25"/>
  <c r="CQ61" i="25"/>
  <c r="CQ19" i="25"/>
  <c r="CQ169" i="25"/>
  <c r="CO88" i="25"/>
  <c r="CP129" i="25"/>
  <c r="CO183" i="25"/>
  <c r="BP290" i="25"/>
  <c r="BP157" i="25"/>
  <c r="BP187" i="25"/>
  <c r="BQ174" i="25"/>
  <c r="BQ69" i="25"/>
  <c r="CP82" i="25"/>
  <c r="CO180" i="25"/>
  <c r="CP78" i="25"/>
  <c r="CP83" i="25"/>
  <c r="CQ285" i="25"/>
  <c r="BQ316" i="25"/>
  <c r="BP316" i="25"/>
  <c r="BQ314" i="25"/>
  <c r="BP314" i="25"/>
  <c r="BQ322" i="25"/>
  <c r="BP322" i="25"/>
  <c r="BQ312" i="25"/>
  <c r="BP312" i="25"/>
  <c r="BQ320" i="25"/>
  <c r="BP320" i="25"/>
  <c r="BQ308" i="25"/>
  <c r="BP308" i="25"/>
  <c r="BQ302" i="25"/>
  <c r="BP302" i="25"/>
  <c r="BQ310" i="25"/>
  <c r="BP310" i="25"/>
  <c r="BQ318" i="25"/>
  <c r="BP318" i="25"/>
  <c r="BQ306" i="25"/>
  <c r="BP306" i="25"/>
  <c r="CP255" i="25"/>
  <c r="CQ255" i="25"/>
  <c r="BQ297" i="25"/>
  <c r="BP297" i="25"/>
  <c r="BP339" i="25"/>
  <c r="BQ339" i="25"/>
  <c r="BQ249" i="25"/>
  <c r="BP249" i="25"/>
  <c r="CQ309" i="25"/>
  <c r="CP309" i="25"/>
  <c r="BQ301" i="25"/>
  <c r="BP301" i="25"/>
  <c r="CP241" i="25"/>
  <c r="CQ241" i="25"/>
  <c r="CP239" i="25"/>
  <c r="CQ239" i="25"/>
  <c r="CQ276" i="25"/>
  <c r="CP276" i="25"/>
  <c r="AO241" i="25"/>
  <c r="AP241" i="25"/>
  <c r="BQ240" i="25"/>
  <c r="BP240" i="25"/>
  <c r="BQ296" i="25"/>
  <c r="BP296" i="25"/>
  <c r="CQ330" i="25"/>
  <c r="CP330" i="25"/>
  <c r="BP335" i="25"/>
  <c r="BQ335" i="25"/>
  <c r="CQ307" i="25"/>
  <c r="CP307" i="25"/>
  <c r="BQ244" i="25"/>
  <c r="BP244" i="25"/>
  <c r="CP271" i="25"/>
  <c r="CQ271" i="25"/>
  <c r="BQ295" i="25"/>
  <c r="BP295" i="25"/>
  <c r="CP304" i="25"/>
  <c r="CQ304" i="25"/>
  <c r="CP275" i="25"/>
  <c r="CQ275" i="25"/>
  <c r="BQ284" i="25"/>
  <c r="BP284" i="25"/>
  <c r="CQ311" i="25"/>
  <c r="CP311" i="25"/>
  <c r="CQ313" i="25"/>
  <c r="CP313" i="25"/>
  <c r="CP348" i="25"/>
  <c r="CQ348" i="25"/>
  <c r="AO304" i="25"/>
  <c r="AP304" i="25"/>
  <c r="BQ342" i="25"/>
  <c r="BP342" i="25"/>
  <c r="CQ346" i="25"/>
  <c r="CP346" i="25"/>
  <c r="BQ273" i="25"/>
  <c r="BP273" i="25"/>
  <c r="BP247" i="25"/>
  <c r="BQ247" i="25"/>
  <c r="CQ260" i="25"/>
  <c r="CP260" i="25"/>
  <c r="CP243" i="25"/>
  <c r="CQ243" i="25"/>
  <c r="AP284" i="25"/>
  <c r="AO284" i="25"/>
  <c r="BQ303" i="25"/>
  <c r="BP303" i="25"/>
  <c r="CQ317" i="25"/>
  <c r="CP317" i="25"/>
  <c r="CP344" i="25"/>
  <c r="CQ344" i="25"/>
  <c r="AP272" i="25"/>
  <c r="AO272" i="25"/>
  <c r="BQ257" i="25"/>
  <c r="BP257" i="25"/>
  <c r="BQ269" i="25"/>
  <c r="BP269" i="25"/>
  <c r="BQ251" i="25"/>
  <c r="BP251" i="25"/>
  <c r="BQ280" i="25"/>
  <c r="BP280" i="25"/>
  <c r="CP326" i="25"/>
  <c r="CQ326" i="25"/>
  <c r="CQ246" i="25"/>
  <c r="CP246" i="25"/>
  <c r="BQ259" i="25"/>
  <c r="BP259" i="25"/>
  <c r="BQ277" i="25"/>
  <c r="BP277" i="25"/>
  <c r="BP350" i="25"/>
  <c r="BQ350" i="25"/>
  <c r="CP291" i="25"/>
  <c r="CQ291" i="25"/>
  <c r="BQ248" i="25"/>
  <c r="BP248" i="25"/>
  <c r="AP260" i="25"/>
  <c r="AO260" i="25"/>
  <c r="BQ317" i="25"/>
  <c r="BP317" i="25"/>
  <c r="BQ246" i="25"/>
  <c r="BP246" i="25"/>
  <c r="BQ340" i="25"/>
  <c r="BP340" i="25"/>
  <c r="BQ305" i="25"/>
  <c r="BP305" i="25"/>
  <c r="CP324" i="25"/>
  <c r="CQ324" i="25"/>
  <c r="BQ287" i="25"/>
  <c r="BP287" i="25"/>
  <c r="CQ256" i="25"/>
  <c r="CP256" i="25"/>
  <c r="CP306" i="25"/>
  <c r="CQ306" i="25"/>
  <c r="BQ285" i="25"/>
  <c r="BP285" i="25"/>
  <c r="BQ292" i="25"/>
  <c r="BP292" i="25"/>
  <c r="CP308" i="25"/>
  <c r="CQ308" i="25"/>
  <c r="CQ337" i="25"/>
  <c r="BQ348" i="25"/>
  <c r="BP348" i="25"/>
  <c r="CQ242" i="25"/>
  <c r="CP242" i="25"/>
  <c r="AP246" i="25"/>
  <c r="AO246" i="25"/>
  <c r="BQ291" i="25"/>
  <c r="BP291" i="25"/>
  <c r="BP241" i="25"/>
  <c r="BQ241" i="25"/>
  <c r="BQ321" i="25"/>
  <c r="BP321" i="25"/>
  <c r="BP329" i="25"/>
  <c r="BQ329" i="25"/>
  <c r="CQ319" i="25"/>
  <c r="CP319" i="25"/>
  <c r="CP259" i="25"/>
  <c r="CQ259" i="25"/>
  <c r="CQ292" i="25"/>
  <c r="CP292" i="25"/>
  <c r="BQ319" i="25"/>
  <c r="BP319" i="25"/>
  <c r="BQ289" i="25"/>
  <c r="BP289" i="25"/>
  <c r="CP310" i="25"/>
  <c r="CQ310" i="25"/>
  <c r="CP263" i="25"/>
  <c r="CQ263" i="25"/>
  <c r="CP318" i="25"/>
  <c r="CQ318" i="25"/>
  <c r="CP322" i="25"/>
  <c r="CQ322" i="25"/>
  <c r="CP316" i="25"/>
  <c r="CQ316" i="25"/>
  <c r="BP331" i="25"/>
  <c r="BQ331" i="25"/>
  <c r="CQ350" i="25"/>
  <c r="CP350" i="25"/>
  <c r="CP279" i="25"/>
  <c r="CQ279" i="25"/>
  <c r="BQ327" i="25"/>
  <c r="BP327" i="25"/>
  <c r="BQ276" i="25"/>
  <c r="BP276" i="25"/>
  <c r="BQ313" i="25"/>
  <c r="BP313" i="25"/>
  <c r="CQ323" i="25"/>
  <c r="CP323" i="25"/>
  <c r="BQ253" i="25"/>
  <c r="BP253" i="25"/>
  <c r="CP320" i="25"/>
  <c r="CQ320" i="25"/>
  <c r="BQ265" i="25"/>
  <c r="BP265" i="25"/>
  <c r="CQ332" i="25"/>
  <c r="CP332" i="25"/>
  <c r="BP333" i="25"/>
  <c r="BQ333" i="25"/>
  <c r="CQ264" i="25"/>
  <c r="CP264" i="25"/>
  <c r="CQ327" i="25"/>
  <c r="CP327" i="25"/>
  <c r="CQ284" i="25"/>
  <c r="CP284" i="25"/>
  <c r="CP299" i="25"/>
  <c r="CQ299" i="25"/>
  <c r="BQ332" i="25"/>
  <c r="BP332" i="25"/>
  <c r="CQ315" i="25"/>
  <c r="CP315" i="25"/>
  <c r="BP337" i="25"/>
  <c r="BQ337" i="25"/>
  <c r="BQ299" i="25"/>
  <c r="BP299" i="25"/>
  <c r="CP287" i="25"/>
  <c r="CQ287" i="25"/>
  <c r="BP346" i="25"/>
  <c r="BQ346" i="25"/>
  <c r="BQ267" i="25"/>
  <c r="BP267" i="25"/>
  <c r="BQ261" i="25"/>
  <c r="BP261" i="25"/>
  <c r="CP251" i="25"/>
  <c r="CQ251" i="25"/>
  <c r="AP268" i="25"/>
  <c r="AO268" i="25"/>
  <c r="BQ288" i="25"/>
  <c r="BP288" i="25"/>
  <c r="CQ303" i="25"/>
  <c r="CP303" i="25"/>
  <c r="CQ341" i="25"/>
  <c r="CP341" i="25"/>
  <c r="CP267" i="25"/>
  <c r="CQ267" i="25"/>
  <c r="CP312" i="25"/>
  <c r="CQ312" i="25"/>
  <c r="CQ331" i="25"/>
  <c r="CP331" i="25"/>
  <c r="CQ296" i="25"/>
  <c r="CP296" i="25"/>
  <c r="AO329" i="25"/>
  <c r="AP329" i="25"/>
  <c r="CQ340" i="25"/>
  <c r="CP340" i="25"/>
  <c r="BQ242" i="25"/>
  <c r="BP242" i="25"/>
  <c r="CQ244" i="25"/>
  <c r="CP244" i="25"/>
  <c r="CP247" i="25"/>
  <c r="CQ247" i="25"/>
  <c r="BQ255" i="25"/>
  <c r="BP255" i="25"/>
  <c r="CQ268" i="25"/>
  <c r="CP268" i="25"/>
  <c r="CQ288" i="25"/>
  <c r="CP288" i="25"/>
  <c r="CQ248" i="25"/>
  <c r="CP248" i="25"/>
  <c r="BQ252" i="25"/>
  <c r="BP252" i="25"/>
  <c r="BQ271" i="25"/>
  <c r="BP271" i="25"/>
  <c r="BQ311" i="25"/>
  <c r="BP311" i="25"/>
  <c r="CQ325" i="25"/>
  <c r="CP325" i="25"/>
  <c r="BQ293" i="25"/>
  <c r="BP293" i="25"/>
  <c r="AO308" i="25"/>
  <c r="AP308" i="25"/>
  <c r="CQ339" i="25"/>
  <c r="CP339" i="25"/>
  <c r="BP349" i="25"/>
  <c r="BQ349" i="25"/>
  <c r="CQ333" i="25"/>
  <c r="CP333" i="25"/>
  <c r="BQ309" i="25"/>
  <c r="BP309" i="25"/>
  <c r="CQ272" i="25"/>
  <c r="CP272" i="25"/>
  <c r="CQ252" i="25"/>
  <c r="CP252" i="25"/>
  <c r="BQ315" i="25"/>
  <c r="BP315" i="25"/>
  <c r="CQ342" i="25"/>
  <c r="CP342" i="25"/>
  <c r="BQ256" i="25"/>
  <c r="BP256" i="25"/>
  <c r="AP292" i="25"/>
  <c r="AO292" i="25"/>
  <c r="CP295" i="25"/>
  <c r="CQ295" i="25"/>
  <c r="BQ279" i="25"/>
  <c r="BP279" i="25"/>
  <c r="BP239" i="25"/>
  <c r="BQ239" i="25"/>
  <c r="BQ263" i="25"/>
  <c r="BP263" i="25"/>
  <c r="BQ260" i="25"/>
  <c r="BP260" i="25"/>
  <c r="BQ268" i="25"/>
  <c r="BP268" i="25"/>
  <c r="BQ264" i="25"/>
  <c r="BP264" i="25"/>
  <c r="CP302" i="25"/>
  <c r="CQ302" i="25"/>
  <c r="CQ338" i="25"/>
  <c r="CP338" i="25"/>
  <c r="CQ305" i="25"/>
  <c r="CP305" i="25"/>
  <c r="BQ323" i="25"/>
  <c r="BP323" i="25"/>
  <c r="CQ250" i="25"/>
  <c r="CP250" i="25"/>
  <c r="BQ275" i="25"/>
  <c r="BP275" i="25"/>
  <c r="BQ325" i="25"/>
  <c r="BP325" i="25"/>
  <c r="AP300" i="25"/>
  <c r="AO300" i="25"/>
  <c r="CQ300" i="25"/>
  <c r="CP300" i="25"/>
  <c r="CQ335" i="25"/>
  <c r="CP335" i="25"/>
  <c r="CQ240" i="25"/>
  <c r="CP240" i="25"/>
  <c r="BQ283" i="25"/>
  <c r="BP283" i="25"/>
  <c r="CP314" i="25"/>
  <c r="CQ314" i="25"/>
  <c r="BQ272" i="25"/>
  <c r="BP272" i="25"/>
  <c r="BQ307" i="25"/>
  <c r="BP307" i="25"/>
  <c r="CQ321" i="25"/>
  <c r="CP321" i="25"/>
  <c r="BP341" i="25"/>
  <c r="BQ341" i="25"/>
  <c r="BP345" i="25"/>
  <c r="BQ345" i="25"/>
  <c r="BQ281" i="25"/>
  <c r="BP281" i="25"/>
  <c r="CO230" i="25"/>
  <c r="BP230" i="25"/>
  <c r="BP166" i="25"/>
  <c r="BQ210" i="25"/>
  <c r="BP186" i="25"/>
  <c r="BP227" i="25"/>
  <c r="CP85" i="25"/>
  <c r="CQ29" i="25"/>
  <c r="BP198" i="25"/>
  <c r="BP94" i="25"/>
  <c r="BP82" i="25"/>
  <c r="BP218" i="25"/>
  <c r="BQ178" i="25"/>
  <c r="BP49" i="25"/>
  <c r="CQ206" i="25"/>
  <c r="CO38" i="25"/>
  <c r="CO217" i="25"/>
  <c r="CO187" i="25"/>
  <c r="CQ78" i="25"/>
  <c r="CP22" i="25"/>
  <c r="CQ52" i="25"/>
  <c r="CP52" i="25"/>
  <c r="CO40" i="25"/>
  <c r="BP226" i="25"/>
  <c r="BP162" i="25"/>
  <c r="CQ215" i="25"/>
  <c r="CP31" i="25"/>
  <c r="CO173" i="25"/>
  <c r="BP202" i="25"/>
  <c r="BQ194" i="25"/>
  <c r="BP170" i="25"/>
  <c r="BP73" i="25"/>
  <c r="BP234" i="25"/>
  <c r="BQ21" i="25"/>
  <c r="BP133" i="25"/>
  <c r="CQ129" i="25"/>
  <c r="CO103" i="25"/>
  <c r="CP29" i="25"/>
  <c r="CP220" i="25"/>
  <c r="CQ22" i="25"/>
  <c r="CO185" i="25"/>
  <c r="CO147" i="25"/>
  <c r="CO118" i="25"/>
  <c r="CO155" i="25"/>
  <c r="CO145" i="25"/>
  <c r="CO148" i="25"/>
  <c r="BQ156" i="25"/>
  <c r="CO200" i="25"/>
  <c r="CO56" i="25"/>
  <c r="CQ186" i="25"/>
  <c r="CP186" i="25"/>
  <c r="CO58" i="25"/>
  <c r="CQ100" i="25"/>
  <c r="CP100" i="25"/>
  <c r="CQ41" i="25"/>
  <c r="CP41" i="25"/>
  <c r="CO141" i="25"/>
  <c r="CO99" i="25"/>
  <c r="CO108" i="25"/>
  <c r="CO219" i="25"/>
  <c r="CO184" i="25"/>
  <c r="CO92" i="25"/>
  <c r="CO34" i="25"/>
  <c r="CP70" i="25"/>
  <c r="CQ70" i="25"/>
  <c r="CO146" i="25"/>
  <c r="CP51" i="25"/>
  <c r="CP19" i="25"/>
  <c r="CP59" i="25"/>
  <c r="CQ59" i="25"/>
  <c r="CO123" i="25"/>
  <c r="CO125" i="25"/>
  <c r="CO135" i="25"/>
  <c r="CQ77" i="25"/>
  <c r="CP77" i="25"/>
  <c r="CO66" i="25"/>
  <c r="CO154" i="25"/>
  <c r="CO174" i="25"/>
  <c r="CO171" i="25"/>
  <c r="CP79" i="25"/>
  <c r="CQ79" i="25"/>
  <c r="CQ17" i="25"/>
  <c r="CP17" i="25"/>
  <c r="CO143" i="25"/>
  <c r="CO165" i="25"/>
  <c r="CO95" i="25"/>
  <c r="CO128" i="25"/>
  <c r="CO104" i="25"/>
  <c r="CO237" i="25"/>
  <c r="CO72" i="25"/>
  <c r="CO25" i="25"/>
  <c r="CO87" i="25"/>
  <c r="CP48" i="25"/>
  <c r="CQ48" i="25"/>
  <c r="CQ138" i="25"/>
  <c r="CP138" i="25"/>
  <c r="CQ96" i="25"/>
  <c r="CP96" i="25"/>
  <c r="CQ84" i="25"/>
  <c r="CP84" i="25"/>
  <c r="CO75" i="25"/>
  <c r="CQ115" i="25"/>
  <c r="CO110" i="25"/>
  <c r="CO172" i="25"/>
  <c r="CO198" i="25"/>
  <c r="CQ234" i="25"/>
  <c r="CP234" i="25"/>
  <c r="CO204" i="25"/>
  <c r="CO64" i="25"/>
  <c r="CQ122" i="25"/>
  <c r="CP122" i="25"/>
  <c r="CO46" i="25"/>
  <c r="CP68" i="25"/>
  <c r="CQ68" i="25"/>
  <c r="CP44" i="25"/>
  <c r="CQ44" i="25"/>
  <c r="CO149" i="25"/>
  <c r="CO133" i="25"/>
  <c r="CP236" i="25"/>
  <c r="CP102" i="25"/>
  <c r="CO112" i="25"/>
  <c r="CO26" i="25"/>
  <c r="CO144" i="25"/>
  <c r="CP231" i="25"/>
  <c r="CQ231" i="25"/>
  <c r="CO222" i="25"/>
  <c r="CO209" i="25"/>
  <c r="CO116" i="25"/>
  <c r="CO229" i="25"/>
  <c r="CO35" i="25"/>
  <c r="CO27" i="25"/>
  <c r="CO167" i="25"/>
  <c r="CO111" i="25"/>
  <c r="CP80" i="25"/>
  <c r="CQ207" i="25"/>
  <c r="CP196" i="25"/>
  <c r="CP37" i="25"/>
  <c r="CO127" i="25"/>
  <c r="CO218" i="25"/>
  <c r="CO117" i="25"/>
  <c r="CP179" i="25"/>
  <c r="CQ179" i="25"/>
  <c r="CP24" i="25"/>
  <c r="CQ24" i="25"/>
  <c r="CO178" i="25"/>
  <c r="CO177" i="25"/>
  <c r="CQ213" i="25"/>
  <c r="CP213" i="25"/>
  <c r="CO74" i="25"/>
  <c r="CO55" i="25"/>
  <c r="CO86" i="25"/>
  <c r="CO152" i="25"/>
  <c r="CO71" i="25"/>
  <c r="CO119" i="25"/>
  <c r="CO232" i="25"/>
  <c r="CO193" i="25"/>
  <c r="CO139" i="25"/>
  <c r="CO62" i="25"/>
  <c r="CO42" i="25"/>
  <c r="CQ49" i="25"/>
  <c r="CP49" i="25"/>
  <c r="CO176" i="25"/>
  <c r="CO175" i="25"/>
  <c r="CP223" i="25"/>
  <c r="CQ223" i="25"/>
  <c r="CO157" i="25"/>
  <c r="CO159" i="25"/>
  <c r="CO201" i="25"/>
  <c r="CO194" i="25"/>
  <c r="CO113" i="25"/>
  <c r="CO67" i="25"/>
  <c r="BP15" i="25"/>
  <c r="BP191" i="25"/>
  <c r="BQ18" i="25"/>
  <c r="BQ30" i="25"/>
  <c r="BQ159" i="25"/>
  <c r="BP223" i="25"/>
  <c r="BP175" i="25"/>
  <c r="BP207" i="25"/>
  <c r="BQ41" i="25"/>
  <c r="BP62" i="25"/>
  <c r="BP159" i="25"/>
  <c r="BQ90" i="25"/>
  <c r="BQ57" i="25"/>
  <c r="BP57" i="25"/>
  <c r="BQ98" i="25"/>
  <c r="BP98" i="25"/>
  <c r="BP38" i="25"/>
  <c r="BQ38" i="25"/>
  <c r="BQ58" i="25"/>
  <c r="BQ130" i="25"/>
  <c r="BP130" i="25"/>
  <c r="BQ42" i="25"/>
  <c r="BP42" i="25"/>
  <c r="BQ106" i="25"/>
  <c r="BP106" i="25"/>
  <c r="BP134" i="25"/>
  <c r="BQ134" i="25"/>
  <c r="BQ102" i="25"/>
  <c r="BP102" i="25"/>
  <c r="BP17" i="25"/>
  <c r="BQ17" i="25"/>
  <c r="BQ122" i="25"/>
  <c r="BP122" i="25"/>
  <c r="BQ70" i="25"/>
  <c r="BP70" i="25"/>
  <c r="BQ110" i="25"/>
  <c r="BP110" i="25"/>
  <c r="BP25" i="25"/>
  <c r="BQ25" i="25"/>
  <c r="BQ22" i="25"/>
  <c r="BQ142" i="25"/>
  <c r="BP142" i="25"/>
  <c r="BP211" i="25"/>
  <c r="BQ211" i="25"/>
  <c r="BP18" i="25"/>
  <c r="BP203" i="25"/>
  <c r="BQ203" i="25"/>
  <c r="BQ219" i="25"/>
  <c r="BP219" i="25"/>
  <c r="BP146" i="25"/>
  <c r="BQ146" i="25"/>
  <c r="BQ54" i="25"/>
  <c r="BP54" i="25"/>
  <c r="BQ138" i="25"/>
  <c r="BP138" i="25"/>
  <c r="BQ154" i="25"/>
  <c r="BP154" i="25"/>
  <c r="BP150" i="25"/>
  <c r="BQ150" i="25"/>
  <c r="BP118" i="25"/>
  <c r="BQ118" i="25"/>
  <c r="BP86" i="25"/>
  <c r="BQ86" i="25"/>
  <c r="BQ50" i="25"/>
  <c r="BQ114" i="25"/>
  <c r="BP114" i="25"/>
  <c r="BP26" i="25"/>
  <c r="E100" i="37" l="1"/>
  <c r="D100" i="37"/>
  <c r="E79" i="37"/>
  <c r="E78" i="37"/>
  <c r="E89" i="37"/>
  <c r="E88" i="37"/>
  <c r="D89" i="37"/>
  <c r="D88" i="37"/>
  <c r="D79" i="37"/>
  <c r="D78" i="37"/>
  <c r="D62" i="37"/>
  <c r="D69" i="37"/>
  <c r="D68" i="37"/>
  <c r="D61" i="37"/>
  <c r="E62" i="37"/>
  <c r="E69" i="37"/>
  <c r="E61" i="37"/>
  <c r="E68" i="37"/>
  <c r="AO332" i="25"/>
  <c r="S332" i="25" s="1"/>
  <c r="AP332" i="25"/>
  <c r="T332" i="25" s="1"/>
  <c r="AP326" i="25"/>
  <c r="T326" i="25" s="1"/>
  <c r="AP310" i="25"/>
  <c r="T310" i="25" s="1"/>
  <c r="Q288" i="25"/>
  <c r="AO257" i="25"/>
  <c r="S257" i="25" s="1"/>
  <c r="AO310" i="25"/>
  <c r="S310" i="25" s="1"/>
  <c r="AP247" i="25"/>
  <c r="T247" i="25" s="1"/>
  <c r="AO288" i="25"/>
  <c r="S288" i="25" s="1"/>
  <c r="AO326" i="25"/>
  <c r="S326" i="25" s="1"/>
  <c r="P247" i="25"/>
  <c r="AO291" i="25"/>
  <c r="S291" i="25" s="1"/>
  <c r="AO328" i="25"/>
  <c r="S328" i="25" s="1"/>
  <c r="AP324" i="25"/>
  <c r="T324" i="25" s="1"/>
  <c r="AP330" i="25"/>
  <c r="T330" i="25" s="1"/>
  <c r="AP333" i="25"/>
  <c r="T333" i="25" s="1"/>
  <c r="AP252" i="25"/>
  <c r="T252" i="25" s="1"/>
  <c r="AO333" i="25"/>
  <c r="S333" i="25" s="1"/>
  <c r="AO324" i="25"/>
  <c r="S324" i="25" s="1"/>
  <c r="AP264" i="25"/>
  <c r="T264" i="25" s="1"/>
  <c r="AP328" i="25"/>
  <c r="T328" i="25" s="1"/>
  <c r="AP276" i="25"/>
  <c r="T276" i="25" s="1"/>
  <c r="Q313" i="25"/>
  <c r="P276" i="25"/>
  <c r="AO313" i="25"/>
  <c r="S313" i="25" s="1"/>
  <c r="Q249" i="25"/>
  <c r="AO264" i="25"/>
  <c r="S264" i="25" s="1"/>
  <c r="AO336" i="25"/>
  <c r="S336" i="25" s="1"/>
  <c r="AP278" i="25"/>
  <c r="T278" i="25" s="1"/>
  <c r="AP291" i="25"/>
  <c r="T291" i="25" s="1"/>
  <c r="AO278" i="25"/>
  <c r="S278" i="25" s="1"/>
  <c r="AO316" i="25"/>
  <c r="S316" i="25" s="1"/>
  <c r="AP347" i="25"/>
  <c r="T347" i="25" s="1"/>
  <c r="AO249" i="25"/>
  <c r="S249" i="25" s="1"/>
  <c r="AO340" i="25"/>
  <c r="S340" i="25" s="1"/>
  <c r="AO349" i="25"/>
  <c r="S349" i="25" s="1"/>
  <c r="AP316" i="25"/>
  <c r="T316" i="25" s="1"/>
  <c r="AP340" i="25"/>
  <c r="T340" i="25" s="1"/>
  <c r="AP344" i="25"/>
  <c r="T344" i="25" s="1"/>
  <c r="AP282" i="25"/>
  <c r="T282" i="25" s="1"/>
  <c r="AP253" i="25"/>
  <c r="T253" i="25" s="1"/>
  <c r="AP294" i="25"/>
  <c r="T294" i="25" s="1"/>
  <c r="AP254" i="25"/>
  <c r="T254" i="25" s="1"/>
  <c r="AO244" i="25"/>
  <c r="S244" i="25" s="1"/>
  <c r="AO282" i="25"/>
  <c r="S282" i="25" s="1"/>
  <c r="S284" i="25"/>
  <c r="AP339" i="25"/>
  <c r="T339" i="25" s="1"/>
  <c r="Q244" i="25"/>
  <c r="S329" i="25"/>
  <c r="AP257" i="25"/>
  <c r="T257" i="25" s="1"/>
  <c r="Q330" i="25"/>
  <c r="P333" i="25"/>
  <c r="Q324" i="25"/>
  <c r="AO330" i="25"/>
  <c r="S330" i="25" s="1"/>
  <c r="AO294" i="25"/>
  <c r="S294" i="25" s="1"/>
  <c r="AO252" i="25"/>
  <c r="S252" i="25" s="1"/>
  <c r="AO254" i="25"/>
  <c r="S254" i="25" s="1"/>
  <c r="AO345" i="25"/>
  <c r="S345" i="25" s="1"/>
  <c r="AO314" i="25"/>
  <c r="S314" i="25" s="1"/>
  <c r="T244" i="25"/>
  <c r="AP250" i="25"/>
  <c r="T250" i="25" s="1"/>
  <c r="AP287" i="25"/>
  <c r="T287" i="25" s="1"/>
  <c r="AP286" i="25"/>
  <c r="T286" i="25" s="1"/>
  <c r="AO322" i="25"/>
  <c r="S322" i="25" s="1"/>
  <c r="AP293" i="25"/>
  <c r="T293" i="25" s="1"/>
  <c r="P279" i="25"/>
  <c r="AP279" i="25"/>
  <c r="T279" i="25" s="1"/>
  <c r="AP302" i="25"/>
  <c r="T302" i="25" s="1"/>
  <c r="AP265" i="25"/>
  <c r="T265" i="25" s="1"/>
  <c r="AO275" i="25"/>
  <c r="S275" i="25" s="1"/>
  <c r="AO306" i="25"/>
  <c r="S306" i="25" s="1"/>
  <c r="AO245" i="25"/>
  <c r="S245" i="25" s="1"/>
  <c r="AP312" i="25"/>
  <c r="T312" i="25" s="1"/>
  <c r="AO239" i="25"/>
  <c r="S239" i="25" s="1"/>
  <c r="AO273" i="25"/>
  <c r="S273" i="25" s="1"/>
  <c r="AO242" i="25"/>
  <c r="S242" i="25" s="1"/>
  <c r="AO262" i="25"/>
  <c r="S262" i="25" s="1"/>
  <c r="AO312" i="25"/>
  <c r="S312" i="25" s="1"/>
  <c r="AO256" i="25"/>
  <c r="S256" i="25" s="1"/>
  <c r="AO280" i="25"/>
  <c r="S280" i="25" s="1"/>
  <c r="AP298" i="25"/>
  <c r="T298" i="25" s="1"/>
  <c r="AP239" i="25"/>
  <c r="T239" i="25" s="1"/>
  <c r="AO286" i="25"/>
  <c r="S286" i="25" s="1"/>
  <c r="AP273" i="25"/>
  <c r="T273" i="25" s="1"/>
  <c r="AP345" i="25"/>
  <c r="T345" i="25" s="1"/>
  <c r="AP262" i="25"/>
  <c r="T262" i="25" s="1"/>
  <c r="AO337" i="25"/>
  <c r="S337" i="25" s="1"/>
  <c r="AP256" i="25"/>
  <c r="T256" i="25" s="1"/>
  <c r="Q275" i="25"/>
  <c r="AP259" i="25"/>
  <c r="T259" i="25" s="1"/>
  <c r="AO265" i="25"/>
  <c r="S265" i="25" s="1"/>
  <c r="AP270" i="25"/>
  <c r="T270" i="25" s="1"/>
  <c r="AP266" i="25"/>
  <c r="T266" i="25" s="1"/>
  <c r="AP245" i="25"/>
  <c r="T245" i="25" s="1"/>
  <c r="AO253" i="25"/>
  <c r="S253" i="25" s="1"/>
  <c r="AP337" i="25"/>
  <c r="T337" i="25" s="1"/>
  <c r="P296" i="25"/>
  <c r="P306" i="25"/>
  <c r="AP321" i="25"/>
  <c r="T321" i="25" s="1"/>
  <c r="P331" i="25"/>
  <c r="S240" i="25"/>
  <c r="AO296" i="25"/>
  <c r="S296" i="25" s="1"/>
  <c r="S297" i="25"/>
  <c r="AO270" i="25"/>
  <c r="S270" i="25" s="1"/>
  <c r="AO266" i="25"/>
  <c r="S266" i="25" s="1"/>
  <c r="AO267" i="25"/>
  <c r="S267" i="25" s="1"/>
  <c r="AP306" i="25"/>
  <c r="T306" i="25" s="1"/>
  <c r="AP297" i="25"/>
  <c r="T297" i="25" s="1"/>
  <c r="AP335" i="25"/>
  <c r="T335" i="25" s="1"/>
  <c r="AO251" i="25"/>
  <c r="S251" i="25" s="1"/>
  <c r="AP334" i="25"/>
  <c r="T334" i="25" s="1"/>
  <c r="AP314" i="25"/>
  <c r="T314" i="25" s="1"/>
  <c r="Q349" i="25"/>
  <c r="AO342" i="25"/>
  <c r="S342" i="25" s="1"/>
  <c r="P297" i="25"/>
  <c r="P280" i="25"/>
  <c r="AP285" i="25"/>
  <c r="T285" i="25" s="1"/>
  <c r="T288" i="25"/>
  <c r="AP336" i="25"/>
  <c r="T336" i="25" s="1"/>
  <c r="AO269" i="25"/>
  <c r="S269" i="25" s="1"/>
  <c r="AP349" i="25"/>
  <c r="T349" i="25" s="1"/>
  <c r="T329" i="25"/>
  <c r="AP269" i="25"/>
  <c r="T269" i="25" s="1"/>
  <c r="AO335" i="25"/>
  <c r="S335" i="25" s="1"/>
  <c r="AP251" i="25"/>
  <c r="T251" i="25" s="1"/>
  <c r="AO334" i="25"/>
  <c r="S334" i="25" s="1"/>
  <c r="AP275" i="25"/>
  <c r="T275" i="25" s="1"/>
  <c r="AP322" i="25"/>
  <c r="T322" i="25" s="1"/>
  <c r="AP318" i="25"/>
  <c r="T318" i="25" s="1"/>
  <c r="AO302" i="25"/>
  <c r="S302" i="25" s="1"/>
  <c r="AO339" i="25"/>
  <c r="S339" i="25" s="1"/>
  <c r="AO299" i="25"/>
  <c r="S299" i="25" s="1"/>
  <c r="P302" i="25"/>
  <c r="P248" i="25"/>
  <c r="AO285" i="25"/>
  <c r="S285" i="25" s="1"/>
  <c r="AP281" i="25"/>
  <c r="T281" i="25" s="1"/>
  <c r="AP320" i="25"/>
  <c r="T320" i="25" s="1"/>
  <c r="AO331" i="25"/>
  <c r="S331" i="25" s="1"/>
  <c r="AO338" i="25"/>
  <c r="S338" i="25" s="1"/>
  <c r="AP263" i="25"/>
  <c r="T263" i="25" s="1"/>
  <c r="AO248" i="25"/>
  <c r="S248" i="25" s="1"/>
  <c r="Q271" i="25"/>
  <c r="AO319" i="25"/>
  <c r="S319" i="25" s="1"/>
  <c r="AO259" i="25"/>
  <c r="S259" i="25" s="1"/>
  <c r="T331" i="25"/>
  <c r="AO281" i="25"/>
  <c r="S281" i="25" s="1"/>
  <c r="AO341" i="25"/>
  <c r="S341" i="25" s="1"/>
  <c r="T292" i="25"/>
  <c r="AP338" i="25"/>
  <c r="T338" i="25" s="1"/>
  <c r="AO263" i="25"/>
  <c r="S263" i="25" s="1"/>
  <c r="T280" i="25"/>
  <c r="T248" i="25"/>
  <c r="T268" i="25"/>
  <c r="S272" i="25"/>
  <c r="T308" i="25"/>
  <c r="S260" i="25"/>
  <c r="T249" i="25"/>
  <c r="S247" i="25"/>
  <c r="S279" i="25"/>
  <c r="P255" i="25"/>
  <c r="AO283" i="25"/>
  <c r="S283" i="25" s="1"/>
  <c r="AO318" i="25"/>
  <c r="S318" i="25" s="1"/>
  <c r="Q347" i="25"/>
  <c r="P342" i="25"/>
  <c r="AP342" i="25"/>
  <c r="T342" i="25" s="1"/>
  <c r="AP271" i="25"/>
  <c r="T271" i="25" s="1"/>
  <c r="AO243" i="25"/>
  <c r="S243" i="25" s="1"/>
  <c r="T284" i="25"/>
  <c r="AO277" i="25"/>
  <c r="S277" i="25" s="1"/>
  <c r="AO287" i="25"/>
  <c r="S287" i="25" s="1"/>
  <c r="AO258" i="25"/>
  <c r="S258" i="25" s="1"/>
  <c r="AO261" i="25"/>
  <c r="S261" i="25" s="1"/>
  <c r="AO290" i="25"/>
  <c r="S290" i="25" s="1"/>
  <c r="AP242" i="25"/>
  <c r="T242" i="25" s="1"/>
  <c r="AO289" i="25"/>
  <c r="S289" i="25" s="1"/>
  <c r="AP343" i="25"/>
  <c r="T343" i="25" s="1"/>
  <c r="AP295" i="25"/>
  <c r="T295" i="25" s="1"/>
  <c r="AP255" i="25"/>
  <c r="T255" i="25" s="1"/>
  <c r="S276" i="25"/>
  <c r="T241" i="25"/>
  <c r="Q261" i="25"/>
  <c r="P267" i="25"/>
  <c r="AP243" i="25"/>
  <c r="T243" i="25" s="1"/>
  <c r="Q250" i="25"/>
  <c r="P240" i="25"/>
  <c r="T300" i="25"/>
  <c r="AP274" i="25"/>
  <c r="T274" i="25" s="1"/>
  <c r="AP277" i="25"/>
  <c r="T277" i="25" s="1"/>
  <c r="AP258" i="25"/>
  <c r="T258" i="25" s="1"/>
  <c r="AP290" i="25"/>
  <c r="T290" i="25" s="1"/>
  <c r="AP289" i="25"/>
  <c r="T289" i="25" s="1"/>
  <c r="AO343" i="25"/>
  <c r="S343" i="25" s="1"/>
  <c r="AO295" i="25"/>
  <c r="S295" i="25" s="1"/>
  <c r="S241" i="25"/>
  <c r="AO321" i="25"/>
  <c r="S321" i="25" s="1"/>
  <c r="S246" i="25"/>
  <c r="Q344" i="25"/>
  <c r="AO323" i="25"/>
  <c r="S323" i="25" s="1"/>
  <c r="AP323" i="25"/>
  <c r="T323" i="25" s="1"/>
  <c r="AO298" i="25"/>
  <c r="S298" i="25" s="1"/>
  <c r="AO344" i="25"/>
  <c r="S344" i="25" s="1"/>
  <c r="T260" i="25"/>
  <c r="Q298" i="25"/>
  <c r="Q341" i="25"/>
  <c r="AO327" i="25"/>
  <c r="S327" i="25" s="1"/>
  <c r="AP327" i="25"/>
  <c r="T327" i="25" s="1"/>
  <c r="AO307" i="25"/>
  <c r="S307" i="25" s="1"/>
  <c r="AP307" i="25"/>
  <c r="T307" i="25" s="1"/>
  <c r="AO311" i="25"/>
  <c r="S311" i="25" s="1"/>
  <c r="AP311" i="25"/>
  <c r="T311" i="25" s="1"/>
  <c r="P327" i="25"/>
  <c r="AO309" i="25"/>
  <c r="S309" i="25" s="1"/>
  <c r="AP309" i="25"/>
  <c r="T309" i="25" s="1"/>
  <c r="AO303" i="25"/>
  <c r="S303" i="25" s="1"/>
  <c r="AP303" i="25"/>
  <c r="T303" i="25" s="1"/>
  <c r="P311" i="25"/>
  <c r="P299" i="25"/>
  <c r="T272" i="25"/>
  <c r="T296" i="25"/>
  <c r="T341" i="25"/>
  <c r="AO320" i="25"/>
  <c r="S320" i="25" s="1"/>
  <c r="T319" i="25"/>
  <c r="AP299" i="25"/>
  <c r="T299" i="25" s="1"/>
  <c r="AO250" i="25"/>
  <c r="S250" i="25" s="1"/>
  <c r="T304" i="25"/>
  <c r="AO346" i="25"/>
  <c r="S346" i="25" s="1"/>
  <c r="AO301" i="25"/>
  <c r="S301" i="25" s="1"/>
  <c r="P323" i="25"/>
  <c r="AO305" i="25"/>
  <c r="S305" i="25" s="1"/>
  <c r="AP305" i="25"/>
  <c r="T305" i="25" s="1"/>
  <c r="AO325" i="25"/>
  <c r="S325" i="25" s="1"/>
  <c r="AP325" i="25"/>
  <c r="T325" i="25" s="1"/>
  <c r="P307" i="25"/>
  <c r="AO347" i="25"/>
  <c r="S347" i="25" s="1"/>
  <c r="AP348" i="25"/>
  <c r="T348" i="25" s="1"/>
  <c r="AO348" i="25"/>
  <c r="S348" i="25" s="1"/>
  <c r="Q259" i="25"/>
  <c r="S308" i="25"/>
  <c r="T246" i="25"/>
  <c r="S271" i="25"/>
  <c r="AO315" i="25"/>
  <c r="S315" i="25" s="1"/>
  <c r="AP315" i="25"/>
  <c r="T315" i="25" s="1"/>
  <c r="T261" i="25"/>
  <c r="AP267" i="25"/>
  <c r="T267" i="25" s="1"/>
  <c r="S300" i="25"/>
  <c r="S268" i="25"/>
  <c r="AO274" i="25"/>
  <c r="S274" i="25" s="1"/>
  <c r="AP283" i="25"/>
  <c r="T283" i="25" s="1"/>
  <c r="AO293" i="25"/>
  <c r="S293" i="25" s="1"/>
  <c r="S292" i="25"/>
  <c r="T313" i="25"/>
  <c r="S304" i="25"/>
  <c r="AP346" i="25"/>
  <c r="T346" i="25" s="1"/>
  <c r="AP301" i="25"/>
  <c r="T301" i="25" s="1"/>
  <c r="S255" i="25"/>
  <c r="AP350" i="25"/>
  <c r="T350" i="25" s="1"/>
  <c r="AO350" i="25"/>
  <c r="S350" i="25" s="1"/>
  <c r="AP240" i="25"/>
  <c r="T240" i="25" s="1"/>
  <c r="AO317" i="25"/>
  <c r="S317" i="25" s="1"/>
  <c r="AP317" i="25"/>
  <c r="T317" i="25" s="1"/>
  <c r="P309" i="25"/>
  <c r="Q319" i="25"/>
  <c r="CP119" i="25"/>
  <c r="CQ99" i="25"/>
  <c r="CQ183" i="25"/>
  <c r="CQ71" i="25"/>
  <c r="CP111" i="25"/>
  <c r="CP112" i="25"/>
  <c r="CP149" i="25"/>
  <c r="CQ165" i="25"/>
  <c r="CP135" i="25"/>
  <c r="CQ152" i="25"/>
  <c r="CP117" i="25"/>
  <c r="CQ167" i="25"/>
  <c r="CQ87" i="25"/>
  <c r="CP143" i="25"/>
  <c r="CQ66" i="25"/>
  <c r="CP125" i="25"/>
  <c r="CP58" i="25"/>
  <c r="CP173" i="25"/>
  <c r="CP159" i="25"/>
  <c r="CP175" i="25"/>
  <c r="CP86" i="25"/>
  <c r="CQ144" i="25"/>
  <c r="CQ128" i="25"/>
  <c r="CP118" i="25"/>
  <c r="CP40" i="25"/>
  <c r="CQ150" i="25"/>
  <c r="CQ161" i="25"/>
  <c r="CP60" i="25"/>
  <c r="CP91" i="25"/>
  <c r="CQ233" i="25"/>
  <c r="CP221" i="25"/>
  <c r="CQ203" i="25"/>
  <c r="CP228" i="25"/>
  <c r="CQ176" i="25"/>
  <c r="CQ26" i="25"/>
  <c r="CQ133" i="25"/>
  <c r="CP187" i="25"/>
  <c r="CP33" i="25"/>
  <c r="CQ89" i="25"/>
  <c r="CQ189" i="25"/>
  <c r="CP137" i="25"/>
  <c r="CP28" i="25"/>
  <c r="CQ75" i="25"/>
  <c r="CQ154" i="25"/>
  <c r="CP141" i="25"/>
  <c r="CQ56" i="25"/>
  <c r="CQ185" i="25"/>
  <c r="CQ217" i="25"/>
  <c r="CQ230" i="25"/>
  <c r="CQ134" i="25"/>
  <c r="CP166" i="25"/>
  <c r="CQ208" i="25"/>
  <c r="CP93" i="25"/>
  <c r="CQ153" i="25"/>
  <c r="CQ157" i="25"/>
  <c r="CQ127" i="25"/>
  <c r="CQ95" i="25"/>
  <c r="CQ146" i="25"/>
  <c r="CQ142" i="25"/>
  <c r="CQ216" i="25"/>
  <c r="CQ46" i="25"/>
  <c r="CQ88" i="25"/>
  <c r="CQ205" i="25"/>
  <c r="CQ227" i="25"/>
  <c r="CQ192" i="25"/>
  <c r="CQ182" i="25"/>
  <c r="CQ140" i="25"/>
  <c r="CP20" i="25"/>
  <c r="CP188" i="25"/>
  <c r="CP98" i="25"/>
  <c r="CQ32" i="25"/>
  <c r="CP121" i="25"/>
  <c r="CQ121" i="25"/>
  <c r="CQ228" i="25"/>
  <c r="CP203" i="25"/>
  <c r="CP32" i="25"/>
  <c r="CQ28" i="25"/>
  <c r="CQ98" i="25"/>
  <c r="CQ221" i="25"/>
  <c r="CQ91" i="25"/>
  <c r="CP153" i="25"/>
  <c r="CQ188" i="25"/>
  <c r="CQ125" i="25"/>
  <c r="CP216" i="25"/>
  <c r="CQ93" i="25"/>
  <c r="CP182" i="25"/>
  <c r="CQ137" i="25"/>
  <c r="CP140" i="25"/>
  <c r="CP189" i="25"/>
  <c r="CQ20" i="25"/>
  <c r="CP233" i="25"/>
  <c r="CP208" i="25"/>
  <c r="CQ166" i="25"/>
  <c r="CQ33" i="25"/>
  <c r="CQ60" i="25"/>
  <c r="CP89" i="25"/>
  <c r="CP150" i="25"/>
  <c r="CP99" i="25"/>
  <c r="CP142" i="25"/>
  <c r="CP192" i="25"/>
  <c r="CP161" i="25"/>
  <c r="CP227" i="25"/>
  <c r="CQ187" i="25"/>
  <c r="CP183" i="25"/>
  <c r="CP88" i="25"/>
  <c r="CQ16" i="25"/>
  <c r="CP16" i="25"/>
  <c r="CP26" i="25"/>
  <c r="CP134" i="25"/>
  <c r="CP46" i="25"/>
  <c r="CP205" i="25"/>
  <c r="CP197" i="25"/>
  <c r="CQ197" i="25"/>
  <c r="CP144" i="25"/>
  <c r="CQ180" i="25"/>
  <c r="CP180" i="25"/>
  <c r="CQ135" i="25"/>
  <c r="CQ43" i="25"/>
  <c r="CP43" i="25"/>
  <c r="CP133" i="25"/>
  <c r="CP95" i="25"/>
  <c r="CQ175" i="25"/>
  <c r="CP152" i="25"/>
  <c r="CP230" i="25"/>
  <c r="CP225" i="25"/>
  <c r="CQ225" i="25"/>
  <c r="CP217" i="25"/>
  <c r="CQ173" i="25"/>
  <c r="CP38" i="25"/>
  <c r="CQ38" i="25"/>
  <c r="CQ145" i="25"/>
  <c r="CP145" i="25"/>
  <c r="CQ58" i="25"/>
  <c r="CP75" i="25"/>
  <c r="CP148" i="25"/>
  <c r="CQ148" i="25"/>
  <c r="CP147" i="25"/>
  <c r="CQ147" i="25"/>
  <c r="CQ141" i="25"/>
  <c r="CQ149" i="25"/>
  <c r="CP103" i="25"/>
  <c r="CQ103" i="25"/>
  <c r="CP56" i="25"/>
  <c r="CQ40" i="25"/>
  <c r="CP127" i="25"/>
  <c r="CQ112" i="25"/>
  <c r="CP66" i="25"/>
  <c r="CQ119" i="25"/>
  <c r="CQ143" i="25"/>
  <c r="CQ200" i="25"/>
  <c r="CP200" i="25"/>
  <c r="CQ155" i="25"/>
  <c r="CP155" i="25"/>
  <c r="CP185" i="25"/>
  <c r="CQ118" i="25"/>
  <c r="CP201" i="25"/>
  <c r="CQ201" i="25"/>
  <c r="CQ62" i="25"/>
  <c r="CP62" i="25"/>
  <c r="CP178" i="25"/>
  <c r="CQ178" i="25"/>
  <c r="CQ110" i="25"/>
  <c r="CP110" i="25"/>
  <c r="CQ34" i="25"/>
  <c r="CP34" i="25"/>
  <c r="CQ92" i="25"/>
  <c r="CP92" i="25"/>
  <c r="CQ117" i="25"/>
  <c r="CP146" i="25"/>
  <c r="CQ177" i="25"/>
  <c r="CP177" i="25"/>
  <c r="CQ86" i="25"/>
  <c r="CQ172" i="25"/>
  <c r="CP172" i="25"/>
  <c r="CP171" i="25"/>
  <c r="CQ171" i="25"/>
  <c r="CP87" i="25"/>
  <c r="CP128" i="25"/>
  <c r="CP67" i="25"/>
  <c r="CQ67" i="25"/>
  <c r="CP113" i="25"/>
  <c r="CQ113" i="25"/>
  <c r="CQ194" i="25"/>
  <c r="CP194" i="25"/>
  <c r="CQ42" i="25"/>
  <c r="CP42" i="25"/>
  <c r="CQ232" i="25"/>
  <c r="CP232" i="25"/>
  <c r="CP167" i="25"/>
  <c r="CP35" i="25"/>
  <c r="CQ35" i="25"/>
  <c r="CQ209" i="25"/>
  <c r="CP209" i="25"/>
  <c r="CQ159" i="25"/>
  <c r="CP157" i="25"/>
  <c r="CP64" i="25"/>
  <c r="CQ64" i="25"/>
  <c r="CQ204" i="25"/>
  <c r="CP204" i="25"/>
  <c r="CP71" i="25"/>
  <c r="CQ111" i="25"/>
  <c r="CP165" i="25"/>
  <c r="CQ184" i="25"/>
  <c r="CP184" i="25"/>
  <c r="CQ108" i="25"/>
  <c r="CP108" i="25"/>
  <c r="CP154" i="25"/>
  <c r="CP27" i="25"/>
  <c r="CQ27" i="25"/>
  <c r="CQ116" i="25"/>
  <c r="CP116" i="25"/>
  <c r="CP176" i="25"/>
  <c r="CQ198" i="25"/>
  <c r="CP198" i="25"/>
  <c r="CP72" i="25"/>
  <c r="CQ72" i="25"/>
  <c r="CP193" i="25"/>
  <c r="CQ193" i="25"/>
  <c r="CP74" i="25"/>
  <c r="CQ74" i="25"/>
  <c r="CQ229" i="25"/>
  <c r="CP229" i="25"/>
  <c r="CQ222" i="25"/>
  <c r="CP222" i="25"/>
  <c r="CQ25" i="25"/>
  <c r="CP25" i="25"/>
  <c r="CP104" i="25"/>
  <c r="CQ104" i="25"/>
  <c r="CQ123" i="25"/>
  <c r="CP123" i="25"/>
  <c r="CP139" i="25"/>
  <c r="CQ139" i="25"/>
  <c r="CP55" i="25"/>
  <c r="CQ55" i="25"/>
  <c r="CP218" i="25"/>
  <c r="CQ218" i="25"/>
  <c r="CQ237" i="25"/>
  <c r="CP237" i="25"/>
  <c r="CQ174" i="25"/>
  <c r="CP174" i="25"/>
  <c r="CP219" i="25"/>
  <c r="CQ219" i="25"/>
  <c r="AI16" i="25"/>
  <c r="AI17" i="25"/>
  <c r="AI18" i="25"/>
  <c r="AI19" i="25"/>
  <c r="AI20" i="25"/>
  <c r="AI21" i="25"/>
  <c r="AI22" i="25"/>
  <c r="AI23" i="25"/>
  <c r="AI24" i="25"/>
  <c r="AI25" i="25"/>
  <c r="AI26" i="25"/>
  <c r="AI27" i="25"/>
  <c r="AI28" i="25"/>
  <c r="AI29" i="25"/>
  <c r="AI30" i="25"/>
  <c r="AI31" i="25"/>
  <c r="AI32" i="25"/>
  <c r="AI33" i="25"/>
  <c r="AI34" i="25"/>
  <c r="AI35" i="25"/>
  <c r="AI36" i="25"/>
  <c r="AI37" i="25"/>
  <c r="AI38" i="25"/>
  <c r="AI39" i="25"/>
  <c r="AI40" i="25"/>
  <c r="AI41" i="25"/>
  <c r="AI42" i="25"/>
  <c r="AI43" i="25"/>
  <c r="AI44" i="25"/>
  <c r="AI45" i="25"/>
  <c r="AI46" i="25"/>
  <c r="AI47" i="25"/>
  <c r="AI48" i="25"/>
  <c r="AI49" i="25"/>
  <c r="AI50" i="25"/>
  <c r="AI51" i="25"/>
  <c r="AI52" i="25"/>
  <c r="AI53" i="25"/>
  <c r="AI54" i="25"/>
  <c r="AI55" i="25"/>
  <c r="AI56" i="25"/>
  <c r="AI57" i="25"/>
  <c r="AI58" i="25"/>
  <c r="AI59" i="25"/>
  <c r="AI60" i="25"/>
  <c r="AI61" i="25"/>
  <c r="AI62" i="25"/>
  <c r="AI63" i="25"/>
  <c r="AI64" i="25"/>
  <c r="AI65" i="25"/>
  <c r="AI66" i="25"/>
  <c r="AI67" i="25"/>
  <c r="AI68" i="25"/>
  <c r="AI69" i="25"/>
  <c r="AI70" i="25"/>
  <c r="AI71" i="25"/>
  <c r="AI72" i="25"/>
  <c r="AI73" i="25"/>
  <c r="AI74" i="25"/>
  <c r="AI75" i="25"/>
  <c r="AI76" i="25"/>
  <c r="AI77" i="25"/>
  <c r="AI78" i="25"/>
  <c r="AI79" i="25"/>
  <c r="AI80" i="25"/>
  <c r="AI81" i="25"/>
  <c r="AI82" i="25"/>
  <c r="AI83" i="25"/>
  <c r="AI84" i="25"/>
  <c r="AI85" i="25"/>
  <c r="AI86" i="25"/>
  <c r="AI87" i="25"/>
  <c r="AI88" i="25"/>
  <c r="AI89" i="25"/>
  <c r="AI90" i="25"/>
  <c r="AI91" i="25"/>
  <c r="AI92" i="25"/>
  <c r="AI93" i="25"/>
  <c r="AI94" i="25"/>
  <c r="AI95" i="25"/>
  <c r="AI96" i="25"/>
  <c r="AI97" i="25"/>
  <c r="AI98" i="25"/>
  <c r="AI99" i="25"/>
  <c r="AI100" i="25"/>
  <c r="AI101" i="25"/>
  <c r="AI102" i="25"/>
  <c r="AI103" i="25"/>
  <c r="AI104" i="25"/>
  <c r="AI105" i="25"/>
  <c r="AI106" i="25"/>
  <c r="AI107" i="25"/>
  <c r="AI108" i="25"/>
  <c r="AI109" i="25"/>
  <c r="AI110" i="25"/>
  <c r="AI111" i="25"/>
  <c r="AI112" i="25"/>
  <c r="AI113" i="25"/>
  <c r="AI114" i="25"/>
  <c r="AI115" i="25"/>
  <c r="AI116" i="25"/>
  <c r="AI117" i="25"/>
  <c r="AI118" i="25"/>
  <c r="AI119" i="25"/>
  <c r="AI120" i="25"/>
  <c r="AI121" i="25"/>
  <c r="AI122" i="25"/>
  <c r="AI123" i="25"/>
  <c r="AI124" i="25"/>
  <c r="AI125" i="25"/>
  <c r="AI126" i="25"/>
  <c r="AI127" i="25"/>
  <c r="AI128" i="25"/>
  <c r="AI129" i="25"/>
  <c r="AI130" i="25"/>
  <c r="AI131" i="25"/>
  <c r="AI132" i="25"/>
  <c r="AI133" i="25"/>
  <c r="AI134" i="25"/>
  <c r="AI135" i="25"/>
  <c r="AI136" i="25"/>
  <c r="AI137" i="25"/>
  <c r="AI138" i="25"/>
  <c r="AI139" i="25"/>
  <c r="AI140" i="25"/>
  <c r="AI141" i="25"/>
  <c r="AI142" i="25"/>
  <c r="AI143" i="25"/>
  <c r="AI144" i="25"/>
  <c r="AI145" i="25"/>
  <c r="AI146" i="25"/>
  <c r="AI147" i="25"/>
  <c r="AI148" i="25"/>
  <c r="AI149" i="25"/>
  <c r="AI150" i="25"/>
  <c r="AI151" i="25"/>
  <c r="AI152" i="25"/>
  <c r="AI153" i="25"/>
  <c r="AI154" i="25"/>
  <c r="AI155" i="25"/>
  <c r="AI156" i="25"/>
  <c r="AI157" i="25"/>
  <c r="AI158" i="25"/>
  <c r="AI159" i="25"/>
  <c r="AI160" i="25"/>
  <c r="AI161" i="25"/>
  <c r="AI162" i="25"/>
  <c r="AI163" i="25"/>
  <c r="AI164" i="25"/>
  <c r="AI165" i="25"/>
  <c r="AI166" i="25"/>
  <c r="AI167" i="25"/>
  <c r="AI168" i="25"/>
  <c r="AI169" i="25"/>
  <c r="AI170" i="25"/>
  <c r="AI171" i="25"/>
  <c r="AI172" i="25"/>
  <c r="AI173" i="25"/>
  <c r="AI174" i="25"/>
  <c r="AI175" i="25"/>
  <c r="AI176" i="25"/>
  <c r="AI177" i="25"/>
  <c r="AI178" i="25"/>
  <c r="AI179" i="25"/>
  <c r="AI180" i="25"/>
  <c r="AI181" i="25"/>
  <c r="AI182" i="25"/>
  <c r="AI183" i="25"/>
  <c r="AI184" i="25"/>
  <c r="AI185" i="25"/>
  <c r="AI186" i="25"/>
  <c r="AI187" i="25"/>
  <c r="AI188" i="25"/>
  <c r="AI189" i="25"/>
  <c r="AI190" i="25"/>
  <c r="AI191" i="25"/>
  <c r="AI192" i="25"/>
  <c r="AI193" i="25"/>
  <c r="AI194" i="25"/>
  <c r="AI195" i="25"/>
  <c r="AI196" i="25"/>
  <c r="AI197" i="25"/>
  <c r="AI198" i="25"/>
  <c r="AI199" i="25"/>
  <c r="AI200" i="25"/>
  <c r="AI201" i="25"/>
  <c r="AI202" i="25"/>
  <c r="AI203" i="25"/>
  <c r="AI204" i="25"/>
  <c r="AI205" i="25"/>
  <c r="AI206" i="25"/>
  <c r="AI207" i="25"/>
  <c r="AI208" i="25"/>
  <c r="AI209" i="25"/>
  <c r="AI210" i="25"/>
  <c r="AI211" i="25"/>
  <c r="AI212" i="25"/>
  <c r="AI213" i="25"/>
  <c r="AI214" i="25"/>
  <c r="AI215" i="25"/>
  <c r="AI216" i="25"/>
  <c r="AI217" i="25"/>
  <c r="AI218" i="25"/>
  <c r="AI219" i="25"/>
  <c r="AI220" i="25"/>
  <c r="AI221" i="25"/>
  <c r="AI222" i="25"/>
  <c r="AI223" i="25"/>
  <c r="AI224" i="25"/>
  <c r="AI225" i="25"/>
  <c r="AI226" i="25"/>
  <c r="AI227" i="25"/>
  <c r="AI228" i="25"/>
  <c r="AI229" i="25"/>
  <c r="AI230" i="25"/>
  <c r="AI231" i="25"/>
  <c r="AI232" i="25"/>
  <c r="AI233" i="25"/>
  <c r="AI234" i="25"/>
  <c r="AI235" i="25"/>
  <c r="AI236" i="25"/>
  <c r="AI237" i="25"/>
  <c r="AI238" i="25"/>
  <c r="AI15" i="25"/>
  <c r="AH20" i="25"/>
  <c r="AH16" i="25"/>
  <c r="AH17" i="25"/>
  <c r="AH18" i="25"/>
  <c r="AH19" i="25"/>
  <c r="AH21" i="25"/>
  <c r="AH22" i="25"/>
  <c r="AH23" i="25"/>
  <c r="AH24" i="25"/>
  <c r="AH25" i="25"/>
  <c r="AH26" i="25"/>
  <c r="AH27" i="25"/>
  <c r="AH28" i="25"/>
  <c r="AH29" i="25"/>
  <c r="AH30" i="25"/>
  <c r="AH31" i="25"/>
  <c r="AH32" i="25"/>
  <c r="AH33" i="25"/>
  <c r="AH34" i="25"/>
  <c r="AH35" i="25"/>
  <c r="AH36" i="25"/>
  <c r="AH37" i="25"/>
  <c r="AH38" i="25"/>
  <c r="AH39" i="25"/>
  <c r="AH40" i="25"/>
  <c r="AH41" i="25"/>
  <c r="AH42" i="25"/>
  <c r="AH43" i="25"/>
  <c r="AH44" i="25"/>
  <c r="AH45" i="25"/>
  <c r="AH46" i="25"/>
  <c r="AH47" i="25"/>
  <c r="AH48" i="25"/>
  <c r="AH49" i="25"/>
  <c r="AH50" i="25"/>
  <c r="AH51" i="25"/>
  <c r="AH52" i="25"/>
  <c r="AH53" i="25"/>
  <c r="AH54" i="25"/>
  <c r="AH55" i="25"/>
  <c r="AH56" i="25"/>
  <c r="AH57" i="25"/>
  <c r="AH58" i="25"/>
  <c r="AH59" i="25"/>
  <c r="AH60" i="25"/>
  <c r="AH61" i="25"/>
  <c r="AH62" i="25"/>
  <c r="AH63" i="25"/>
  <c r="AH64" i="25"/>
  <c r="AH65" i="25"/>
  <c r="AH66" i="25"/>
  <c r="AH67" i="25"/>
  <c r="AH68" i="25"/>
  <c r="AH69" i="25"/>
  <c r="AH70" i="25"/>
  <c r="AH71" i="25"/>
  <c r="AH72" i="25"/>
  <c r="AH73" i="25"/>
  <c r="AH74" i="25"/>
  <c r="AH75" i="25"/>
  <c r="AH76" i="25"/>
  <c r="AH77" i="25"/>
  <c r="AH78" i="25"/>
  <c r="AH79" i="25"/>
  <c r="AH80" i="25"/>
  <c r="AH81" i="25"/>
  <c r="AH82" i="25"/>
  <c r="AH83" i="25"/>
  <c r="AH84" i="25"/>
  <c r="AH85" i="25"/>
  <c r="AH86" i="25"/>
  <c r="AH87" i="25"/>
  <c r="AH88" i="25"/>
  <c r="AH89" i="25"/>
  <c r="AH90" i="25"/>
  <c r="AH91" i="25"/>
  <c r="AH92" i="25"/>
  <c r="AH93" i="25"/>
  <c r="AH94" i="25"/>
  <c r="AH95" i="25"/>
  <c r="AH96" i="25"/>
  <c r="AH97" i="25"/>
  <c r="AH98" i="25"/>
  <c r="AH99" i="25"/>
  <c r="AH100" i="25"/>
  <c r="AH101" i="25"/>
  <c r="AH102" i="25"/>
  <c r="AH103" i="25"/>
  <c r="AH104" i="25"/>
  <c r="AH105" i="25"/>
  <c r="AH106" i="25"/>
  <c r="AH107" i="25"/>
  <c r="AH108" i="25"/>
  <c r="AH109" i="25"/>
  <c r="AH110" i="25"/>
  <c r="AH111" i="25"/>
  <c r="AH112" i="25"/>
  <c r="AH113" i="25"/>
  <c r="AH114" i="25"/>
  <c r="AH115" i="25"/>
  <c r="AH116" i="25"/>
  <c r="AH117" i="25"/>
  <c r="AH118" i="25"/>
  <c r="AH119" i="25"/>
  <c r="AH120" i="25"/>
  <c r="AH121" i="25"/>
  <c r="AH122" i="25"/>
  <c r="AH123" i="25"/>
  <c r="AH124" i="25"/>
  <c r="AH125" i="25"/>
  <c r="AH126" i="25"/>
  <c r="AH127" i="25"/>
  <c r="AH128" i="25"/>
  <c r="AH129" i="25"/>
  <c r="AH130" i="25"/>
  <c r="AH131" i="25"/>
  <c r="AH132" i="25"/>
  <c r="AH133" i="25"/>
  <c r="AH134" i="25"/>
  <c r="AH135" i="25"/>
  <c r="AH136" i="25"/>
  <c r="AH137" i="25"/>
  <c r="AH138" i="25"/>
  <c r="AH139" i="25"/>
  <c r="AH140" i="25"/>
  <c r="AH141" i="25"/>
  <c r="AH142" i="25"/>
  <c r="AH143" i="25"/>
  <c r="AH144" i="25"/>
  <c r="AH145" i="25"/>
  <c r="AH146" i="25"/>
  <c r="AH147" i="25"/>
  <c r="AH148" i="25"/>
  <c r="AH149" i="25"/>
  <c r="AH150" i="25"/>
  <c r="AH151" i="25"/>
  <c r="AH152" i="25"/>
  <c r="AH153" i="25"/>
  <c r="AH154" i="25"/>
  <c r="AH155" i="25"/>
  <c r="AH156" i="25"/>
  <c r="AH157" i="25"/>
  <c r="AH158" i="25"/>
  <c r="AH159" i="25"/>
  <c r="AH160" i="25"/>
  <c r="AH161" i="25"/>
  <c r="AH162" i="25"/>
  <c r="AH163" i="25"/>
  <c r="AH164" i="25"/>
  <c r="AH165" i="25"/>
  <c r="AH166" i="25"/>
  <c r="AH167" i="25"/>
  <c r="AH168" i="25"/>
  <c r="AH169" i="25"/>
  <c r="AH170" i="25"/>
  <c r="AH171" i="25"/>
  <c r="AH172" i="25"/>
  <c r="AH173" i="25"/>
  <c r="AH174" i="25"/>
  <c r="AH175" i="25"/>
  <c r="AH176" i="25"/>
  <c r="AH177" i="25"/>
  <c r="AH178" i="25"/>
  <c r="AH179" i="25"/>
  <c r="AH180" i="25"/>
  <c r="AH181" i="25"/>
  <c r="AH182" i="25"/>
  <c r="AH183" i="25"/>
  <c r="AH184" i="25"/>
  <c r="AH185" i="25"/>
  <c r="AH186" i="25"/>
  <c r="AH187" i="25"/>
  <c r="AH188" i="25"/>
  <c r="AH189" i="25"/>
  <c r="AH190" i="25"/>
  <c r="AH191" i="25"/>
  <c r="AH192" i="25"/>
  <c r="AH193" i="25"/>
  <c r="AH194" i="25"/>
  <c r="AH195" i="25"/>
  <c r="AH196" i="25"/>
  <c r="AH197" i="25"/>
  <c r="AH198" i="25"/>
  <c r="AH199" i="25"/>
  <c r="AH200" i="25"/>
  <c r="AH201" i="25"/>
  <c r="AH202" i="25"/>
  <c r="AH203" i="25"/>
  <c r="AH204" i="25"/>
  <c r="AH205" i="25"/>
  <c r="AH206" i="25"/>
  <c r="AH207" i="25"/>
  <c r="AH208" i="25"/>
  <c r="AH209" i="25"/>
  <c r="AH210" i="25"/>
  <c r="AH211" i="25"/>
  <c r="AH212" i="25"/>
  <c r="AH213" i="25"/>
  <c r="AH214" i="25"/>
  <c r="AH215" i="25"/>
  <c r="AH216" i="25"/>
  <c r="AH217" i="25"/>
  <c r="AH218" i="25"/>
  <c r="AH219" i="25"/>
  <c r="AH220" i="25"/>
  <c r="AH221" i="25"/>
  <c r="AH222" i="25"/>
  <c r="AH223" i="25"/>
  <c r="AH224" i="25"/>
  <c r="AH225" i="25"/>
  <c r="AH226" i="25"/>
  <c r="AH227" i="25"/>
  <c r="AH228" i="25"/>
  <c r="AH229" i="25"/>
  <c r="AH230" i="25"/>
  <c r="AH231" i="25"/>
  <c r="AH232" i="25"/>
  <c r="AH233" i="25"/>
  <c r="AH234" i="25"/>
  <c r="AH235" i="25"/>
  <c r="AH236" i="25"/>
  <c r="AH237" i="25"/>
  <c r="AH238" i="25"/>
  <c r="AH15" i="25"/>
  <c r="AG19" i="25"/>
  <c r="K19" i="25" s="1"/>
  <c r="AG16" i="25"/>
  <c r="K16" i="25" s="1"/>
  <c r="AG17" i="25"/>
  <c r="AG18" i="25"/>
  <c r="AG20" i="25"/>
  <c r="K20" i="25" s="1"/>
  <c r="AG21" i="25"/>
  <c r="AG22" i="25"/>
  <c r="AG23" i="25"/>
  <c r="K23" i="25" s="1"/>
  <c r="AG24" i="25"/>
  <c r="K24" i="25" s="1"/>
  <c r="AG25" i="25"/>
  <c r="AG26" i="25"/>
  <c r="AG27" i="25"/>
  <c r="AG28" i="25"/>
  <c r="K28" i="25" s="1"/>
  <c r="AG29" i="25"/>
  <c r="AG30" i="25"/>
  <c r="K30" i="25" s="1"/>
  <c r="AG31" i="25"/>
  <c r="AG32" i="25"/>
  <c r="AG33" i="25"/>
  <c r="AG34" i="25"/>
  <c r="K34" i="25" s="1"/>
  <c r="AG35" i="25"/>
  <c r="AG36" i="25"/>
  <c r="K36" i="25" s="1"/>
  <c r="AG37" i="25"/>
  <c r="AG38" i="25"/>
  <c r="K38" i="25" s="1"/>
  <c r="AG39" i="25"/>
  <c r="K39" i="25" s="1"/>
  <c r="AG40" i="25"/>
  <c r="K40" i="25" s="1"/>
  <c r="AG41" i="25"/>
  <c r="AG42" i="25"/>
  <c r="AG43" i="25"/>
  <c r="AG44" i="25"/>
  <c r="K44" i="25" s="1"/>
  <c r="AG45" i="25"/>
  <c r="AG46" i="25"/>
  <c r="AG47" i="25"/>
  <c r="K47" i="25" s="1"/>
  <c r="AG48" i="25"/>
  <c r="K48" i="25" s="1"/>
  <c r="AG49" i="25"/>
  <c r="AG50" i="25"/>
  <c r="AG51" i="25"/>
  <c r="AG52" i="25"/>
  <c r="K52" i="25" s="1"/>
  <c r="AG53" i="25"/>
  <c r="AG54" i="25"/>
  <c r="K54" i="25" s="1"/>
  <c r="AG55" i="25"/>
  <c r="K55" i="25" s="1"/>
  <c r="AG56" i="25"/>
  <c r="AG57" i="25"/>
  <c r="AG58" i="25"/>
  <c r="AG59" i="25"/>
  <c r="AG60" i="25"/>
  <c r="K60" i="25" s="1"/>
  <c r="AG61" i="25"/>
  <c r="AG62" i="25"/>
  <c r="K62" i="25" s="1"/>
  <c r="AG63" i="25"/>
  <c r="K63" i="25" s="1"/>
  <c r="AG64" i="25"/>
  <c r="K64" i="25" s="1"/>
  <c r="AG65" i="25"/>
  <c r="AG66" i="25"/>
  <c r="AG67" i="25"/>
  <c r="AG68" i="25"/>
  <c r="K68" i="25" s="1"/>
  <c r="AG69" i="25"/>
  <c r="C51" i="37" s="1"/>
  <c r="F51" i="37" s="1"/>
  <c r="AG70" i="25"/>
  <c r="AG71" i="25"/>
  <c r="AG72" i="25"/>
  <c r="K72" i="25" s="1"/>
  <c r="AG73" i="25"/>
  <c r="K73" i="25" s="1"/>
  <c r="AG74" i="25"/>
  <c r="AG75" i="25"/>
  <c r="AG76" i="25"/>
  <c r="K76" i="25" s="1"/>
  <c r="AG77" i="25"/>
  <c r="AG78" i="25"/>
  <c r="AG79" i="25"/>
  <c r="AG80" i="25"/>
  <c r="K80" i="25" s="1"/>
  <c r="AG81" i="25"/>
  <c r="K81" i="25" s="1"/>
  <c r="AG82" i="25"/>
  <c r="AG83" i="25"/>
  <c r="AG84" i="25"/>
  <c r="K84" i="25" s="1"/>
  <c r="AG85" i="25"/>
  <c r="AG86" i="25"/>
  <c r="K86" i="25" s="1"/>
  <c r="AG87" i="25"/>
  <c r="K87" i="25" s="1"/>
  <c r="AG88" i="25"/>
  <c r="K88" i="25" s="1"/>
  <c r="AG89" i="25"/>
  <c r="AG90" i="25"/>
  <c r="K90" i="25" s="1"/>
  <c r="AG91" i="25"/>
  <c r="AG92" i="25"/>
  <c r="K92" i="25" s="1"/>
  <c r="AG93" i="25"/>
  <c r="AG94" i="25"/>
  <c r="K94" i="25" s="1"/>
  <c r="AG95" i="25"/>
  <c r="AG96" i="25"/>
  <c r="K96" i="25" s="1"/>
  <c r="AG97" i="25"/>
  <c r="AG98" i="25"/>
  <c r="K98" i="25" s="1"/>
  <c r="AG99" i="25"/>
  <c r="AG100" i="25"/>
  <c r="K100" i="25" s="1"/>
  <c r="AG101" i="25"/>
  <c r="AG102" i="25"/>
  <c r="K102" i="25" s="1"/>
  <c r="AG103" i="25"/>
  <c r="AG104" i="25"/>
  <c r="K104" i="25" s="1"/>
  <c r="AG105" i="25"/>
  <c r="AG106" i="25"/>
  <c r="K106" i="25" s="1"/>
  <c r="AG107" i="25"/>
  <c r="AG108" i="25"/>
  <c r="K108" i="25" s="1"/>
  <c r="AG109" i="25"/>
  <c r="K109" i="25" s="1"/>
  <c r="AG110" i="25"/>
  <c r="AG111" i="25"/>
  <c r="AG112" i="25"/>
  <c r="AG113" i="25"/>
  <c r="AG114" i="25"/>
  <c r="K114" i="25" s="1"/>
  <c r="AG115" i="25"/>
  <c r="AG116" i="25"/>
  <c r="K116" i="25" s="1"/>
  <c r="AG117" i="25"/>
  <c r="AG118" i="25"/>
  <c r="K118" i="25" s="1"/>
  <c r="AG119" i="25"/>
  <c r="AG120" i="25"/>
  <c r="K120" i="25" s="1"/>
  <c r="AG121" i="25"/>
  <c r="K121" i="25" s="1"/>
  <c r="AG122" i="25"/>
  <c r="AG123" i="25"/>
  <c r="AG124" i="25"/>
  <c r="K124" i="25" s="1"/>
  <c r="AG125" i="25"/>
  <c r="AG126" i="25"/>
  <c r="AG127" i="25"/>
  <c r="K127" i="25" s="1"/>
  <c r="AG128" i="25"/>
  <c r="K128" i="25" s="1"/>
  <c r="AG129" i="25"/>
  <c r="AG130" i="25"/>
  <c r="AG131" i="25"/>
  <c r="AG132" i="25"/>
  <c r="K132" i="25" s="1"/>
  <c r="AG133" i="25"/>
  <c r="AG134" i="25"/>
  <c r="K134" i="25" s="1"/>
  <c r="AG135" i="25"/>
  <c r="K135" i="25" s="1"/>
  <c r="AG136" i="25"/>
  <c r="AG137" i="25"/>
  <c r="AG138" i="25"/>
  <c r="K138" i="25" s="1"/>
  <c r="AG139" i="25"/>
  <c r="AG140" i="25"/>
  <c r="K140" i="25" s="1"/>
  <c r="AG141" i="25"/>
  <c r="AG142" i="25"/>
  <c r="AG143" i="25"/>
  <c r="AG144" i="25"/>
  <c r="AG145" i="25"/>
  <c r="AG146" i="25"/>
  <c r="AG147" i="25"/>
  <c r="AG148" i="25"/>
  <c r="K148" i="25" s="1"/>
  <c r="AG149" i="25"/>
  <c r="AG150" i="25"/>
  <c r="AG151" i="25"/>
  <c r="AG152" i="25"/>
  <c r="K152" i="25" s="1"/>
  <c r="AG153" i="25"/>
  <c r="AG154" i="25"/>
  <c r="AG155" i="25"/>
  <c r="AG156" i="25"/>
  <c r="K156" i="25" s="1"/>
  <c r="AG157" i="25"/>
  <c r="AG158" i="25"/>
  <c r="AG159" i="25"/>
  <c r="AG160" i="25"/>
  <c r="K160" i="25" s="1"/>
  <c r="AG161" i="25"/>
  <c r="AG162" i="25"/>
  <c r="AG163" i="25"/>
  <c r="AG164" i="25"/>
  <c r="K164" i="25" s="1"/>
  <c r="AG165" i="25"/>
  <c r="AG166" i="25"/>
  <c r="K166" i="25" s="1"/>
  <c r="AG167" i="25"/>
  <c r="K167" i="25" s="1"/>
  <c r="AG168" i="25"/>
  <c r="K168" i="25" s="1"/>
  <c r="AG169" i="25"/>
  <c r="AG170" i="25"/>
  <c r="K170" i="25" s="1"/>
  <c r="AG171" i="25"/>
  <c r="AG172" i="25"/>
  <c r="K172" i="25" s="1"/>
  <c r="AG173" i="25"/>
  <c r="AG174" i="25"/>
  <c r="AG175" i="25"/>
  <c r="AG176" i="25"/>
  <c r="AG177" i="25"/>
  <c r="AG178" i="25"/>
  <c r="AG179" i="25"/>
  <c r="AG180" i="25"/>
  <c r="K180" i="25" s="1"/>
  <c r="AG181" i="25"/>
  <c r="AG182" i="25"/>
  <c r="AG183" i="25"/>
  <c r="AG184" i="25"/>
  <c r="K184" i="25" s="1"/>
  <c r="AG185" i="25"/>
  <c r="AG186" i="25"/>
  <c r="AG187" i="25"/>
  <c r="AG188" i="25"/>
  <c r="K188" i="25" s="1"/>
  <c r="AG189" i="25"/>
  <c r="AG190" i="25"/>
  <c r="AG191" i="25"/>
  <c r="K191" i="25" s="1"/>
  <c r="AG192" i="25"/>
  <c r="K192" i="25" s="1"/>
  <c r="AG193" i="25"/>
  <c r="AG194" i="25"/>
  <c r="AG195" i="25"/>
  <c r="AG196" i="25"/>
  <c r="K196" i="25" s="1"/>
  <c r="AG197" i="25"/>
  <c r="AG198" i="25"/>
  <c r="K198" i="25" s="1"/>
  <c r="AG199" i="25"/>
  <c r="K199" i="25" s="1"/>
  <c r="AG200" i="25"/>
  <c r="AG201" i="25"/>
  <c r="AG202" i="25"/>
  <c r="K202" i="25" s="1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K220" i="25" s="1"/>
  <c r="AG221" i="25"/>
  <c r="AG222" i="25"/>
  <c r="AG223" i="25"/>
  <c r="AG224" i="25"/>
  <c r="K224" i="25" s="1"/>
  <c r="AG225" i="25"/>
  <c r="AG226" i="25"/>
  <c r="AG227" i="25"/>
  <c r="AG228" i="25"/>
  <c r="AG229" i="25"/>
  <c r="AG230" i="25"/>
  <c r="K230" i="25" s="1"/>
  <c r="AG231" i="25"/>
  <c r="K231" i="25" s="1"/>
  <c r="AG232" i="25"/>
  <c r="K232" i="25" s="1"/>
  <c r="AG233" i="25"/>
  <c r="AG234" i="25"/>
  <c r="K234" i="25" s="1"/>
  <c r="AG235" i="25"/>
  <c r="AG236" i="25"/>
  <c r="K236" i="25" s="1"/>
  <c r="AG237" i="25"/>
  <c r="AG238" i="25"/>
  <c r="AF16" i="25"/>
  <c r="J16" i="25" s="1"/>
  <c r="AF17" i="25"/>
  <c r="J17" i="25" s="1"/>
  <c r="AF18" i="25"/>
  <c r="J18" i="25" s="1"/>
  <c r="AF19" i="25"/>
  <c r="J19" i="25" s="1"/>
  <c r="AF20" i="25"/>
  <c r="J20" i="25" s="1"/>
  <c r="AF21" i="25"/>
  <c r="J21" i="25" s="1"/>
  <c r="AF22" i="25"/>
  <c r="J22" i="25" s="1"/>
  <c r="AF23" i="25"/>
  <c r="J23" i="25" s="1"/>
  <c r="AF24" i="25"/>
  <c r="J24" i="25" s="1"/>
  <c r="AF25" i="25"/>
  <c r="J25" i="25" s="1"/>
  <c r="AF26" i="25"/>
  <c r="J26" i="25" s="1"/>
  <c r="AF27" i="25"/>
  <c r="J27" i="25" s="1"/>
  <c r="AF28" i="25"/>
  <c r="J28" i="25" s="1"/>
  <c r="AF29" i="25"/>
  <c r="J29" i="25" s="1"/>
  <c r="AF30" i="25"/>
  <c r="J30" i="25" s="1"/>
  <c r="AF31" i="25"/>
  <c r="J31" i="25" s="1"/>
  <c r="AF32" i="25"/>
  <c r="J32" i="25" s="1"/>
  <c r="AF33" i="25"/>
  <c r="J33" i="25" s="1"/>
  <c r="AF34" i="25"/>
  <c r="J34" i="25" s="1"/>
  <c r="AF35" i="25"/>
  <c r="J35" i="25" s="1"/>
  <c r="AF36" i="25"/>
  <c r="J36" i="25" s="1"/>
  <c r="AF37" i="25"/>
  <c r="J37" i="25" s="1"/>
  <c r="AF38" i="25"/>
  <c r="J38" i="25" s="1"/>
  <c r="AF39" i="25"/>
  <c r="J39" i="25" s="1"/>
  <c r="AF40" i="25"/>
  <c r="J40" i="25" s="1"/>
  <c r="AF41" i="25"/>
  <c r="J41" i="25" s="1"/>
  <c r="AF42" i="25"/>
  <c r="J42" i="25" s="1"/>
  <c r="AF43" i="25"/>
  <c r="J43" i="25" s="1"/>
  <c r="AF44" i="25"/>
  <c r="J44" i="25" s="1"/>
  <c r="AF45" i="25"/>
  <c r="J45" i="25" s="1"/>
  <c r="AF46" i="25"/>
  <c r="J46" i="25" s="1"/>
  <c r="AF47" i="25"/>
  <c r="J47" i="25" s="1"/>
  <c r="AF48" i="25"/>
  <c r="J48" i="25" s="1"/>
  <c r="AF49" i="25"/>
  <c r="J49" i="25" s="1"/>
  <c r="AF50" i="25"/>
  <c r="J50" i="25" s="1"/>
  <c r="AF51" i="25"/>
  <c r="J51" i="25" s="1"/>
  <c r="AF52" i="25"/>
  <c r="J52" i="25" s="1"/>
  <c r="AF53" i="25"/>
  <c r="J53" i="25" s="1"/>
  <c r="AF54" i="25"/>
  <c r="J54" i="25" s="1"/>
  <c r="AF55" i="25"/>
  <c r="J55" i="25" s="1"/>
  <c r="AF56" i="25"/>
  <c r="J56" i="25" s="1"/>
  <c r="AF57" i="25"/>
  <c r="J57" i="25" s="1"/>
  <c r="AF58" i="25"/>
  <c r="J58" i="25" s="1"/>
  <c r="AF59" i="25"/>
  <c r="J59" i="25" s="1"/>
  <c r="AF60" i="25"/>
  <c r="J60" i="25" s="1"/>
  <c r="AF61" i="25"/>
  <c r="J61" i="25" s="1"/>
  <c r="AF62" i="25"/>
  <c r="J62" i="25" s="1"/>
  <c r="AF63" i="25"/>
  <c r="J63" i="25" s="1"/>
  <c r="AF64" i="25"/>
  <c r="J64" i="25" s="1"/>
  <c r="AF65" i="25"/>
  <c r="J65" i="25" s="1"/>
  <c r="AF66" i="25"/>
  <c r="J66" i="25" s="1"/>
  <c r="AF67" i="25"/>
  <c r="J67" i="25" s="1"/>
  <c r="AF68" i="25"/>
  <c r="J68" i="25" s="1"/>
  <c r="AF70" i="25"/>
  <c r="J70" i="25" s="1"/>
  <c r="AF71" i="25"/>
  <c r="J71" i="25" s="1"/>
  <c r="AF72" i="25"/>
  <c r="J72" i="25" s="1"/>
  <c r="AF73" i="25"/>
  <c r="J73" i="25" s="1"/>
  <c r="AF74" i="25"/>
  <c r="J74" i="25" s="1"/>
  <c r="AF75" i="25"/>
  <c r="J75" i="25" s="1"/>
  <c r="AF76" i="25"/>
  <c r="J76" i="25" s="1"/>
  <c r="AF78" i="25"/>
  <c r="J78" i="25" s="1"/>
  <c r="AF79" i="25"/>
  <c r="J79" i="25" s="1"/>
  <c r="AF80" i="25"/>
  <c r="J80" i="25" s="1"/>
  <c r="AF81" i="25"/>
  <c r="J81" i="25" s="1"/>
  <c r="AF82" i="25"/>
  <c r="J82" i="25" s="1"/>
  <c r="AF83" i="25"/>
  <c r="J83" i="25" s="1"/>
  <c r="AF84" i="25"/>
  <c r="J84" i="25" s="1"/>
  <c r="AF85" i="25"/>
  <c r="J85" i="25" s="1"/>
  <c r="AF86" i="25"/>
  <c r="J86" i="25" s="1"/>
  <c r="AF87" i="25"/>
  <c r="J87" i="25" s="1"/>
  <c r="AF88" i="25"/>
  <c r="J88" i="25" s="1"/>
  <c r="AF89" i="25"/>
  <c r="J89" i="25" s="1"/>
  <c r="AF90" i="25"/>
  <c r="J90" i="25" s="1"/>
  <c r="AF91" i="25"/>
  <c r="J91" i="25" s="1"/>
  <c r="AF92" i="25"/>
  <c r="J92" i="25" s="1"/>
  <c r="AF93" i="25"/>
  <c r="J93" i="25" s="1"/>
  <c r="AF94" i="25"/>
  <c r="J94" i="25" s="1"/>
  <c r="AF95" i="25"/>
  <c r="J95" i="25" s="1"/>
  <c r="AF96" i="25"/>
  <c r="J96" i="25" s="1"/>
  <c r="AF97" i="25"/>
  <c r="J97" i="25" s="1"/>
  <c r="AF98" i="25"/>
  <c r="J98" i="25" s="1"/>
  <c r="AF99" i="25"/>
  <c r="J99" i="25" s="1"/>
  <c r="AF100" i="25"/>
  <c r="J100" i="25" s="1"/>
  <c r="AF101" i="25"/>
  <c r="J101" i="25" s="1"/>
  <c r="AF102" i="25"/>
  <c r="J102" i="25" s="1"/>
  <c r="AF103" i="25"/>
  <c r="J103" i="25" s="1"/>
  <c r="AF104" i="25"/>
  <c r="J104" i="25" s="1"/>
  <c r="AF105" i="25"/>
  <c r="J105" i="25" s="1"/>
  <c r="AF106" i="25"/>
  <c r="J106" i="25" s="1"/>
  <c r="AF107" i="25"/>
  <c r="J107" i="25" s="1"/>
  <c r="AF108" i="25"/>
  <c r="J108" i="25" s="1"/>
  <c r="AF109" i="25"/>
  <c r="J109" i="25" s="1"/>
  <c r="AF110" i="25"/>
  <c r="J110" i="25" s="1"/>
  <c r="AF111" i="25"/>
  <c r="J111" i="25" s="1"/>
  <c r="AF112" i="25"/>
  <c r="J112" i="25" s="1"/>
  <c r="AF113" i="25"/>
  <c r="J113" i="25" s="1"/>
  <c r="AF114" i="25"/>
  <c r="J114" i="25" s="1"/>
  <c r="AF115" i="25"/>
  <c r="J115" i="25" s="1"/>
  <c r="AF116" i="25"/>
  <c r="J116" i="25" s="1"/>
  <c r="AF117" i="25"/>
  <c r="J117" i="25" s="1"/>
  <c r="AF118" i="25"/>
  <c r="J118" i="25" s="1"/>
  <c r="AF119" i="25"/>
  <c r="J119" i="25" s="1"/>
  <c r="AF120" i="25"/>
  <c r="J120" i="25" s="1"/>
  <c r="AF121" i="25"/>
  <c r="J121" i="25" s="1"/>
  <c r="AF122" i="25"/>
  <c r="J122" i="25" s="1"/>
  <c r="AF123" i="25"/>
  <c r="J123" i="25" s="1"/>
  <c r="AF124" i="25"/>
  <c r="J124" i="25" s="1"/>
  <c r="AF125" i="25"/>
  <c r="J125" i="25" s="1"/>
  <c r="AF126" i="25"/>
  <c r="J126" i="25" s="1"/>
  <c r="AF127" i="25"/>
  <c r="J127" i="25" s="1"/>
  <c r="AF128" i="25"/>
  <c r="J128" i="25" s="1"/>
  <c r="AF129" i="25"/>
  <c r="J129" i="25" s="1"/>
  <c r="AF130" i="25"/>
  <c r="J130" i="25" s="1"/>
  <c r="AF131" i="25"/>
  <c r="J131" i="25" s="1"/>
  <c r="AF132" i="25"/>
  <c r="J132" i="25" s="1"/>
  <c r="AF133" i="25"/>
  <c r="J133" i="25" s="1"/>
  <c r="AF134" i="25"/>
  <c r="J134" i="25" s="1"/>
  <c r="AF135" i="25"/>
  <c r="J135" i="25" s="1"/>
  <c r="AF136" i="25"/>
  <c r="J136" i="25" s="1"/>
  <c r="AF137" i="25"/>
  <c r="J137" i="25" s="1"/>
  <c r="AF138" i="25"/>
  <c r="J138" i="25" s="1"/>
  <c r="AF139" i="25"/>
  <c r="J139" i="25" s="1"/>
  <c r="AF140" i="25"/>
  <c r="J140" i="25" s="1"/>
  <c r="AF141" i="25"/>
  <c r="J141" i="25" s="1"/>
  <c r="AF142" i="25"/>
  <c r="J142" i="25" s="1"/>
  <c r="AF143" i="25"/>
  <c r="J143" i="25" s="1"/>
  <c r="AF144" i="25"/>
  <c r="J144" i="25" s="1"/>
  <c r="AF145" i="25"/>
  <c r="J145" i="25" s="1"/>
  <c r="AF146" i="25"/>
  <c r="J146" i="25" s="1"/>
  <c r="AF147" i="25"/>
  <c r="J147" i="25" s="1"/>
  <c r="AF148" i="25"/>
  <c r="J148" i="25" s="1"/>
  <c r="AF149" i="25"/>
  <c r="J149" i="25" s="1"/>
  <c r="AF150" i="25"/>
  <c r="J150" i="25" s="1"/>
  <c r="AF151" i="25"/>
  <c r="J151" i="25" s="1"/>
  <c r="AF152" i="25"/>
  <c r="J152" i="25" s="1"/>
  <c r="AF153" i="25"/>
  <c r="J153" i="25" s="1"/>
  <c r="AF154" i="25"/>
  <c r="J154" i="25" s="1"/>
  <c r="AF155" i="25"/>
  <c r="J155" i="25" s="1"/>
  <c r="AF156" i="25"/>
  <c r="J156" i="25" s="1"/>
  <c r="AF157" i="25"/>
  <c r="J157" i="25" s="1"/>
  <c r="AF158" i="25"/>
  <c r="J158" i="25" s="1"/>
  <c r="AF159" i="25"/>
  <c r="J159" i="25" s="1"/>
  <c r="AF160" i="25"/>
  <c r="J160" i="25" s="1"/>
  <c r="AF161" i="25"/>
  <c r="J161" i="25" s="1"/>
  <c r="AF162" i="25"/>
  <c r="J162" i="25" s="1"/>
  <c r="AF163" i="25"/>
  <c r="J163" i="25" s="1"/>
  <c r="AF164" i="25"/>
  <c r="J164" i="25" s="1"/>
  <c r="AF165" i="25"/>
  <c r="J165" i="25" s="1"/>
  <c r="AF166" i="25"/>
  <c r="J166" i="25" s="1"/>
  <c r="AF167" i="25"/>
  <c r="J167" i="25" s="1"/>
  <c r="AF168" i="25"/>
  <c r="J168" i="25" s="1"/>
  <c r="AF169" i="25"/>
  <c r="J169" i="25" s="1"/>
  <c r="AF170" i="25"/>
  <c r="J170" i="25" s="1"/>
  <c r="AF171" i="25"/>
  <c r="J171" i="25" s="1"/>
  <c r="AF172" i="25"/>
  <c r="J172" i="25" s="1"/>
  <c r="AF173" i="25"/>
  <c r="J173" i="25" s="1"/>
  <c r="AF174" i="25"/>
  <c r="J174" i="25" s="1"/>
  <c r="AF175" i="25"/>
  <c r="J175" i="25" s="1"/>
  <c r="AF176" i="25"/>
  <c r="J176" i="25" s="1"/>
  <c r="AF177" i="25"/>
  <c r="J177" i="25" s="1"/>
  <c r="AF178" i="25"/>
  <c r="J178" i="25" s="1"/>
  <c r="AF179" i="25"/>
  <c r="J179" i="25" s="1"/>
  <c r="AF180" i="25"/>
  <c r="J180" i="25" s="1"/>
  <c r="AF181" i="25"/>
  <c r="J181" i="25" s="1"/>
  <c r="AF182" i="25"/>
  <c r="J182" i="25" s="1"/>
  <c r="AF183" i="25"/>
  <c r="J183" i="25" s="1"/>
  <c r="AF184" i="25"/>
  <c r="J184" i="25" s="1"/>
  <c r="AF185" i="25"/>
  <c r="J185" i="25" s="1"/>
  <c r="AF186" i="25"/>
  <c r="J186" i="25" s="1"/>
  <c r="AF187" i="25"/>
  <c r="J187" i="25" s="1"/>
  <c r="AF188" i="25"/>
  <c r="J188" i="25" s="1"/>
  <c r="AF189" i="25"/>
  <c r="J189" i="25" s="1"/>
  <c r="AF190" i="25"/>
  <c r="J190" i="25" s="1"/>
  <c r="AF191" i="25"/>
  <c r="J191" i="25" s="1"/>
  <c r="AF192" i="25"/>
  <c r="J192" i="25" s="1"/>
  <c r="AF193" i="25"/>
  <c r="J193" i="25" s="1"/>
  <c r="AF194" i="25"/>
  <c r="J194" i="25" s="1"/>
  <c r="AF195" i="25"/>
  <c r="J195" i="25" s="1"/>
  <c r="AF196" i="25"/>
  <c r="J196" i="25" s="1"/>
  <c r="AF197" i="25"/>
  <c r="J197" i="25" s="1"/>
  <c r="AF198" i="25"/>
  <c r="J198" i="25" s="1"/>
  <c r="AF199" i="25"/>
  <c r="J199" i="25" s="1"/>
  <c r="AF200" i="25"/>
  <c r="J200" i="25" s="1"/>
  <c r="AF201" i="25"/>
  <c r="J201" i="25" s="1"/>
  <c r="AF202" i="25"/>
  <c r="J202" i="25" s="1"/>
  <c r="AF203" i="25"/>
  <c r="J203" i="25" s="1"/>
  <c r="AF204" i="25"/>
  <c r="J204" i="25" s="1"/>
  <c r="AF205" i="25"/>
  <c r="J205" i="25" s="1"/>
  <c r="AF206" i="25"/>
  <c r="J206" i="25" s="1"/>
  <c r="AF207" i="25"/>
  <c r="J207" i="25" s="1"/>
  <c r="AF208" i="25"/>
  <c r="J208" i="25" s="1"/>
  <c r="AF209" i="25"/>
  <c r="J209" i="25" s="1"/>
  <c r="AF210" i="25"/>
  <c r="J210" i="25" s="1"/>
  <c r="AF211" i="25"/>
  <c r="J211" i="25" s="1"/>
  <c r="AF212" i="25"/>
  <c r="J212" i="25" s="1"/>
  <c r="AF213" i="25"/>
  <c r="J213" i="25" s="1"/>
  <c r="AF214" i="25"/>
  <c r="J214" i="25" s="1"/>
  <c r="AF215" i="25"/>
  <c r="J215" i="25" s="1"/>
  <c r="AF216" i="25"/>
  <c r="J216" i="25" s="1"/>
  <c r="AF217" i="25"/>
  <c r="J217" i="25" s="1"/>
  <c r="AF218" i="25"/>
  <c r="J218" i="25" s="1"/>
  <c r="AF219" i="25"/>
  <c r="J219" i="25" s="1"/>
  <c r="AF220" i="25"/>
  <c r="J220" i="25" s="1"/>
  <c r="AF221" i="25"/>
  <c r="J221" i="25" s="1"/>
  <c r="AF222" i="25"/>
  <c r="J222" i="25" s="1"/>
  <c r="AF223" i="25"/>
  <c r="J223" i="25" s="1"/>
  <c r="AF224" i="25"/>
  <c r="J224" i="25" s="1"/>
  <c r="AF225" i="25"/>
  <c r="J225" i="25" s="1"/>
  <c r="AF226" i="25"/>
  <c r="J226" i="25" s="1"/>
  <c r="AF227" i="25"/>
  <c r="J227" i="25" s="1"/>
  <c r="AF228" i="25"/>
  <c r="J228" i="25" s="1"/>
  <c r="AF229" i="25"/>
  <c r="J229" i="25" s="1"/>
  <c r="AF230" i="25"/>
  <c r="J230" i="25" s="1"/>
  <c r="AF231" i="25"/>
  <c r="J231" i="25" s="1"/>
  <c r="AF232" i="25"/>
  <c r="J232" i="25" s="1"/>
  <c r="AF233" i="25"/>
  <c r="J233" i="25" s="1"/>
  <c r="AF234" i="25"/>
  <c r="J234" i="25" s="1"/>
  <c r="AF235" i="25"/>
  <c r="J235" i="25" s="1"/>
  <c r="AF236" i="25"/>
  <c r="J236" i="25" s="1"/>
  <c r="AF237" i="25"/>
  <c r="J237" i="25" s="1"/>
  <c r="AF238" i="25"/>
  <c r="J238" i="25" s="1"/>
  <c r="AG15" i="25"/>
  <c r="AF15" i="25"/>
  <c r="J69" i="25" l="1"/>
  <c r="C52" i="37"/>
  <c r="F52" i="37" s="1"/>
  <c r="AJ15" i="25"/>
  <c r="J77" i="25"/>
  <c r="AM117" i="25"/>
  <c r="Q117" i="25" s="1"/>
  <c r="L117" i="25"/>
  <c r="AL15" i="25"/>
  <c r="K15" i="25"/>
  <c r="AJ226" i="25"/>
  <c r="N226" i="25" s="1"/>
  <c r="K226" i="25"/>
  <c r="AJ218" i="25"/>
  <c r="N218" i="25" s="1"/>
  <c r="K218" i="25"/>
  <c r="AJ210" i="25"/>
  <c r="N210" i="25" s="1"/>
  <c r="K210" i="25"/>
  <c r="AJ194" i="25"/>
  <c r="N194" i="25" s="1"/>
  <c r="K194" i="25"/>
  <c r="AJ186" i="25"/>
  <c r="N186" i="25" s="1"/>
  <c r="K186" i="25"/>
  <c r="AJ178" i="25"/>
  <c r="N178" i="25" s="1"/>
  <c r="K178" i="25"/>
  <c r="AJ158" i="25"/>
  <c r="N158" i="25" s="1"/>
  <c r="K158" i="25"/>
  <c r="AJ150" i="25"/>
  <c r="N150" i="25" s="1"/>
  <c r="K150" i="25"/>
  <c r="AJ130" i="25"/>
  <c r="N130" i="25" s="1"/>
  <c r="K130" i="25"/>
  <c r="AJ122" i="25"/>
  <c r="N122" i="25" s="1"/>
  <c r="K122" i="25"/>
  <c r="AJ78" i="25"/>
  <c r="N78" i="25" s="1"/>
  <c r="K78" i="25"/>
  <c r="AJ70" i="25"/>
  <c r="N70" i="25" s="1"/>
  <c r="K70" i="25"/>
  <c r="AL66" i="25"/>
  <c r="P66" i="25" s="1"/>
  <c r="K66" i="25"/>
  <c r="AJ58" i="25"/>
  <c r="N58" i="25" s="1"/>
  <c r="K58" i="25"/>
  <c r="AK50" i="25"/>
  <c r="O50" i="25" s="1"/>
  <c r="K50" i="25"/>
  <c r="AJ22" i="25"/>
  <c r="N22" i="25" s="1"/>
  <c r="K22" i="25"/>
  <c r="AM238" i="25"/>
  <c r="Q238" i="25" s="1"/>
  <c r="L238" i="25"/>
  <c r="AM230" i="25"/>
  <c r="Q230" i="25" s="1"/>
  <c r="L230" i="25"/>
  <c r="AM222" i="25"/>
  <c r="Q222" i="25" s="1"/>
  <c r="L222" i="25"/>
  <c r="AM214" i="25"/>
  <c r="Q214" i="25" s="1"/>
  <c r="L214" i="25"/>
  <c r="AM206" i="25"/>
  <c r="Q206" i="25" s="1"/>
  <c r="L206" i="25"/>
  <c r="AM198" i="25"/>
  <c r="Q198" i="25" s="1"/>
  <c r="L198" i="25"/>
  <c r="AM190" i="25"/>
  <c r="Q190" i="25" s="1"/>
  <c r="L190" i="25"/>
  <c r="AM182" i="25"/>
  <c r="Q182" i="25" s="1"/>
  <c r="L182" i="25"/>
  <c r="AM174" i="25"/>
  <c r="Q174" i="25" s="1"/>
  <c r="L174" i="25"/>
  <c r="AM166" i="25"/>
  <c r="Q166" i="25" s="1"/>
  <c r="L166" i="25"/>
  <c r="AM158" i="25"/>
  <c r="Q158" i="25" s="1"/>
  <c r="L158" i="25"/>
  <c r="AM150" i="25"/>
  <c r="Q150" i="25" s="1"/>
  <c r="L150" i="25"/>
  <c r="AM142" i="25"/>
  <c r="Q142" i="25" s="1"/>
  <c r="L142" i="25"/>
  <c r="AM134" i="25"/>
  <c r="Q134" i="25" s="1"/>
  <c r="L134" i="25"/>
  <c r="AM122" i="25"/>
  <c r="Q122" i="25" s="1"/>
  <c r="L122" i="25"/>
  <c r="AM114" i="25"/>
  <c r="Q114" i="25" s="1"/>
  <c r="L114" i="25"/>
  <c r="AM106" i="25"/>
  <c r="Q106" i="25" s="1"/>
  <c r="L106" i="25"/>
  <c r="AM98" i="25"/>
  <c r="Q98" i="25" s="1"/>
  <c r="L98" i="25"/>
  <c r="AM90" i="25"/>
  <c r="Q90" i="25" s="1"/>
  <c r="L90" i="25"/>
  <c r="AM82" i="25"/>
  <c r="Q82" i="25" s="1"/>
  <c r="L82" i="25"/>
  <c r="AM74" i="25"/>
  <c r="Q74" i="25" s="1"/>
  <c r="L74" i="25"/>
  <c r="AM66" i="25"/>
  <c r="Q66" i="25" s="1"/>
  <c r="L66" i="25"/>
  <c r="AM58" i="25"/>
  <c r="Q58" i="25" s="1"/>
  <c r="L58" i="25"/>
  <c r="AM50" i="25"/>
  <c r="Q50" i="25" s="1"/>
  <c r="L50" i="25"/>
  <c r="AM42" i="25"/>
  <c r="Q42" i="25" s="1"/>
  <c r="L42" i="25"/>
  <c r="AM34" i="25"/>
  <c r="Q34" i="25" s="1"/>
  <c r="L34" i="25"/>
  <c r="AM26" i="25"/>
  <c r="Q26" i="25" s="1"/>
  <c r="L26" i="25"/>
  <c r="AM17" i="25"/>
  <c r="Q17" i="25" s="1"/>
  <c r="L17" i="25"/>
  <c r="AN234" i="25"/>
  <c r="R234" i="25" s="1"/>
  <c r="M234" i="25"/>
  <c r="AN226" i="25"/>
  <c r="R226" i="25" s="1"/>
  <c r="M226" i="25"/>
  <c r="AN218" i="25"/>
  <c r="R218" i="25" s="1"/>
  <c r="M218" i="25"/>
  <c r="AN210" i="25"/>
  <c r="R210" i="25" s="1"/>
  <c r="M210" i="25"/>
  <c r="AN198" i="25"/>
  <c r="R198" i="25" s="1"/>
  <c r="M198" i="25"/>
  <c r="AN190" i="25"/>
  <c r="R190" i="25" s="1"/>
  <c r="M190" i="25"/>
  <c r="AN182" i="25"/>
  <c r="R182" i="25" s="1"/>
  <c r="M182" i="25"/>
  <c r="AN174" i="25"/>
  <c r="R174" i="25" s="1"/>
  <c r="M174" i="25"/>
  <c r="AN166" i="25"/>
  <c r="R166" i="25" s="1"/>
  <c r="M166" i="25"/>
  <c r="AN158" i="25"/>
  <c r="R158" i="25" s="1"/>
  <c r="M158" i="25"/>
  <c r="AN150" i="25"/>
  <c r="R150" i="25" s="1"/>
  <c r="M150" i="25"/>
  <c r="AN138" i="25"/>
  <c r="R138" i="25" s="1"/>
  <c r="M138" i="25"/>
  <c r="AN130" i="25"/>
  <c r="R130" i="25" s="1"/>
  <c r="M130" i="25"/>
  <c r="AN122" i="25"/>
  <c r="R122" i="25" s="1"/>
  <c r="M122" i="25"/>
  <c r="AN114" i="25"/>
  <c r="R114" i="25" s="1"/>
  <c r="M114" i="25"/>
  <c r="AN106" i="25"/>
  <c r="R106" i="25" s="1"/>
  <c r="M106" i="25"/>
  <c r="AN98" i="25"/>
  <c r="R98" i="25" s="1"/>
  <c r="M98" i="25"/>
  <c r="AN90" i="25"/>
  <c r="R90" i="25" s="1"/>
  <c r="M90" i="25"/>
  <c r="AN82" i="25"/>
  <c r="R82" i="25" s="1"/>
  <c r="M82" i="25"/>
  <c r="AN74" i="25"/>
  <c r="R74" i="25" s="1"/>
  <c r="M74" i="25"/>
  <c r="AN66" i="25"/>
  <c r="R66" i="25" s="1"/>
  <c r="M66" i="25"/>
  <c r="AN58" i="25"/>
  <c r="R58" i="25" s="1"/>
  <c r="M58" i="25"/>
  <c r="AN50" i="25"/>
  <c r="R50" i="25" s="1"/>
  <c r="M50" i="25"/>
  <c r="AN42" i="25"/>
  <c r="R42" i="25" s="1"/>
  <c r="M42" i="25"/>
  <c r="AN34" i="25"/>
  <c r="R34" i="25" s="1"/>
  <c r="M34" i="25"/>
  <c r="AN30" i="25"/>
  <c r="R30" i="25" s="1"/>
  <c r="M30" i="25"/>
  <c r="AN22" i="25"/>
  <c r="R22" i="25" s="1"/>
  <c r="M22" i="25"/>
  <c r="AL237" i="25"/>
  <c r="K237" i="25"/>
  <c r="AJ225" i="25"/>
  <c r="N225" i="25" s="1"/>
  <c r="K225" i="25"/>
  <c r="AJ217" i="25"/>
  <c r="N217" i="25" s="1"/>
  <c r="K217" i="25"/>
  <c r="AK209" i="25"/>
  <c r="O209" i="25" s="1"/>
  <c r="K209" i="25"/>
  <c r="AJ201" i="25"/>
  <c r="N201" i="25" s="1"/>
  <c r="K201" i="25"/>
  <c r="AL189" i="25"/>
  <c r="P189" i="25" s="1"/>
  <c r="K189" i="25"/>
  <c r="AL181" i="25"/>
  <c r="P181" i="25" s="1"/>
  <c r="K181" i="25"/>
  <c r="AJ169" i="25"/>
  <c r="N169" i="25" s="1"/>
  <c r="K169" i="25"/>
  <c r="AJ161" i="25"/>
  <c r="N161" i="25" s="1"/>
  <c r="K161" i="25"/>
  <c r="AJ153" i="25"/>
  <c r="N153" i="25" s="1"/>
  <c r="K153" i="25"/>
  <c r="AK145" i="25"/>
  <c r="O145" i="25" s="1"/>
  <c r="K145" i="25"/>
  <c r="AJ133" i="25"/>
  <c r="N133" i="25" s="1"/>
  <c r="K133" i="25"/>
  <c r="AJ113" i="25"/>
  <c r="N113" i="25" s="1"/>
  <c r="K113" i="25"/>
  <c r="AK105" i="25"/>
  <c r="O105" i="25" s="1"/>
  <c r="K105" i="25"/>
  <c r="AJ97" i="25"/>
  <c r="N97" i="25" s="1"/>
  <c r="K97" i="25"/>
  <c r="AJ89" i="25"/>
  <c r="N89" i="25" s="1"/>
  <c r="K89" i="25"/>
  <c r="AL85" i="25"/>
  <c r="P85" i="25" s="1"/>
  <c r="K85" i="25"/>
  <c r="AK77" i="25"/>
  <c r="O77" i="25" s="1"/>
  <c r="K77" i="25"/>
  <c r="AJ69" i="25"/>
  <c r="N69" i="25" s="1"/>
  <c r="K69" i="25"/>
  <c r="AK57" i="25"/>
  <c r="O57" i="25" s="1"/>
  <c r="K57" i="25"/>
  <c r="AJ49" i="25"/>
  <c r="N49" i="25" s="1"/>
  <c r="K49" i="25"/>
  <c r="AJ37" i="25"/>
  <c r="N37" i="25" s="1"/>
  <c r="K37" i="25"/>
  <c r="AM233" i="25"/>
  <c r="Q233" i="25" s="1"/>
  <c r="L233" i="25"/>
  <c r="AM221" i="25"/>
  <c r="Q221" i="25" s="1"/>
  <c r="L221" i="25"/>
  <c r="AM213" i="25"/>
  <c r="Q213" i="25" s="1"/>
  <c r="L213" i="25"/>
  <c r="AM201" i="25"/>
  <c r="Q201" i="25" s="1"/>
  <c r="L201" i="25"/>
  <c r="AM189" i="25"/>
  <c r="Q189" i="25" s="1"/>
  <c r="L189" i="25"/>
  <c r="AM177" i="25"/>
  <c r="Q177" i="25" s="1"/>
  <c r="L177" i="25"/>
  <c r="AM157" i="25"/>
  <c r="Q157" i="25" s="1"/>
  <c r="L157" i="25"/>
  <c r="AM121" i="25"/>
  <c r="Q121" i="25" s="1"/>
  <c r="L121" i="25"/>
  <c r="AM105" i="25"/>
  <c r="Q105" i="25" s="1"/>
  <c r="L105" i="25"/>
  <c r="AM97" i="25"/>
  <c r="Q97" i="25" s="1"/>
  <c r="L97" i="25"/>
  <c r="AM89" i="25"/>
  <c r="Q89" i="25" s="1"/>
  <c r="L89" i="25"/>
  <c r="AM81" i="25"/>
  <c r="Q81" i="25" s="1"/>
  <c r="L81" i="25"/>
  <c r="AM73" i="25"/>
  <c r="Q73" i="25" s="1"/>
  <c r="L73" i="25"/>
  <c r="AM65" i="25"/>
  <c r="Q65" i="25" s="1"/>
  <c r="L65" i="25"/>
  <c r="AM57" i="25"/>
  <c r="Q57" i="25" s="1"/>
  <c r="L57" i="25"/>
  <c r="AM49" i="25"/>
  <c r="Q49" i="25" s="1"/>
  <c r="L49" i="25"/>
  <c r="AM41" i="25"/>
  <c r="Q41" i="25" s="1"/>
  <c r="L41" i="25"/>
  <c r="AM33" i="25"/>
  <c r="Q33" i="25" s="1"/>
  <c r="L33" i="25"/>
  <c r="AM25" i="25"/>
  <c r="Q25" i="25" s="1"/>
  <c r="L25" i="25"/>
  <c r="AM16" i="25"/>
  <c r="Q16" i="25" s="1"/>
  <c r="L16" i="25"/>
  <c r="AN233" i="25"/>
  <c r="R233" i="25" s="1"/>
  <c r="M233" i="25"/>
  <c r="AN221" i="25"/>
  <c r="R221" i="25" s="1"/>
  <c r="M221" i="25"/>
  <c r="AN213" i="25"/>
  <c r="R213" i="25" s="1"/>
  <c r="M213" i="25"/>
  <c r="AN205" i="25"/>
  <c r="R205" i="25" s="1"/>
  <c r="M205" i="25"/>
  <c r="AN197" i="25"/>
  <c r="R197" i="25" s="1"/>
  <c r="M197" i="25"/>
  <c r="AN189" i="25"/>
  <c r="R189" i="25" s="1"/>
  <c r="M189" i="25"/>
  <c r="AN181" i="25"/>
  <c r="R181" i="25" s="1"/>
  <c r="M181" i="25"/>
  <c r="AN173" i="25"/>
  <c r="R173" i="25" s="1"/>
  <c r="M173" i="25"/>
  <c r="AN169" i="25"/>
  <c r="R169" i="25" s="1"/>
  <c r="M169" i="25"/>
  <c r="AN161" i="25"/>
  <c r="R161" i="25" s="1"/>
  <c r="M161" i="25"/>
  <c r="AN153" i="25"/>
  <c r="R153" i="25" s="1"/>
  <c r="M153" i="25"/>
  <c r="AN145" i="25"/>
  <c r="R145" i="25" s="1"/>
  <c r="M145" i="25"/>
  <c r="AN133" i="25"/>
  <c r="R133" i="25" s="1"/>
  <c r="M133" i="25"/>
  <c r="AN125" i="25"/>
  <c r="R125" i="25" s="1"/>
  <c r="M125" i="25"/>
  <c r="AN117" i="25"/>
  <c r="R117" i="25" s="1"/>
  <c r="M117" i="25"/>
  <c r="AN109" i="25"/>
  <c r="R109" i="25" s="1"/>
  <c r="M109" i="25"/>
  <c r="AN101" i="25"/>
  <c r="R101" i="25" s="1"/>
  <c r="M101" i="25"/>
  <c r="AN93" i="25"/>
  <c r="R93" i="25" s="1"/>
  <c r="M93" i="25"/>
  <c r="AN85" i="25"/>
  <c r="R85" i="25" s="1"/>
  <c r="M85" i="25"/>
  <c r="AN77" i="25"/>
  <c r="R77" i="25" s="1"/>
  <c r="M77" i="25"/>
  <c r="AN69" i="25"/>
  <c r="R69" i="25" s="1"/>
  <c r="M69" i="25"/>
  <c r="AN61" i="25"/>
  <c r="R61" i="25" s="1"/>
  <c r="M61" i="25"/>
  <c r="AN53" i="25"/>
  <c r="R53" i="25" s="1"/>
  <c r="M53" i="25"/>
  <c r="AN41" i="25"/>
  <c r="R41" i="25" s="1"/>
  <c r="M41" i="25"/>
  <c r="AN33" i="25"/>
  <c r="R33" i="25" s="1"/>
  <c r="M33" i="25"/>
  <c r="AN17" i="25"/>
  <c r="R17" i="25" s="1"/>
  <c r="M17" i="25"/>
  <c r="AL228" i="25"/>
  <c r="P228" i="25" s="1"/>
  <c r="K228" i="25"/>
  <c r="AK216" i="25"/>
  <c r="O216" i="25" s="1"/>
  <c r="K216" i="25"/>
  <c r="AL212" i="25"/>
  <c r="P212" i="25" s="1"/>
  <c r="K212" i="25"/>
  <c r="AJ208" i="25"/>
  <c r="N208" i="25" s="1"/>
  <c r="K208" i="25"/>
  <c r="AL204" i="25"/>
  <c r="P204" i="25" s="1"/>
  <c r="K204" i="25"/>
  <c r="AK200" i="25"/>
  <c r="O200" i="25" s="1"/>
  <c r="K200" i="25"/>
  <c r="AJ176" i="25"/>
  <c r="N176" i="25" s="1"/>
  <c r="K176" i="25"/>
  <c r="AJ144" i="25"/>
  <c r="N144" i="25" s="1"/>
  <c r="K144" i="25"/>
  <c r="AK136" i="25"/>
  <c r="O136" i="25" s="1"/>
  <c r="K136" i="25"/>
  <c r="AJ112" i="25"/>
  <c r="N112" i="25" s="1"/>
  <c r="K112" i="25"/>
  <c r="AJ56" i="25"/>
  <c r="N56" i="25" s="1"/>
  <c r="K56" i="25"/>
  <c r="AJ32" i="25"/>
  <c r="N32" i="25" s="1"/>
  <c r="K32" i="25"/>
  <c r="AM236" i="25"/>
  <c r="Q236" i="25" s="1"/>
  <c r="L236" i="25"/>
  <c r="AM232" i="25"/>
  <c r="Q232" i="25" s="1"/>
  <c r="L232" i="25"/>
  <c r="AM228" i="25"/>
  <c r="Q228" i="25" s="1"/>
  <c r="L228" i="25"/>
  <c r="AM224" i="25"/>
  <c r="Q224" i="25" s="1"/>
  <c r="L224" i="25"/>
  <c r="AM220" i="25"/>
  <c r="Q220" i="25" s="1"/>
  <c r="L220" i="25"/>
  <c r="AM216" i="25"/>
  <c r="Q216" i="25" s="1"/>
  <c r="L216" i="25"/>
  <c r="AM212" i="25"/>
  <c r="Q212" i="25" s="1"/>
  <c r="L212" i="25"/>
  <c r="AM208" i="25"/>
  <c r="Q208" i="25" s="1"/>
  <c r="L208" i="25"/>
  <c r="AM204" i="25"/>
  <c r="Q204" i="25" s="1"/>
  <c r="L204" i="25"/>
  <c r="AM200" i="25"/>
  <c r="Q200" i="25" s="1"/>
  <c r="L200" i="25"/>
  <c r="AM196" i="25"/>
  <c r="Q196" i="25" s="1"/>
  <c r="L196" i="25"/>
  <c r="AM192" i="25"/>
  <c r="Q192" i="25" s="1"/>
  <c r="L192" i="25"/>
  <c r="AM188" i="25"/>
  <c r="Q188" i="25" s="1"/>
  <c r="L188" i="25"/>
  <c r="AM184" i="25"/>
  <c r="Q184" i="25" s="1"/>
  <c r="L184" i="25"/>
  <c r="AM180" i="25"/>
  <c r="Q180" i="25" s="1"/>
  <c r="L180" i="25"/>
  <c r="AM176" i="25"/>
  <c r="Q176" i="25" s="1"/>
  <c r="L176" i="25"/>
  <c r="AM172" i="25"/>
  <c r="Q172" i="25" s="1"/>
  <c r="L172" i="25"/>
  <c r="AM168" i="25"/>
  <c r="Q168" i="25" s="1"/>
  <c r="L168" i="25"/>
  <c r="AM164" i="25"/>
  <c r="Q164" i="25" s="1"/>
  <c r="L164" i="25"/>
  <c r="AM160" i="25"/>
  <c r="Q160" i="25" s="1"/>
  <c r="L160" i="25"/>
  <c r="AM156" i="25"/>
  <c r="Q156" i="25" s="1"/>
  <c r="L156" i="25"/>
  <c r="AM152" i="25"/>
  <c r="Q152" i="25" s="1"/>
  <c r="L152" i="25"/>
  <c r="AM148" i="25"/>
  <c r="Q148" i="25" s="1"/>
  <c r="L148" i="25"/>
  <c r="AM144" i="25"/>
  <c r="Q144" i="25" s="1"/>
  <c r="L144" i="25"/>
  <c r="AM140" i="25"/>
  <c r="Q140" i="25" s="1"/>
  <c r="L140" i="25"/>
  <c r="AM136" i="25"/>
  <c r="Q136" i="25" s="1"/>
  <c r="L136" i="25"/>
  <c r="AM132" i="25"/>
  <c r="Q132" i="25" s="1"/>
  <c r="L132" i="25"/>
  <c r="AM128" i="25"/>
  <c r="Q128" i="25" s="1"/>
  <c r="L128" i="25"/>
  <c r="AM124" i="25"/>
  <c r="Q124" i="25" s="1"/>
  <c r="L124" i="25"/>
  <c r="AM120" i="25"/>
  <c r="Q120" i="25" s="1"/>
  <c r="L120" i="25"/>
  <c r="AM116" i="25"/>
  <c r="Q116" i="25" s="1"/>
  <c r="L116" i="25"/>
  <c r="AM112" i="25"/>
  <c r="Q112" i="25" s="1"/>
  <c r="L112" i="25"/>
  <c r="AM108" i="25"/>
  <c r="Q108" i="25" s="1"/>
  <c r="L108" i="25"/>
  <c r="AM104" i="25"/>
  <c r="Q104" i="25" s="1"/>
  <c r="L104" i="25"/>
  <c r="AM100" i="25"/>
  <c r="Q100" i="25" s="1"/>
  <c r="L100" i="25"/>
  <c r="AM96" i="25"/>
  <c r="Q96" i="25" s="1"/>
  <c r="L96" i="25"/>
  <c r="AM92" i="25"/>
  <c r="Q92" i="25" s="1"/>
  <c r="L92" i="25"/>
  <c r="AM88" i="25"/>
  <c r="Q88" i="25" s="1"/>
  <c r="L88" i="25"/>
  <c r="AM84" i="25"/>
  <c r="Q84" i="25" s="1"/>
  <c r="L84" i="25"/>
  <c r="AM80" i="25"/>
  <c r="Q80" i="25" s="1"/>
  <c r="L80" i="25"/>
  <c r="AM76" i="25"/>
  <c r="Q76" i="25" s="1"/>
  <c r="L76" i="25"/>
  <c r="AM72" i="25"/>
  <c r="Q72" i="25" s="1"/>
  <c r="L72" i="25"/>
  <c r="AM68" i="25"/>
  <c r="Q68" i="25" s="1"/>
  <c r="L68" i="25"/>
  <c r="AM64" i="25"/>
  <c r="Q64" i="25" s="1"/>
  <c r="L64" i="25"/>
  <c r="AM60" i="25"/>
  <c r="Q60" i="25" s="1"/>
  <c r="L60" i="25"/>
  <c r="AM56" i="25"/>
  <c r="Q56" i="25" s="1"/>
  <c r="L56" i="25"/>
  <c r="AM52" i="25"/>
  <c r="Q52" i="25" s="1"/>
  <c r="L52" i="25"/>
  <c r="AM48" i="25"/>
  <c r="Q48" i="25" s="1"/>
  <c r="L48" i="25"/>
  <c r="AM44" i="25"/>
  <c r="Q44" i="25" s="1"/>
  <c r="L44" i="25"/>
  <c r="AM40" i="25"/>
  <c r="Q40" i="25" s="1"/>
  <c r="L40" i="25"/>
  <c r="AM36" i="25"/>
  <c r="Q36" i="25" s="1"/>
  <c r="L36" i="25"/>
  <c r="AM32" i="25"/>
  <c r="Q32" i="25" s="1"/>
  <c r="L32" i="25"/>
  <c r="AM28" i="25"/>
  <c r="Q28" i="25" s="1"/>
  <c r="L28" i="25"/>
  <c r="AM24" i="25"/>
  <c r="Q24" i="25" s="1"/>
  <c r="L24" i="25"/>
  <c r="AM19" i="25"/>
  <c r="Q19" i="25" s="1"/>
  <c r="L19" i="25"/>
  <c r="AM20" i="25"/>
  <c r="Q20" i="25" s="1"/>
  <c r="L20" i="25"/>
  <c r="AN236" i="25"/>
  <c r="R236" i="25" s="1"/>
  <c r="M236" i="25"/>
  <c r="AN232" i="25"/>
  <c r="R232" i="25" s="1"/>
  <c r="M232" i="25"/>
  <c r="AN228" i="25"/>
  <c r="R228" i="25" s="1"/>
  <c r="M228" i="25"/>
  <c r="AN224" i="25"/>
  <c r="R224" i="25" s="1"/>
  <c r="M224" i="25"/>
  <c r="AN220" i="25"/>
  <c r="R220" i="25" s="1"/>
  <c r="M220" i="25"/>
  <c r="AN216" i="25"/>
  <c r="R216" i="25" s="1"/>
  <c r="M216" i="25"/>
  <c r="AN212" i="25"/>
  <c r="R212" i="25" s="1"/>
  <c r="M212" i="25"/>
  <c r="AN208" i="25"/>
  <c r="R208" i="25" s="1"/>
  <c r="M208" i="25"/>
  <c r="AN204" i="25"/>
  <c r="R204" i="25" s="1"/>
  <c r="M204" i="25"/>
  <c r="AN200" i="25"/>
  <c r="R200" i="25" s="1"/>
  <c r="M200" i="25"/>
  <c r="AN196" i="25"/>
  <c r="R196" i="25" s="1"/>
  <c r="M196" i="25"/>
  <c r="AN192" i="25"/>
  <c r="R192" i="25" s="1"/>
  <c r="M192" i="25"/>
  <c r="AN188" i="25"/>
  <c r="R188" i="25" s="1"/>
  <c r="M188" i="25"/>
  <c r="AN184" i="25"/>
  <c r="R184" i="25" s="1"/>
  <c r="M184" i="25"/>
  <c r="AN180" i="25"/>
  <c r="R180" i="25" s="1"/>
  <c r="M180" i="25"/>
  <c r="AN176" i="25"/>
  <c r="R176" i="25" s="1"/>
  <c r="M176" i="25"/>
  <c r="AN172" i="25"/>
  <c r="R172" i="25" s="1"/>
  <c r="M172" i="25"/>
  <c r="AN168" i="25"/>
  <c r="R168" i="25" s="1"/>
  <c r="M168" i="25"/>
  <c r="AN164" i="25"/>
  <c r="R164" i="25" s="1"/>
  <c r="M164" i="25"/>
  <c r="AN160" i="25"/>
  <c r="R160" i="25" s="1"/>
  <c r="M160" i="25"/>
  <c r="AN156" i="25"/>
  <c r="R156" i="25" s="1"/>
  <c r="M156" i="25"/>
  <c r="AN152" i="25"/>
  <c r="R152" i="25" s="1"/>
  <c r="M152" i="25"/>
  <c r="AN148" i="25"/>
  <c r="R148" i="25" s="1"/>
  <c r="M148" i="25"/>
  <c r="AN144" i="25"/>
  <c r="R144" i="25" s="1"/>
  <c r="M144" i="25"/>
  <c r="AN140" i="25"/>
  <c r="R140" i="25" s="1"/>
  <c r="M140" i="25"/>
  <c r="AN136" i="25"/>
  <c r="R136" i="25" s="1"/>
  <c r="M136" i="25"/>
  <c r="AN132" i="25"/>
  <c r="R132" i="25" s="1"/>
  <c r="M132" i="25"/>
  <c r="AN128" i="25"/>
  <c r="R128" i="25" s="1"/>
  <c r="M128" i="25"/>
  <c r="AN124" i="25"/>
  <c r="R124" i="25" s="1"/>
  <c r="M124" i="25"/>
  <c r="AN120" i="25"/>
  <c r="R120" i="25" s="1"/>
  <c r="M120" i="25"/>
  <c r="AN116" i="25"/>
  <c r="R116" i="25" s="1"/>
  <c r="M116" i="25"/>
  <c r="AN112" i="25"/>
  <c r="R112" i="25" s="1"/>
  <c r="M112" i="25"/>
  <c r="AN108" i="25"/>
  <c r="R108" i="25" s="1"/>
  <c r="M108" i="25"/>
  <c r="AN104" i="25"/>
  <c r="R104" i="25" s="1"/>
  <c r="M104" i="25"/>
  <c r="AN100" i="25"/>
  <c r="R100" i="25" s="1"/>
  <c r="M100" i="25"/>
  <c r="AN96" i="25"/>
  <c r="R96" i="25" s="1"/>
  <c r="M96" i="25"/>
  <c r="AN92" i="25"/>
  <c r="R92" i="25" s="1"/>
  <c r="M92" i="25"/>
  <c r="AN88" i="25"/>
  <c r="R88" i="25" s="1"/>
  <c r="M88" i="25"/>
  <c r="AN84" i="25"/>
  <c r="R84" i="25" s="1"/>
  <c r="M84" i="25"/>
  <c r="AN80" i="25"/>
  <c r="R80" i="25" s="1"/>
  <c r="M80" i="25"/>
  <c r="AN76" i="25"/>
  <c r="R76" i="25" s="1"/>
  <c r="M76" i="25"/>
  <c r="AN72" i="25"/>
  <c r="R72" i="25" s="1"/>
  <c r="M72" i="25"/>
  <c r="AN68" i="25"/>
  <c r="R68" i="25" s="1"/>
  <c r="M68" i="25"/>
  <c r="AN64" i="25"/>
  <c r="R64" i="25" s="1"/>
  <c r="M64" i="25"/>
  <c r="AN60" i="25"/>
  <c r="R60" i="25" s="1"/>
  <c r="M60" i="25"/>
  <c r="AN56" i="25"/>
  <c r="R56" i="25" s="1"/>
  <c r="M56" i="25"/>
  <c r="AN52" i="25"/>
  <c r="R52" i="25" s="1"/>
  <c r="M52" i="25"/>
  <c r="AN48" i="25"/>
  <c r="R48" i="25" s="1"/>
  <c r="M48" i="25"/>
  <c r="AN44" i="25"/>
  <c r="R44" i="25" s="1"/>
  <c r="M44" i="25"/>
  <c r="AN40" i="25"/>
  <c r="R40" i="25" s="1"/>
  <c r="M40" i="25"/>
  <c r="AN36" i="25"/>
  <c r="R36" i="25" s="1"/>
  <c r="M36" i="25"/>
  <c r="AN32" i="25"/>
  <c r="R32" i="25" s="1"/>
  <c r="M32" i="25"/>
  <c r="AN28" i="25"/>
  <c r="R28" i="25" s="1"/>
  <c r="M28" i="25"/>
  <c r="AN24" i="25"/>
  <c r="R24" i="25" s="1"/>
  <c r="M24" i="25"/>
  <c r="AN20" i="25"/>
  <c r="R20" i="25" s="1"/>
  <c r="M20" i="25"/>
  <c r="AN16" i="25"/>
  <c r="R16" i="25" s="1"/>
  <c r="M16" i="25"/>
  <c r="AJ238" i="25"/>
  <c r="N238" i="25" s="1"/>
  <c r="K238" i="25"/>
  <c r="AJ222" i="25"/>
  <c r="N222" i="25" s="1"/>
  <c r="K222" i="25"/>
  <c r="AJ214" i="25"/>
  <c r="N214" i="25" s="1"/>
  <c r="K214" i="25"/>
  <c r="AJ206" i="25"/>
  <c r="N206" i="25" s="1"/>
  <c r="K206" i="25"/>
  <c r="AJ190" i="25"/>
  <c r="N190" i="25" s="1"/>
  <c r="K190" i="25"/>
  <c r="AJ182" i="25"/>
  <c r="N182" i="25" s="1"/>
  <c r="K182" i="25"/>
  <c r="AJ174" i="25"/>
  <c r="N174" i="25" s="1"/>
  <c r="K174" i="25"/>
  <c r="AJ162" i="25"/>
  <c r="N162" i="25" s="1"/>
  <c r="K162" i="25"/>
  <c r="AJ154" i="25"/>
  <c r="N154" i="25" s="1"/>
  <c r="K154" i="25"/>
  <c r="AJ146" i="25"/>
  <c r="N146" i="25" s="1"/>
  <c r="K146" i="25"/>
  <c r="AJ142" i="25"/>
  <c r="N142" i="25" s="1"/>
  <c r="K142" i="25"/>
  <c r="AJ126" i="25"/>
  <c r="N126" i="25" s="1"/>
  <c r="K126" i="25"/>
  <c r="AJ110" i="25"/>
  <c r="N110" i="25" s="1"/>
  <c r="K110" i="25"/>
  <c r="AJ82" i="25"/>
  <c r="N82" i="25" s="1"/>
  <c r="K82" i="25"/>
  <c r="AJ74" i="25"/>
  <c r="N74" i="25" s="1"/>
  <c r="K74" i="25"/>
  <c r="AJ46" i="25"/>
  <c r="N46" i="25" s="1"/>
  <c r="K46" i="25"/>
  <c r="AJ42" i="25"/>
  <c r="N42" i="25" s="1"/>
  <c r="K42" i="25"/>
  <c r="AJ26" i="25"/>
  <c r="N26" i="25" s="1"/>
  <c r="K26" i="25"/>
  <c r="AJ17" i="25"/>
  <c r="N17" i="25" s="1"/>
  <c r="K17" i="25"/>
  <c r="AM234" i="25"/>
  <c r="Q234" i="25" s="1"/>
  <c r="L234" i="25"/>
  <c r="AM226" i="25"/>
  <c r="Q226" i="25" s="1"/>
  <c r="L226" i="25"/>
  <c r="AM218" i="25"/>
  <c r="Q218" i="25" s="1"/>
  <c r="L218" i="25"/>
  <c r="AM210" i="25"/>
  <c r="Q210" i="25" s="1"/>
  <c r="L210" i="25"/>
  <c r="AM202" i="25"/>
  <c r="Q202" i="25" s="1"/>
  <c r="L202" i="25"/>
  <c r="AM194" i="25"/>
  <c r="Q194" i="25" s="1"/>
  <c r="L194" i="25"/>
  <c r="AM186" i="25"/>
  <c r="Q186" i="25" s="1"/>
  <c r="L186" i="25"/>
  <c r="AM178" i="25"/>
  <c r="Q178" i="25" s="1"/>
  <c r="L178" i="25"/>
  <c r="AM170" i="25"/>
  <c r="Q170" i="25" s="1"/>
  <c r="L170" i="25"/>
  <c r="AM162" i="25"/>
  <c r="Q162" i="25" s="1"/>
  <c r="L162" i="25"/>
  <c r="AM154" i="25"/>
  <c r="Q154" i="25" s="1"/>
  <c r="L154" i="25"/>
  <c r="AM146" i="25"/>
  <c r="Q146" i="25" s="1"/>
  <c r="L146" i="25"/>
  <c r="AM138" i="25"/>
  <c r="Q138" i="25" s="1"/>
  <c r="L138" i="25"/>
  <c r="AM130" i="25"/>
  <c r="Q130" i="25" s="1"/>
  <c r="L130" i="25"/>
  <c r="AM126" i="25"/>
  <c r="Q126" i="25" s="1"/>
  <c r="L126" i="25"/>
  <c r="AM118" i="25"/>
  <c r="Q118" i="25" s="1"/>
  <c r="L118" i="25"/>
  <c r="AM110" i="25"/>
  <c r="Q110" i="25" s="1"/>
  <c r="L110" i="25"/>
  <c r="AM102" i="25"/>
  <c r="Q102" i="25" s="1"/>
  <c r="L102" i="25"/>
  <c r="AM94" i="25"/>
  <c r="Q94" i="25" s="1"/>
  <c r="L94" i="25"/>
  <c r="AM86" i="25"/>
  <c r="Q86" i="25" s="1"/>
  <c r="L86" i="25"/>
  <c r="AM78" i="25"/>
  <c r="Q78" i="25" s="1"/>
  <c r="L78" i="25"/>
  <c r="AM70" i="25"/>
  <c r="Q70" i="25" s="1"/>
  <c r="L70" i="25"/>
  <c r="AM62" i="25"/>
  <c r="Q62" i="25" s="1"/>
  <c r="L62" i="25"/>
  <c r="AM54" i="25"/>
  <c r="Q54" i="25" s="1"/>
  <c r="L54" i="25"/>
  <c r="AM46" i="25"/>
  <c r="Q46" i="25" s="1"/>
  <c r="L46" i="25"/>
  <c r="AM38" i="25"/>
  <c r="Q38" i="25" s="1"/>
  <c r="L38" i="25"/>
  <c r="AM30" i="25"/>
  <c r="Q30" i="25" s="1"/>
  <c r="L30" i="25"/>
  <c r="AM22" i="25"/>
  <c r="Q22" i="25" s="1"/>
  <c r="L22" i="25"/>
  <c r="AN238" i="25"/>
  <c r="R238" i="25" s="1"/>
  <c r="M238" i="25"/>
  <c r="AN230" i="25"/>
  <c r="R230" i="25" s="1"/>
  <c r="M230" i="25"/>
  <c r="AN222" i="25"/>
  <c r="R222" i="25" s="1"/>
  <c r="M222" i="25"/>
  <c r="AN214" i="25"/>
  <c r="R214" i="25" s="1"/>
  <c r="M214" i="25"/>
  <c r="AN206" i="25"/>
  <c r="R206" i="25" s="1"/>
  <c r="M206" i="25"/>
  <c r="AN202" i="25"/>
  <c r="R202" i="25" s="1"/>
  <c r="M202" i="25"/>
  <c r="AN194" i="25"/>
  <c r="R194" i="25" s="1"/>
  <c r="M194" i="25"/>
  <c r="AN186" i="25"/>
  <c r="R186" i="25" s="1"/>
  <c r="M186" i="25"/>
  <c r="AN178" i="25"/>
  <c r="R178" i="25" s="1"/>
  <c r="M178" i="25"/>
  <c r="AN170" i="25"/>
  <c r="R170" i="25" s="1"/>
  <c r="M170" i="25"/>
  <c r="AN162" i="25"/>
  <c r="R162" i="25" s="1"/>
  <c r="M162" i="25"/>
  <c r="AN154" i="25"/>
  <c r="R154" i="25" s="1"/>
  <c r="M154" i="25"/>
  <c r="AN146" i="25"/>
  <c r="R146" i="25" s="1"/>
  <c r="M146" i="25"/>
  <c r="AN142" i="25"/>
  <c r="R142" i="25" s="1"/>
  <c r="M142" i="25"/>
  <c r="AN134" i="25"/>
  <c r="R134" i="25" s="1"/>
  <c r="M134" i="25"/>
  <c r="AN126" i="25"/>
  <c r="R126" i="25" s="1"/>
  <c r="M126" i="25"/>
  <c r="AN118" i="25"/>
  <c r="R118" i="25" s="1"/>
  <c r="M118" i="25"/>
  <c r="AN110" i="25"/>
  <c r="R110" i="25" s="1"/>
  <c r="M110" i="25"/>
  <c r="AN102" i="25"/>
  <c r="R102" i="25" s="1"/>
  <c r="M102" i="25"/>
  <c r="AN94" i="25"/>
  <c r="R94" i="25" s="1"/>
  <c r="M94" i="25"/>
  <c r="AN86" i="25"/>
  <c r="R86" i="25" s="1"/>
  <c r="M86" i="25"/>
  <c r="AN78" i="25"/>
  <c r="R78" i="25" s="1"/>
  <c r="M78" i="25"/>
  <c r="AN70" i="25"/>
  <c r="R70" i="25" s="1"/>
  <c r="M70" i="25"/>
  <c r="AN62" i="25"/>
  <c r="R62" i="25" s="1"/>
  <c r="M62" i="25"/>
  <c r="AN54" i="25"/>
  <c r="R54" i="25" s="1"/>
  <c r="M54" i="25"/>
  <c r="AN46" i="25"/>
  <c r="R46" i="25" s="1"/>
  <c r="M46" i="25"/>
  <c r="AN38" i="25"/>
  <c r="R38" i="25" s="1"/>
  <c r="M38" i="25"/>
  <c r="AN26" i="25"/>
  <c r="R26" i="25" s="1"/>
  <c r="M26" i="25"/>
  <c r="AN18" i="25"/>
  <c r="R18" i="25" s="1"/>
  <c r="M18" i="25"/>
  <c r="AJ233" i="25"/>
  <c r="N233" i="25" s="1"/>
  <c r="K233" i="25"/>
  <c r="AL229" i="25"/>
  <c r="P229" i="25" s="1"/>
  <c r="K229" i="25"/>
  <c r="AJ221" i="25"/>
  <c r="N221" i="25" s="1"/>
  <c r="K221" i="25"/>
  <c r="AL213" i="25"/>
  <c r="P213" i="25" s="1"/>
  <c r="K213" i="25"/>
  <c r="AL205" i="25"/>
  <c r="P205" i="25" s="1"/>
  <c r="K205" i="25"/>
  <c r="AL197" i="25"/>
  <c r="P197" i="25" s="1"/>
  <c r="K197" i="25"/>
  <c r="AK193" i="25"/>
  <c r="O193" i="25" s="1"/>
  <c r="K193" i="25"/>
  <c r="AJ185" i="25"/>
  <c r="N185" i="25" s="1"/>
  <c r="K185" i="25"/>
  <c r="AJ177" i="25"/>
  <c r="N177" i="25" s="1"/>
  <c r="K177" i="25"/>
  <c r="AL173" i="25"/>
  <c r="P173" i="25" s="1"/>
  <c r="K173" i="25"/>
  <c r="AL165" i="25"/>
  <c r="P165" i="25" s="1"/>
  <c r="K165" i="25"/>
  <c r="AJ157" i="25"/>
  <c r="N157" i="25" s="1"/>
  <c r="K157" i="25"/>
  <c r="AL149" i="25"/>
  <c r="P149" i="25" s="1"/>
  <c r="K149" i="25"/>
  <c r="AK141" i="25"/>
  <c r="O141" i="25" s="1"/>
  <c r="K141" i="25"/>
  <c r="AJ137" i="25"/>
  <c r="N137" i="25" s="1"/>
  <c r="K137" i="25"/>
  <c r="AK129" i="25"/>
  <c r="O129" i="25" s="1"/>
  <c r="K129" i="25"/>
  <c r="AL125" i="25"/>
  <c r="K125" i="25"/>
  <c r="AL117" i="25"/>
  <c r="P117" i="25" s="1"/>
  <c r="K117" i="25"/>
  <c r="AL101" i="25"/>
  <c r="K101" i="25"/>
  <c r="AL93" i="25"/>
  <c r="P93" i="25" s="1"/>
  <c r="K93" i="25"/>
  <c r="AJ65" i="25"/>
  <c r="N65" i="25" s="1"/>
  <c r="K65" i="25"/>
  <c r="AK61" i="25"/>
  <c r="O61" i="25" s="1"/>
  <c r="K61" i="25"/>
  <c r="AJ53" i="25"/>
  <c r="N53" i="25" s="1"/>
  <c r="K53" i="25"/>
  <c r="AJ45" i="25"/>
  <c r="N45" i="25" s="1"/>
  <c r="K45" i="25"/>
  <c r="AL41" i="25"/>
  <c r="P41" i="25" s="1"/>
  <c r="K41" i="25"/>
  <c r="AJ33" i="25"/>
  <c r="N33" i="25" s="1"/>
  <c r="K33" i="25"/>
  <c r="AL29" i="25"/>
  <c r="P29" i="25" s="1"/>
  <c r="K29" i="25"/>
  <c r="AJ25" i="25"/>
  <c r="N25" i="25" s="1"/>
  <c r="K25" i="25"/>
  <c r="AL21" i="25"/>
  <c r="P21" i="25" s="1"/>
  <c r="K21" i="25"/>
  <c r="AM237" i="25"/>
  <c r="Q237" i="25" s="1"/>
  <c r="L237" i="25"/>
  <c r="AM229" i="25"/>
  <c r="Q229" i="25" s="1"/>
  <c r="L229" i="25"/>
  <c r="AM225" i="25"/>
  <c r="Q225" i="25" s="1"/>
  <c r="L225" i="25"/>
  <c r="AM217" i="25"/>
  <c r="Q217" i="25" s="1"/>
  <c r="L217" i="25"/>
  <c r="AM209" i="25"/>
  <c r="Q209" i="25" s="1"/>
  <c r="L209" i="25"/>
  <c r="AM205" i="25"/>
  <c r="Q205" i="25" s="1"/>
  <c r="L205" i="25"/>
  <c r="AM197" i="25"/>
  <c r="Q197" i="25" s="1"/>
  <c r="L197" i="25"/>
  <c r="AM193" i="25"/>
  <c r="Q193" i="25" s="1"/>
  <c r="L193" i="25"/>
  <c r="AM185" i="25"/>
  <c r="Q185" i="25" s="1"/>
  <c r="L185" i="25"/>
  <c r="AM181" i="25"/>
  <c r="Q181" i="25" s="1"/>
  <c r="L181" i="25"/>
  <c r="AM173" i="25"/>
  <c r="Q173" i="25" s="1"/>
  <c r="L173" i="25"/>
  <c r="AM169" i="25"/>
  <c r="Q169" i="25" s="1"/>
  <c r="L169" i="25"/>
  <c r="AM165" i="25"/>
  <c r="Q165" i="25" s="1"/>
  <c r="L165" i="25"/>
  <c r="AM161" i="25"/>
  <c r="Q161" i="25" s="1"/>
  <c r="L161" i="25"/>
  <c r="AM153" i="25"/>
  <c r="Q153" i="25" s="1"/>
  <c r="L153" i="25"/>
  <c r="AM149" i="25"/>
  <c r="Q149" i="25" s="1"/>
  <c r="L149" i="25"/>
  <c r="AM145" i="25"/>
  <c r="Q145" i="25" s="1"/>
  <c r="L145" i="25"/>
  <c r="AM141" i="25"/>
  <c r="Q141" i="25" s="1"/>
  <c r="L141" i="25"/>
  <c r="AM137" i="25"/>
  <c r="Q137" i="25" s="1"/>
  <c r="L137" i="25"/>
  <c r="AM133" i="25"/>
  <c r="Q133" i="25" s="1"/>
  <c r="L133" i="25"/>
  <c r="AM129" i="25"/>
  <c r="Q129" i="25" s="1"/>
  <c r="L129" i="25"/>
  <c r="AM125" i="25"/>
  <c r="Q125" i="25" s="1"/>
  <c r="L125" i="25"/>
  <c r="AM113" i="25"/>
  <c r="Q113" i="25" s="1"/>
  <c r="L113" i="25"/>
  <c r="AM109" i="25"/>
  <c r="Q109" i="25" s="1"/>
  <c r="L109" i="25"/>
  <c r="AM101" i="25"/>
  <c r="Q101" i="25" s="1"/>
  <c r="L101" i="25"/>
  <c r="AM93" i="25"/>
  <c r="Q93" i="25" s="1"/>
  <c r="L93" i="25"/>
  <c r="AM85" i="25"/>
  <c r="Q85" i="25" s="1"/>
  <c r="L85" i="25"/>
  <c r="AM77" i="25"/>
  <c r="L77" i="25"/>
  <c r="AM69" i="25"/>
  <c r="C87" i="37" s="1"/>
  <c r="L69" i="25"/>
  <c r="AM61" i="25"/>
  <c r="Q61" i="25" s="1"/>
  <c r="L61" i="25"/>
  <c r="AM53" i="25"/>
  <c r="Q53" i="25" s="1"/>
  <c r="L53" i="25"/>
  <c r="AM45" i="25"/>
  <c r="Q45" i="25" s="1"/>
  <c r="L45" i="25"/>
  <c r="AM37" i="25"/>
  <c r="Q37" i="25" s="1"/>
  <c r="L37" i="25"/>
  <c r="AM29" i="25"/>
  <c r="Q29" i="25" s="1"/>
  <c r="L29" i="25"/>
  <c r="AM21" i="25"/>
  <c r="Q21" i="25" s="1"/>
  <c r="L21" i="25"/>
  <c r="AN237" i="25"/>
  <c r="R237" i="25" s="1"/>
  <c r="M237" i="25"/>
  <c r="AN229" i="25"/>
  <c r="R229" i="25" s="1"/>
  <c r="M229" i="25"/>
  <c r="AN225" i="25"/>
  <c r="R225" i="25" s="1"/>
  <c r="M225" i="25"/>
  <c r="AN217" i="25"/>
  <c r="R217" i="25" s="1"/>
  <c r="M217" i="25"/>
  <c r="AN209" i="25"/>
  <c r="R209" i="25" s="1"/>
  <c r="M209" i="25"/>
  <c r="AN201" i="25"/>
  <c r="R201" i="25" s="1"/>
  <c r="M201" i="25"/>
  <c r="AN193" i="25"/>
  <c r="R193" i="25" s="1"/>
  <c r="M193" i="25"/>
  <c r="AN185" i="25"/>
  <c r="R185" i="25" s="1"/>
  <c r="M185" i="25"/>
  <c r="AN177" i="25"/>
  <c r="R177" i="25" s="1"/>
  <c r="M177" i="25"/>
  <c r="AN165" i="25"/>
  <c r="R165" i="25" s="1"/>
  <c r="M165" i="25"/>
  <c r="AN157" i="25"/>
  <c r="R157" i="25" s="1"/>
  <c r="M157" i="25"/>
  <c r="AN149" i="25"/>
  <c r="R149" i="25" s="1"/>
  <c r="M149" i="25"/>
  <c r="AN141" i="25"/>
  <c r="R141" i="25" s="1"/>
  <c r="M141" i="25"/>
  <c r="AN137" i="25"/>
  <c r="R137" i="25" s="1"/>
  <c r="M137" i="25"/>
  <c r="AN129" i="25"/>
  <c r="R129" i="25" s="1"/>
  <c r="M129" i="25"/>
  <c r="AN121" i="25"/>
  <c r="R121" i="25" s="1"/>
  <c r="M121" i="25"/>
  <c r="AN113" i="25"/>
  <c r="R113" i="25" s="1"/>
  <c r="M113" i="25"/>
  <c r="AN105" i="25"/>
  <c r="R105" i="25" s="1"/>
  <c r="M105" i="25"/>
  <c r="AN97" i="25"/>
  <c r="R97" i="25" s="1"/>
  <c r="M97" i="25"/>
  <c r="AN89" i="25"/>
  <c r="R89" i="25" s="1"/>
  <c r="M89" i="25"/>
  <c r="AN81" i="25"/>
  <c r="R81" i="25" s="1"/>
  <c r="M81" i="25"/>
  <c r="AN73" i="25"/>
  <c r="R73" i="25" s="1"/>
  <c r="M73" i="25"/>
  <c r="AN65" i="25"/>
  <c r="R65" i="25" s="1"/>
  <c r="M65" i="25"/>
  <c r="AN57" i="25"/>
  <c r="R57" i="25" s="1"/>
  <c r="M57" i="25"/>
  <c r="AN49" i="25"/>
  <c r="R49" i="25" s="1"/>
  <c r="M49" i="25"/>
  <c r="AN45" i="25"/>
  <c r="R45" i="25" s="1"/>
  <c r="M45" i="25"/>
  <c r="AN37" i="25"/>
  <c r="R37" i="25" s="1"/>
  <c r="M37" i="25"/>
  <c r="AN29" i="25"/>
  <c r="R29" i="25" s="1"/>
  <c r="M29" i="25"/>
  <c r="AN25" i="25"/>
  <c r="R25" i="25" s="1"/>
  <c r="M25" i="25"/>
  <c r="AN21" i="25"/>
  <c r="R21" i="25" s="1"/>
  <c r="M21" i="25"/>
  <c r="J15" i="25"/>
  <c r="AL235" i="25"/>
  <c r="P235" i="25" s="1"/>
  <c r="K235" i="25"/>
  <c r="AL227" i="25"/>
  <c r="P227" i="25" s="1"/>
  <c r="K227" i="25"/>
  <c r="AJ223" i="25"/>
  <c r="N223" i="25" s="1"/>
  <c r="K223" i="25"/>
  <c r="AL219" i="25"/>
  <c r="P219" i="25" s="1"/>
  <c r="K219" i="25"/>
  <c r="AK215" i="25"/>
  <c r="O215" i="25" s="1"/>
  <c r="K215" i="25"/>
  <c r="AK211" i="25"/>
  <c r="O211" i="25" s="1"/>
  <c r="K211" i="25"/>
  <c r="AJ207" i="25"/>
  <c r="N207" i="25" s="1"/>
  <c r="K207" i="25"/>
  <c r="AL203" i="25"/>
  <c r="P203" i="25" s="1"/>
  <c r="K203" i="25"/>
  <c r="AL195" i="25"/>
  <c r="P195" i="25" s="1"/>
  <c r="K195" i="25"/>
  <c r="AL187" i="25"/>
  <c r="P187" i="25" s="1"/>
  <c r="K187" i="25"/>
  <c r="AK183" i="25"/>
  <c r="O183" i="25" s="1"/>
  <c r="K183" i="25"/>
  <c r="AL179" i="25"/>
  <c r="K179" i="25"/>
  <c r="AK175" i="25"/>
  <c r="O175" i="25" s="1"/>
  <c r="K175" i="25"/>
  <c r="AJ171" i="25"/>
  <c r="N171" i="25" s="1"/>
  <c r="K171" i="25"/>
  <c r="AL163" i="25"/>
  <c r="P163" i="25" s="1"/>
  <c r="K163" i="25"/>
  <c r="AJ159" i="25"/>
  <c r="N159" i="25" s="1"/>
  <c r="K159" i="25"/>
  <c r="AK155" i="25"/>
  <c r="O155" i="25" s="1"/>
  <c r="K155" i="25"/>
  <c r="AK151" i="25"/>
  <c r="O151" i="25" s="1"/>
  <c r="K151" i="25"/>
  <c r="AL147" i="25"/>
  <c r="P147" i="25" s="1"/>
  <c r="K147" i="25"/>
  <c r="AJ143" i="25"/>
  <c r="N143" i="25" s="1"/>
  <c r="K143" i="25"/>
  <c r="AL139" i="25"/>
  <c r="K139" i="25"/>
  <c r="AJ131" i="25"/>
  <c r="N131" i="25" s="1"/>
  <c r="K131" i="25"/>
  <c r="AL123" i="25"/>
  <c r="P123" i="25" s="1"/>
  <c r="K123" i="25"/>
  <c r="AJ119" i="25"/>
  <c r="N119" i="25" s="1"/>
  <c r="K119" i="25"/>
  <c r="AL115" i="25"/>
  <c r="P115" i="25" s="1"/>
  <c r="K115" i="25"/>
  <c r="AK111" i="25"/>
  <c r="O111" i="25" s="1"/>
  <c r="K111" i="25"/>
  <c r="AL107" i="25"/>
  <c r="P107" i="25" s="1"/>
  <c r="K107" i="25"/>
  <c r="AJ103" i="25"/>
  <c r="N103" i="25" s="1"/>
  <c r="K103" i="25"/>
  <c r="AL99" i="25"/>
  <c r="P99" i="25" s="1"/>
  <c r="K99" i="25"/>
  <c r="AJ95" i="25"/>
  <c r="N95" i="25" s="1"/>
  <c r="K95" i="25"/>
  <c r="AJ91" i="25"/>
  <c r="N91" i="25" s="1"/>
  <c r="K91" i="25"/>
  <c r="AJ83" i="25"/>
  <c r="N83" i="25" s="1"/>
  <c r="K83" i="25"/>
  <c r="AJ79" i="25"/>
  <c r="N79" i="25" s="1"/>
  <c r="K79" i="25"/>
  <c r="AL75" i="25"/>
  <c r="P75" i="25" s="1"/>
  <c r="K75" i="25"/>
  <c r="AJ71" i="25"/>
  <c r="N71" i="25" s="1"/>
  <c r="K71" i="25"/>
  <c r="AL67" i="25"/>
  <c r="P67" i="25" s="1"/>
  <c r="K67" i="25"/>
  <c r="AK59" i="25"/>
  <c r="O59" i="25" s="1"/>
  <c r="K59" i="25"/>
  <c r="AJ51" i="25"/>
  <c r="N51" i="25" s="1"/>
  <c r="K51" i="25"/>
  <c r="AL43" i="25"/>
  <c r="P43" i="25" s="1"/>
  <c r="K43" i="25"/>
  <c r="AL35" i="25"/>
  <c r="P35" i="25" s="1"/>
  <c r="K35" i="25"/>
  <c r="AK31" i="25"/>
  <c r="O31" i="25" s="1"/>
  <c r="K31" i="25"/>
  <c r="AK27" i="25"/>
  <c r="O27" i="25" s="1"/>
  <c r="K27" i="25"/>
  <c r="AJ18" i="25"/>
  <c r="N18" i="25" s="1"/>
  <c r="K18" i="25"/>
  <c r="AM15" i="25"/>
  <c r="Q15" i="25" s="1"/>
  <c r="L15" i="25"/>
  <c r="AM235" i="25"/>
  <c r="Q235" i="25" s="1"/>
  <c r="L235" i="25"/>
  <c r="AM231" i="25"/>
  <c r="Q231" i="25" s="1"/>
  <c r="L231" i="25"/>
  <c r="AM227" i="25"/>
  <c r="Q227" i="25" s="1"/>
  <c r="L227" i="25"/>
  <c r="AM223" i="25"/>
  <c r="Q223" i="25" s="1"/>
  <c r="L223" i="25"/>
  <c r="AM219" i="25"/>
  <c r="Q219" i="25" s="1"/>
  <c r="L219" i="25"/>
  <c r="AM215" i="25"/>
  <c r="Q215" i="25" s="1"/>
  <c r="L215" i="25"/>
  <c r="AM211" i="25"/>
  <c r="Q211" i="25" s="1"/>
  <c r="L211" i="25"/>
  <c r="AM207" i="25"/>
  <c r="Q207" i="25" s="1"/>
  <c r="L207" i="25"/>
  <c r="AM203" i="25"/>
  <c r="Q203" i="25" s="1"/>
  <c r="L203" i="25"/>
  <c r="AM199" i="25"/>
  <c r="Q199" i="25" s="1"/>
  <c r="L199" i="25"/>
  <c r="AM195" i="25"/>
  <c r="Q195" i="25" s="1"/>
  <c r="L195" i="25"/>
  <c r="AM191" i="25"/>
  <c r="Q191" i="25" s="1"/>
  <c r="L191" i="25"/>
  <c r="AM187" i="25"/>
  <c r="Q187" i="25" s="1"/>
  <c r="L187" i="25"/>
  <c r="AM183" i="25"/>
  <c r="Q183" i="25" s="1"/>
  <c r="L183" i="25"/>
  <c r="AM179" i="25"/>
  <c r="Q179" i="25" s="1"/>
  <c r="L179" i="25"/>
  <c r="AM175" i="25"/>
  <c r="Q175" i="25" s="1"/>
  <c r="L175" i="25"/>
  <c r="AM171" i="25"/>
  <c r="Q171" i="25" s="1"/>
  <c r="L171" i="25"/>
  <c r="AM167" i="25"/>
  <c r="Q167" i="25" s="1"/>
  <c r="L167" i="25"/>
  <c r="AM163" i="25"/>
  <c r="Q163" i="25" s="1"/>
  <c r="L163" i="25"/>
  <c r="AM159" i="25"/>
  <c r="Q159" i="25" s="1"/>
  <c r="L159" i="25"/>
  <c r="AM155" i="25"/>
  <c r="Q155" i="25" s="1"/>
  <c r="L155" i="25"/>
  <c r="AM151" i="25"/>
  <c r="Q151" i="25" s="1"/>
  <c r="L151" i="25"/>
  <c r="AM147" i="25"/>
  <c r="Q147" i="25" s="1"/>
  <c r="L147" i="25"/>
  <c r="AM143" i="25"/>
  <c r="Q143" i="25" s="1"/>
  <c r="L143" i="25"/>
  <c r="AM139" i="25"/>
  <c r="Q139" i="25" s="1"/>
  <c r="L139" i="25"/>
  <c r="AM135" i="25"/>
  <c r="Q135" i="25" s="1"/>
  <c r="L135" i="25"/>
  <c r="AM131" i="25"/>
  <c r="Q131" i="25" s="1"/>
  <c r="L131" i="25"/>
  <c r="AM127" i="25"/>
  <c r="Q127" i="25" s="1"/>
  <c r="L127" i="25"/>
  <c r="AM123" i="25"/>
  <c r="Q123" i="25" s="1"/>
  <c r="L123" i="25"/>
  <c r="AM119" i="25"/>
  <c r="Q119" i="25" s="1"/>
  <c r="L119" i="25"/>
  <c r="AM115" i="25"/>
  <c r="Q115" i="25" s="1"/>
  <c r="L115" i="25"/>
  <c r="AM111" i="25"/>
  <c r="Q111" i="25" s="1"/>
  <c r="L111" i="25"/>
  <c r="AM107" i="25"/>
  <c r="Q107" i="25" s="1"/>
  <c r="L107" i="25"/>
  <c r="AM103" i="25"/>
  <c r="Q103" i="25" s="1"/>
  <c r="L103" i="25"/>
  <c r="AM99" i="25"/>
  <c r="Q99" i="25" s="1"/>
  <c r="L99" i="25"/>
  <c r="AM95" i="25"/>
  <c r="Q95" i="25" s="1"/>
  <c r="L95" i="25"/>
  <c r="AM91" i="25"/>
  <c r="Q91" i="25" s="1"/>
  <c r="L91" i="25"/>
  <c r="AM87" i="25"/>
  <c r="Q87" i="25" s="1"/>
  <c r="L87" i="25"/>
  <c r="AM83" i="25"/>
  <c r="Q83" i="25" s="1"/>
  <c r="L83" i="25"/>
  <c r="AM79" i="25"/>
  <c r="Q79" i="25" s="1"/>
  <c r="L79" i="25"/>
  <c r="AM75" i="25"/>
  <c r="Q75" i="25" s="1"/>
  <c r="L75" i="25"/>
  <c r="AM71" i="25"/>
  <c r="Q71" i="25" s="1"/>
  <c r="L71" i="25"/>
  <c r="AM67" i="25"/>
  <c r="Q67" i="25" s="1"/>
  <c r="L67" i="25"/>
  <c r="AM63" i="25"/>
  <c r="Q63" i="25" s="1"/>
  <c r="L63" i="25"/>
  <c r="AM59" i="25"/>
  <c r="Q59" i="25" s="1"/>
  <c r="L59" i="25"/>
  <c r="AM55" i="25"/>
  <c r="Q55" i="25" s="1"/>
  <c r="L55" i="25"/>
  <c r="AM51" i="25"/>
  <c r="Q51" i="25" s="1"/>
  <c r="L51" i="25"/>
  <c r="AM47" i="25"/>
  <c r="Q47" i="25" s="1"/>
  <c r="L47" i="25"/>
  <c r="AM43" i="25"/>
  <c r="Q43" i="25" s="1"/>
  <c r="L43" i="25"/>
  <c r="AM39" i="25"/>
  <c r="Q39" i="25" s="1"/>
  <c r="L39" i="25"/>
  <c r="AM35" i="25"/>
  <c r="Q35" i="25" s="1"/>
  <c r="L35" i="25"/>
  <c r="AM31" i="25"/>
  <c r="Q31" i="25" s="1"/>
  <c r="L31" i="25"/>
  <c r="AM27" i="25"/>
  <c r="Q27" i="25" s="1"/>
  <c r="L27" i="25"/>
  <c r="AM23" i="25"/>
  <c r="Q23" i="25" s="1"/>
  <c r="L23" i="25"/>
  <c r="AM18" i="25"/>
  <c r="Q18" i="25" s="1"/>
  <c r="L18" i="25"/>
  <c r="AN15" i="25"/>
  <c r="R15" i="25" s="1"/>
  <c r="M15" i="25"/>
  <c r="AN235" i="25"/>
  <c r="R235" i="25" s="1"/>
  <c r="M235" i="25"/>
  <c r="AN231" i="25"/>
  <c r="R231" i="25" s="1"/>
  <c r="M231" i="25"/>
  <c r="AN227" i="25"/>
  <c r="R227" i="25" s="1"/>
  <c r="M227" i="25"/>
  <c r="AN223" i="25"/>
  <c r="R223" i="25" s="1"/>
  <c r="M223" i="25"/>
  <c r="AN219" i="25"/>
  <c r="R219" i="25" s="1"/>
  <c r="M219" i="25"/>
  <c r="AN215" i="25"/>
  <c r="R215" i="25" s="1"/>
  <c r="M215" i="25"/>
  <c r="AN211" i="25"/>
  <c r="R211" i="25" s="1"/>
  <c r="M211" i="25"/>
  <c r="AN207" i="25"/>
  <c r="R207" i="25" s="1"/>
  <c r="M207" i="25"/>
  <c r="AN203" i="25"/>
  <c r="R203" i="25" s="1"/>
  <c r="M203" i="25"/>
  <c r="AN199" i="25"/>
  <c r="R199" i="25" s="1"/>
  <c r="M199" i="25"/>
  <c r="AN195" i="25"/>
  <c r="R195" i="25" s="1"/>
  <c r="M195" i="25"/>
  <c r="AN191" i="25"/>
  <c r="R191" i="25" s="1"/>
  <c r="M191" i="25"/>
  <c r="AN187" i="25"/>
  <c r="R187" i="25" s="1"/>
  <c r="M187" i="25"/>
  <c r="AN183" i="25"/>
  <c r="R183" i="25" s="1"/>
  <c r="M183" i="25"/>
  <c r="AN179" i="25"/>
  <c r="R179" i="25" s="1"/>
  <c r="M179" i="25"/>
  <c r="AN175" i="25"/>
  <c r="R175" i="25" s="1"/>
  <c r="M175" i="25"/>
  <c r="AN171" i="25"/>
  <c r="R171" i="25" s="1"/>
  <c r="M171" i="25"/>
  <c r="AN167" i="25"/>
  <c r="R167" i="25" s="1"/>
  <c r="M167" i="25"/>
  <c r="AN163" i="25"/>
  <c r="R163" i="25" s="1"/>
  <c r="M163" i="25"/>
  <c r="AN159" i="25"/>
  <c r="R159" i="25" s="1"/>
  <c r="M159" i="25"/>
  <c r="AN155" i="25"/>
  <c r="R155" i="25" s="1"/>
  <c r="M155" i="25"/>
  <c r="AN151" i="25"/>
  <c r="R151" i="25" s="1"/>
  <c r="M151" i="25"/>
  <c r="AN147" i="25"/>
  <c r="R147" i="25" s="1"/>
  <c r="M147" i="25"/>
  <c r="AN143" i="25"/>
  <c r="R143" i="25" s="1"/>
  <c r="M143" i="25"/>
  <c r="AN139" i="25"/>
  <c r="R139" i="25" s="1"/>
  <c r="M139" i="25"/>
  <c r="AN135" i="25"/>
  <c r="R135" i="25" s="1"/>
  <c r="M135" i="25"/>
  <c r="AN131" i="25"/>
  <c r="R131" i="25" s="1"/>
  <c r="M131" i="25"/>
  <c r="AN127" i="25"/>
  <c r="R127" i="25" s="1"/>
  <c r="M127" i="25"/>
  <c r="AN123" i="25"/>
  <c r="R123" i="25" s="1"/>
  <c r="M123" i="25"/>
  <c r="AN119" i="25"/>
  <c r="R119" i="25" s="1"/>
  <c r="M119" i="25"/>
  <c r="AN115" i="25"/>
  <c r="R115" i="25" s="1"/>
  <c r="M115" i="25"/>
  <c r="AN111" i="25"/>
  <c r="R111" i="25" s="1"/>
  <c r="M111" i="25"/>
  <c r="AN107" i="25"/>
  <c r="R107" i="25" s="1"/>
  <c r="M107" i="25"/>
  <c r="AN103" i="25"/>
  <c r="R103" i="25" s="1"/>
  <c r="M103" i="25"/>
  <c r="AN99" i="25"/>
  <c r="R99" i="25" s="1"/>
  <c r="M99" i="25"/>
  <c r="AN95" i="25"/>
  <c r="R95" i="25" s="1"/>
  <c r="M95" i="25"/>
  <c r="AN91" i="25"/>
  <c r="R91" i="25" s="1"/>
  <c r="M91" i="25"/>
  <c r="AN87" i="25"/>
  <c r="R87" i="25" s="1"/>
  <c r="M87" i="25"/>
  <c r="AN83" i="25"/>
  <c r="R83" i="25" s="1"/>
  <c r="M83" i="25"/>
  <c r="AN79" i="25"/>
  <c r="R79" i="25" s="1"/>
  <c r="M79" i="25"/>
  <c r="AN75" i="25"/>
  <c r="R75" i="25" s="1"/>
  <c r="M75" i="25"/>
  <c r="AN71" i="25"/>
  <c r="R71" i="25" s="1"/>
  <c r="M71" i="25"/>
  <c r="AN67" i="25"/>
  <c r="R67" i="25" s="1"/>
  <c r="M67" i="25"/>
  <c r="AN63" i="25"/>
  <c r="R63" i="25" s="1"/>
  <c r="M63" i="25"/>
  <c r="AN59" i="25"/>
  <c r="R59" i="25" s="1"/>
  <c r="M59" i="25"/>
  <c r="AN55" i="25"/>
  <c r="R55" i="25" s="1"/>
  <c r="M55" i="25"/>
  <c r="AN51" i="25"/>
  <c r="R51" i="25" s="1"/>
  <c r="M51" i="25"/>
  <c r="AN47" i="25"/>
  <c r="R47" i="25" s="1"/>
  <c r="M47" i="25"/>
  <c r="AN43" i="25"/>
  <c r="R43" i="25" s="1"/>
  <c r="M43" i="25"/>
  <c r="AN39" i="25"/>
  <c r="R39" i="25" s="1"/>
  <c r="M39" i="25"/>
  <c r="AN35" i="25"/>
  <c r="R35" i="25" s="1"/>
  <c r="M35" i="25"/>
  <c r="AN31" i="25"/>
  <c r="R31" i="25" s="1"/>
  <c r="M31" i="25"/>
  <c r="AN27" i="25"/>
  <c r="R27" i="25" s="1"/>
  <c r="M27" i="25"/>
  <c r="AN23" i="25"/>
  <c r="R23" i="25" s="1"/>
  <c r="M23" i="25"/>
  <c r="AN19" i="25"/>
  <c r="R19" i="25" s="1"/>
  <c r="M19" i="25"/>
  <c r="AJ81" i="25"/>
  <c r="N81" i="25" s="1"/>
  <c r="AJ98" i="25"/>
  <c r="N98" i="25" s="1"/>
  <c r="AJ114" i="25"/>
  <c r="N114" i="25" s="1"/>
  <c r="AJ118" i="25"/>
  <c r="N118" i="25" s="1"/>
  <c r="AK121" i="25"/>
  <c r="O121" i="25" s="1"/>
  <c r="AK109" i="25"/>
  <c r="O109" i="25" s="1"/>
  <c r="AQ15" i="25"/>
  <c r="AQ17" i="25"/>
  <c r="AJ75" i="25"/>
  <c r="N75" i="25" s="1"/>
  <c r="AQ235" i="25"/>
  <c r="AQ219" i="25"/>
  <c r="AQ215" i="25"/>
  <c r="AQ207" i="25"/>
  <c r="AQ203" i="25"/>
  <c r="AQ199" i="25"/>
  <c r="AQ191" i="25"/>
  <c r="AQ187" i="25"/>
  <c r="AQ183" i="25"/>
  <c r="AQ175" i="25"/>
  <c r="AQ171" i="25"/>
  <c r="AQ167" i="25"/>
  <c r="AQ159" i="25"/>
  <c r="AQ155" i="25"/>
  <c r="AQ151" i="25"/>
  <c r="AQ143" i="25"/>
  <c r="AQ139" i="25"/>
  <c r="AQ135" i="25"/>
  <c r="AQ127" i="25"/>
  <c r="AQ123" i="25"/>
  <c r="AQ119" i="25"/>
  <c r="AQ111" i="25"/>
  <c r="AQ107" i="25"/>
  <c r="AQ103" i="25"/>
  <c r="AQ95" i="25"/>
  <c r="AQ91" i="25"/>
  <c r="AQ87" i="25"/>
  <c r="AQ79" i="25"/>
  <c r="AQ75" i="25"/>
  <c r="AJ155" i="25"/>
  <c r="N155" i="25" s="1"/>
  <c r="AQ231" i="25"/>
  <c r="AQ223" i="25"/>
  <c r="AQ18" i="25"/>
  <c r="AK139" i="25"/>
  <c r="O139" i="25" s="1"/>
  <c r="AL71" i="25"/>
  <c r="AQ237" i="25"/>
  <c r="AQ233" i="25"/>
  <c r="AQ225" i="25"/>
  <c r="AQ221" i="25"/>
  <c r="AQ217" i="25"/>
  <c r="AQ209" i="25"/>
  <c r="AQ205" i="25"/>
  <c r="AQ201" i="25"/>
  <c r="AQ193" i="25"/>
  <c r="AQ189" i="25"/>
  <c r="AQ185" i="25"/>
  <c r="AQ177" i="25"/>
  <c r="AQ173" i="25"/>
  <c r="AQ169" i="25"/>
  <c r="AQ161" i="25"/>
  <c r="AQ157" i="25"/>
  <c r="AQ153" i="25"/>
  <c r="AQ145" i="25"/>
  <c r="AQ141" i="25"/>
  <c r="AQ137" i="25"/>
  <c r="AQ129" i="25"/>
  <c r="AQ125" i="25"/>
  <c r="AQ121" i="25"/>
  <c r="AQ113" i="25"/>
  <c r="AQ109" i="25"/>
  <c r="AQ105" i="25"/>
  <c r="AQ97" i="25"/>
  <c r="AQ93" i="25"/>
  <c r="AQ89" i="25"/>
  <c r="AQ81" i="25"/>
  <c r="AQ77" i="25"/>
  <c r="AQ73" i="25"/>
  <c r="AQ65" i="25"/>
  <c r="AQ57" i="25"/>
  <c r="AQ49" i="25"/>
  <c r="AQ45" i="25"/>
  <c r="AQ41" i="25"/>
  <c r="AQ29" i="25"/>
  <c r="AQ224" i="25"/>
  <c r="AQ192" i="25"/>
  <c r="AQ160" i="25"/>
  <c r="AQ128" i="25"/>
  <c r="AQ96" i="25"/>
  <c r="AQ68" i="25"/>
  <c r="AK207" i="25"/>
  <c r="O207" i="25" s="1"/>
  <c r="AJ115" i="25"/>
  <c r="N115" i="25" s="1"/>
  <c r="AL155" i="25"/>
  <c r="AL103" i="25"/>
  <c r="AJ219" i="25"/>
  <c r="N219" i="25" s="1"/>
  <c r="AK203" i="25"/>
  <c r="O203" i="25" s="1"/>
  <c r="AK147" i="25"/>
  <c r="O147" i="25" s="1"/>
  <c r="AL91" i="25"/>
  <c r="AJ179" i="25"/>
  <c r="N179" i="25" s="1"/>
  <c r="AK143" i="25"/>
  <c r="O143" i="25" s="1"/>
  <c r="AK79" i="25"/>
  <c r="O79" i="25" s="1"/>
  <c r="AL131" i="25"/>
  <c r="AL79" i="25"/>
  <c r="AK102" i="25"/>
  <c r="O102" i="25" s="1"/>
  <c r="AL102" i="25"/>
  <c r="AK86" i="25"/>
  <c r="O86" i="25" s="1"/>
  <c r="AJ86" i="25"/>
  <c r="N86" i="25" s="1"/>
  <c r="AK54" i="25"/>
  <c r="O54" i="25" s="1"/>
  <c r="AL54" i="25"/>
  <c r="AJ54" i="25"/>
  <c r="N54" i="25" s="1"/>
  <c r="AJ50" i="25"/>
  <c r="N50" i="25" s="1"/>
  <c r="AQ238" i="25"/>
  <c r="AQ234" i="25"/>
  <c r="AQ230" i="25"/>
  <c r="AQ226" i="25"/>
  <c r="AQ222" i="25"/>
  <c r="AQ218" i="25"/>
  <c r="AQ214" i="25"/>
  <c r="AQ210" i="25"/>
  <c r="AQ206" i="25"/>
  <c r="AQ202" i="25"/>
  <c r="AQ198" i="25"/>
  <c r="AQ194" i="25"/>
  <c r="AQ190" i="25"/>
  <c r="AQ186" i="25"/>
  <c r="AQ182" i="25"/>
  <c r="AQ178" i="25"/>
  <c r="AQ174" i="25"/>
  <c r="AQ170" i="25"/>
  <c r="AQ166" i="25"/>
  <c r="AQ162" i="25"/>
  <c r="AQ158" i="25"/>
  <c r="AQ154" i="25"/>
  <c r="AL86" i="25"/>
  <c r="AK152" i="25"/>
  <c r="O152" i="25" s="1"/>
  <c r="AL152" i="25"/>
  <c r="AQ208" i="25"/>
  <c r="AQ176" i="25"/>
  <c r="AQ144" i="25"/>
  <c r="AQ112" i="25"/>
  <c r="AQ80" i="25"/>
  <c r="AQ40" i="25"/>
  <c r="AQ236" i="25"/>
  <c r="AQ232" i="25"/>
  <c r="AQ220" i="25"/>
  <c r="AQ216" i="25"/>
  <c r="AQ204" i="25"/>
  <c r="AQ200" i="25"/>
  <c r="AQ188" i="25"/>
  <c r="AQ184" i="25"/>
  <c r="AQ172" i="25"/>
  <c r="AQ168" i="25"/>
  <c r="AQ156" i="25"/>
  <c r="AQ152" i="25"/>
  <c r="AQ140" i="25"/>
  <c r="AQ136" i="25"/>
  <c r="AQ124" i="25"/>
  <c r="AQ120" i="25"/>
  <c r="AQ108" i="25"/>
  <c r="AQ104" i="25"/>
  <c r="AQ92" i="25"/>
  <c r="AQ88" i="25"/>
  <c r="AQ76" i="25"/>
  <c r="AQ72" i="25"/>
  <c r="AQ56" i="25"/>
  <c r="AQ44" i="25"/>
  <c r="AQ36" i="25"/>
  <c r="AQ28" i="25"/>
  <c r="AQ20" i="25"/>
  <c r="AQ211" i="25"/>
  <c r="AQ147" i="25"/>
  <c r="AK171" i="25"/>
  <c r="O171" i="25" s="1"/>
  <c r="AJ147" i="25"/>
  <c r="N147" i="25" s="1"/>
  <c r="AJ123" i="25"/>
  <c r="N123" i="25" s="1"/>
  <c r="AK115" i="25"/>
  <c r="O115" i="25" s="1"/>
  <c r="AK35" i="25"/>
  <c r="O35" i="25" s="1"/>
  <c r="AL211" i="25"/>
  <c r="AQ150" i="25"/>
  <c r="AQ146" i="25"/>
  <c r="AQ142" i="25"/>
  <c r="AQ138" i="25"/>
  <c r="AQ134" i="25"/>
  <c r="AQ130" i="25"/>
  <c r="AQ126" i="25"/>
  <c r="AQ122" i="25"/>
  <c r="AQ118" i="25"/>
  <c r="AQ114" i="25"/>
  <c r="AQ110" i="25"/>
  <c r="AQ106" i="25"/>
  <c r="AQ102" i="25"/>
  <c r="AQ98" i="25"/>
  <c r="AQ94" i="25"/>
  <c r="AQ90" i="25"/>
  <c r="AQ86" i="25"/>
  <c r="AQ82" i="25"/>
  <c r="AQ78" i="25"/>
  <c r="AQ74" i="25"/>
  <c r="AQ70" i="25"/>
  <c r="AQ66" i="25"/>
  <c r="AQ62" i="25"/>
  <c r="AQ58" i="25"/>
  <c r="AQ54" i="25"/>
  <c r="AQ50" i="25"/>
  <c r="AQ46" i="25"/>
  <c r="AQ42" i="25"/>
  <c r="AQ38" i="25"/>
  <c r="AQ34" i="25"/>
  <c r="AQ30" i="25"/>
  <c r="AQ26" i="25"/>
  <c r="AQ22" i="25"/>
  <c r="AK235" i="25"/>
  <c r="O235" i="25" s="1"/>
  <c r="AJ211" i="25"/>
  <c r="N211" i="25" s="1"/>
  <c r="AJ187" i="25"/>
  <c r="N187" i="25" s="1"/>
  <c r="AK179" i="25"/>
  <c r="O179" i="25" s="1"/>
  <c r="AK119" i="25"/>
  <c r="O119" i="25" s="1"/>
  <c r="AK107" i="25"/>
  <c r="O107" i="25" s="1"/>
  <c r="AL207" i="25"/>
  <c r="AL171" i="25"/>
  <c r="AQ229" i="25"/>
  <c r="AQ213" i="25"/>
  <c r="AQ197" i="25"/>
  <c r="AQ181" i="25"/>
  <c r="AQ165" i="25"/>
  <c r="AQ149" i="25"/>
  <c r="AQ133" i="25"/>
  <c r="AQ117" i="25"/>
  <c r="AQ101" i="25"/>
  <c r="AQ85" i="25"/>
  <c r="AQ61" i="25"/>
  <c r="AQ33" i="25"/>
  <c r="AQ25" i="25"/>
  <c r="AJ237" i="25"/>
  <c r="N237" i="25" s="1"/>
  <c r="AK229" i="25"/>
  <c r="O229" i="25" s="1"/>
  <c r="AJ205" i="25"/>
  <c r="N205" i="25" s="1"/>
  <c r="AK197" i="25"/>
  <c r="O197" i="25" s="1"/>
  <c r="AJ173" i="25"/>
  <c r="N173" i="25" s="1"/>
  <c r="AK165" i="25"/>
  <c r="O165" i="25" s="1"/>
  <c r="AJ141" i="25"/>
  <c r="N141" i="25" s="1"/>
  <c r="AK133" i="25"/>
  <c r="O133" i="25" s="1"/>
  <c r="AJ109" i="25"/>
  <c r="N109" i="25" s="1"/>
  <c r="AJ105" i="25"/>
  <c r="N105" i="25" s="1"/>
  <c r="AK101" i="25"/>
  <c r="O101" i="25" s="1"/>
  <c r="AK93" i="25"/>
  <c r="O93" i="25" s="1"/>
  <c r="AJ85" i="25"/>
  <c r="N85" i="25" s="1"/>
  <c r="AJ61" i="25"/>
  <c r="N61" i="25" s="1"/>
  <c r="AL209" i="25"/>
  <c r="P209" i="25" s="1"/>
  <c r="AL157" i="25"/>
  <c r="P157" i="25" s="1"/>
  <c r="AL133" i="25"/>
  <c r="P133" i="25" s="1"/>
  <c r="AL105" i="25"/>
  <c r="P105" i="25" s="1"/>
  <c r="AL57" i="25"/>
  <c r="P57" i="25" s="1"/>
  <c r="AQ69" i="25"/>
  <c r="AQ53" i="25"/>
  <c r="AQ37" i="25"/>
  <c r="AQ21" i="25"/>
  <c r="AK236" i="25"/>
  <c r="O236" i="25" s="1"/>
  <c r="AJ236" i="25"/>
  <c r="N236" i="25" s="1"/>
  <c r="AK232" i="25"/>
  <c r="O232" i="25" s="1"/>
  <c r="AL232" i="25"/>
  <c r="P232" i="25" s="1"/>
  <c r="AK228" i="25"/>
  <c r="O228" i="25" s="1"/>
  <c r="AJ228" i="25"/>
  <c r="N228" i="25" s="1"/>
  <c r="AK224" i="25"/>
  <c r="O224" i="25" s="1"/>
  <c r="AL224" i="25"/>
  <c r="P224" i="25" s="1"/>
  <c r="AK220" i="25"/>
  <c r="O220" i="25" s="1"/>
  <c r="AL220" i="25"/>
  <c r="P220" i="25" s="1"/>
  <c r="AJ220" i="25"/>
  <c r="N220" i="25" s="1"/>
  <c r="AK212" i="25"/>
  <c r="O212" i="25" s="1"/>
  <c r="AJ212" i="25"/>
  <c r="N212" i="25" s="1"/>
  <c r="AK208" i="25"/>
  <c r="O208" i="25" s="1"/>
  <c r="AL208" i="25"/>
  <c r="P208" i="25" s="1"/>
  <c r="AK204" i="25"/>
  <c r="O204" i="25" s="1"/>
  <c r="AJ204" i="25"/>
  <c r="N204" i="25" s="1"/>
  <c r="AK196" i="25"/>
  <c r="O196" i="25" s="1"/>
  <c r="AL196" i="25"/>
  <c r="P196" i="25" s="1"/>
  <c r="AJ196" i="25"/>
  <c r="N196" i="25" s="1"/>
  <c r="AK192" i="25"/>
  <c r="O192" i="25" s="1"/>
  <c r="AL192" i="25"/>
  <c r="P192" i="25" s="1"/>
  <c r="AK188" i="25"/>
  <c r="O188" i="25" s="1"/>
  <c r="AJ188" i="25"/>
  <c r="N188" i="25" s="1"/>
  <c r="AK184" i="25"/>
  <c r="O184" i="25" s="1"/>
  <c r="AL184" i="25"/>
  <c r="P184" i="25" s="1"/>
  <c r="AK180" i="25"/>
  <c r="O180" i="25" s="1"/>
  <c r="AL180" i="25"/>
  <c r="P180" i="25" s="1"/>
  <c r="AJ180" i="25"/>
  <c r="N180" i="25" s="1"/>
  <c r="AK176" i="25"/>
  <c r="O176" i="25" s="1"/>
  <c r="AL176" i="25"/>
  <c r="P176" i="25" s="1"/>
  <c r="AK172" i="25"/>
  <c r="O172" i="25" s="1"/>
  <c r="AL172" i="25"/>
  <c r="P172" i="25" s="1"/>
  <c r="AJ172" i="25"/>
  <c r="N172" i="25" s="1"/>
  <c r="AK168" i="25"/>
  <c r="O168" i="25" s="1"/>
  <c r="AL168" i="25"/>
  <c r="P168" i="25" s="1"/>
  <c r="AK164" i="25"/>
  <c r="O164" i="25" s="1"/>
  <c r="AJ164" i="25"/>
  <c r="N164" i="25" s="1"/>
  <c r="AK160" i="25"/>
  <c r="O160" i="25" s="1"/>
  <c r="AL160" i="25"/>
  <c r="P160" i="25" s="1"/>
  <c r="AK156" i="25"/>
  <c r="O156" i="25" s="1"/>
  <c r="AL156" i="25"/>
  <c r="P156" i="25" s="1"/>
  <c r="AJ156" i="25"/>
  <c r="N156" i="25" s="1"/>
  <c r="AK148" i="25"/>
  <c r="O148" i="25" s="1"/>
  <c r="AJ148" i="25"/>
  <c r="N148" i="25" s="1"/>
  <c r="AK144" i="25"/>
  <c r="O144" i="25" s="1"/>
  <c r="AL144" i="25"/>
  <c r="P144" i="25" s="1"/>
  <c r="AK140" i="25"/>
  <c r="O140" i="25" s="1"/>
  <c r="AJ140" i="25"/>
  <c r="N140" i="25" s="1"/>
  <c r="AK132" i="25"/>
  <c r="O132" i="25" s="1"/>
  <c r="AL132" i="25"/>
  <c r="P132" i="25" s="1"/>
  <c r="AJ132" i="25"/>
  <c r="N132" i="25" s="1"/>
  <c r="AK128" i="25"/>
  <c r="O128" i="25" s="1"/>
  <c r="AL128" i="25"/>
  <c r="P128" i="25" s="1"/>
  <c r="AK124" i="25"/>
  <c r="O124" i="25" s="1"/>
  <c r="AJ124" i="25"/>
  <c r="N124" i="25" s="1"/>
  <c r="AL120" i="25"/>
  <c r="P120" i="25" s="1"/>
  <c r="AK120" i="25"/>
  <c r="O120" i="25" s="1"/>
  <c r="AL116" i="25"/>
  <c r="P116" i="25" s="1"/>
  <c r="AK116" i="25"/>
  <c r="O116" i="25" s="1"/>
  <c r="AJ116" i="25"/>
  <c r="N116" i="25" s="1"/>
  <c r="AL112" i="25"/>
  <c r="P112" i="25" s="1"/>
  <c r="AK112" i="25"/>
  <c r="O112" i="25" s="1"/>
  <c r="AL108" i="25"/>
  <c r="P108" i="25" s="1"/>
  <c r="AK108" i="25"/>
  <c r="O108" i="25" s="1"/>
  <c r="AJ108" i="25"/>
  <c r="N108" i="25" s="1"/>
  <c r="AL104" i="25"/>
  <c r="P104" i="25" s="1"/>
  <c r="AK104" i="25"/>
  <c r="O104" i="25" s="1"/>
  <c r="AL100" i="25"/>
  <c r="P100" i="25" s="1"/>
  <c r="AK100" i="25"/>
  <c r="O100" i="25" s="1"/>
  <c r="AJ100" i="25"/>
  <c r="N100" i="25" s="1"/>
  <c r="AL96" i="25"/>
  <c r="P96" i="25" s="1"/>
  <c r="AK96" i="25"/>
  <c r="O96" i="25" s="1"/>
  <c r="AL92" i="25"/>
  <c r="P92" i="25" s="1"/>
  <c r="AK92" i="25"/>
  <c r="O92" i="25" s="1"/>
  <c r="AJ92" i="25"/>
  <c r="N92" i="25" s="1"/>
  <c r="AL88" i="25"/>
  <c r="P88" i="25" s="1"/>
  <c r="AK88" i="25"/>
  <c r="O88" i="25" s="1"/>
  <c r="AL84" i="25"/>
  <c r="P84" i="25" s="1"/>
  <c r="AK84" i="25"/>
  <c r="O84" i="25" s="1"/>
  <c r="AJ84" i="25"/>
  <c r="N84" i="25" s="1"/>
  <c r="AL80" i="25"/>
  <c r="P80" i="25" s="1"/>
  <c r="AK80" i="25"/>
  <c r="O80" i="25" s="1"/>
  <c r="AJ80" i="25"/>
  <c r="N80" i="25" s="1"/>
  <c r="AL76" i="25"/>
  <c r="P76" i="25" s="1"/>
  <c r="AK76" i="25"/>
  <c r="O76" i="25" s="1"/>
  <c r="AJ76" i="25"/>
  <c r="N76" i="25" s="1"/>
  <c r="AL72" i="25"/>
  <c r="P72" i="25" s="1"/>
  <c r="AK72" i="25"/>
  <c r="O72" i="25" s="1"/>
  <c r="AL68" i="25"/>
  <c r="P68" i="25" s="1"/>
  <c r="AK68" i="25"/>
  <c r="O68" i="25" s="1"/>
  <c r="AJ68" i="25"/>
  <c r="N68" i="25" s="1"/>
  <c r="AL64" i="25"/>
  <c r="P64" i="25" s="1"/>
  <c r="AK64" i="25"/>
  <c r="O64" i="25" s="1"/>
  <c r="AL60" i="25"/>
  <c r="P60" i="25" s="1"/>
  <c r="AK60" i="25"/>
  <c r="O60" i="25" s="1"/>
  <c r="AJ60" i="25"/>
  <c r="N60" i="25" s="1"/>
  <c r="AL56" i="25"/>
  <c r="P56" i="25" s="1"/>
  <c r="AK56" i="25"/>
  <c r="O56" i="25" s="1"/>
  <c r="AL52" i="25"/>
  <c r="P52" i="25" s="1"/>
  <c r="AK52" i="25"/>
  <c r="O52" i="25" s="1"/>
  <c r="AJ52" i="25"/>
  <c r="N52" i="25" s="1"/>
  <c r="AL48" i="25"/>
  <c r="P48" i="25" s="1"/>
  <c r="AK48" i="25"/>
  <c r="O48" i="25" s="1"/>
  <c r="AJ48" i="25"/>
  <c r="N48" i="25" s="1"/>
  <c r="AL44" i="25"/>
  <c r="P44" i="25" s="1"/>
  <c r="AK44" i="25"/>
  <c r="O44" i="25" s="1"/>
  <c r="AJ44" i="25"/>
  <c r="N44" i="25" s="1"/>
  <c r="AL40" i="25"/>
  <c r="P40" i="25" s="1"/>
  <c r="AK40" i="25"/>
  <c r="O40" i="25" s="1"/>
  <c r="AL36" i="25"/>
  <c r="P36" i="25" s="1"/>
  <c r="AK36" i="25"/>
  <c r="O36" i="25" s="1"/>
  <c r="AJ36" i="25"/>
  <c r="N36" i="25" s="1"/>
  <c r="AL32" i="25"/>
  <c r="P32" i="25" s="1"/>
  <c r="AK32" i="25"/>
  <c r="O32" i="25" s="1"/>
  <c r="AL28" i="25"/>
  <c r="P28" i="25" s="1"/>
  <c r="AK28" i="25"/>
  <c r="O28" i="25" s="1"/>
  <c r="AJ28" i="25"/>
  <c r="N28" i="25" s="1"/>
  <c r="AL24" i="25"/>
  <c r="P24" i="25" s="1"/>
  <c r="AK24" i="25"/>
  <c r="O24" i="25" s="1"/>
  <c r="AL20" i="25"/>
  <c r="P20" i="25" s="1"/>
  <c r="AK20" i="25"/>
  <c r="O20" i="25" s="1"/>
  <c r="AJ20" i="25"/>
  <c r="N20" i="25" s="1"/>
  <c r="AL19" i="25"/>
  <c r="P19" i="25" s="1"/>
  <c r="AK19" i="25"/>
  <c r="O19" i="25" s="1"/>
  <c r="AQ228" i="25"/>
  <c r="AQ212" i="25"/>
  <c r="AQ196" i="25"/>
  <c r="AQ180" i="25"/>
  <c r="AQ164" i="25"/>
  <c r="AQ148" i="25"/>
  <c r="AQ132" i="25"/>
  <c r="AQ116" i="25"/>
  <c r="AQ100" i="25"/>
  <c r="AQ84" i="25"/>
  <c r="AQ60" i="25"/>
  <c r="AQ52" i="25"/>
  <c r="AQ24" i="25"/>
  <c r="AJ232" i="25"/>
  <c r="N232" i="25" s="1"/>
  <c r="AJ229" i="25"/>
  <c r="N229" i="25" s="1"/>
  <c r="AK221" i="25"/>
  <c r="O221" i="25" s="1"/>
  <c r="AJ200" i="25"/>
  <c r="N200" i="25" s="1"/>
  <c r="AJ197" i="25"/>
  <c r="N197" i="25" s="1"/>
  <c r="AJ193" i="25"/>
  <c r="N193" i="25" s="1"/>
  <c r="AK189" i="25"/>
  <c r="O189" i="25" s="1"/>
  <c r="AJ168" i="25"/>
  <c r="N168" i="25" s="1"/>
  <c r="AJ165" i="25"/>
  <c r="N165" i="25" s="1"/>
  <c r="AK157" i="25"/>
  <c r="O157" i="25" s="1"/>
  <c r="AJ136" i="25"/>
  <c r="N136" i="25" s="1"/>
  <c r="AJ129" i="25"/>
  <c r="N129" i="25" s="1"/>
  <c r="AK125" i="25"/>
  <c r="O125" i="25" s="1"/>
  <c r="AJ104" i="25"/>
  <c r="N104" i="25" s="1"/>
  <c r="AJ101" i="25"/>
  <c r="N101" i="25" s="1"/>
  <c r="AJ93" i="25"/>
  <c r="N93" i="25" s="1"/>
  <c r="AJ88" i="25"/>
  <c r="N88" i="25" s="1"/>
  <c r="AJ64" i="25"/>
  <c r="N64" i="25" s="1"/>
  <c r="AK45" i="25"/>
  <c r="O45" i="25" s="1"/>
  <c r="AJ40" i="25"/>
  <c r="N40" i="25" s="1"/>
  <c r="AK21" i="25"/>
  <c r="O21" i="25" s="1"/>
  <c r="AL236" i="25"/>
  <c r="P236" i="25" s="1"/>
  <c r="AL221" i="25"/>
  <c r="P221" i="25" s="1"/>
  <c r="AL193" i="25"/>
  <c r="P193" i="25" s="1"/>
  <c r="AL188" i="25"/>
  <c r="P188" i="25" s="1"/>
  <c r="AL141" i="25"/>
  <c r="P141" i="25" s="1"/>
  <c r="AL136" i="25"/>
  <c r="P136" i="25" s="1"/>
  <c r="AL109" i="25"/>
  <c r="P109" i="25" s="1"/>
  <c r="AL45" i="25"/>
  <c r="P45" i="25" s="1"/>
  <c r="AQ64" i="25"/>
  <c r="AQ48" i="25"/>
  <c r="AQ32" i="25"/>
  <c r="AQ16" i="25"/>
  <c r="AL231" i="25"/>
  <c r="P231" i="25" s="1"/>
  <c r="AJ231" i="25"/>
  <c r="N231" i="25" s="1"/>
  <c r="AL215" i="25"/>
  <c r="P215" i="25" s="1"/>
  <c r="AJ215" i="25"/>
  <c r="N215" i="25" s="1"/>
  <c r="AL199" i="25"/>
  <c r="P199" i="25" s="1"/>
  <c r="AJ199" i="25"/>
  <c r="N199" i="25" s="1"/>
  <c r="AL191" i="25"/>
  <c r="P191" i="25" s="1"/>
  <c r="AJ191" i="25"/>
  <c r="N191" i="25" s="1"/>
  <c r="AL183" i="25"/>
  <c r="P183" i="25" s="1"/>
  <c r="AJ183" i="25"/>
  <c r="N183" i="25" s="1"/>
  <c r="AL175" i="25"/>
  <c r="P175" i="25" s="1"/>
  <c r="AJ175" i="25"/>
  <c r="N175" i="25" s="1"/>
  <c r="AL167" i="25"/>
  <c r="P167" i="25" s="1"/>
  <c r="AJ167" i="25"/>
  <c r="N167" i="25" s="1"/>
  <c r="AL151" i="25"/>
  <c r="P151" i="25" s="1"/>
  <c r="AJ151" i="25"/>
  <c r="N151" i="25" s="1"/>
  <c r="AL135" i="25"/>
  <c r="P135" i="25" s="1"/>
  <c r="AJ135" i="25"/>
  <c r="N135" i="25" s="1"/>
  <c r="AL127" i="25"/>
  <c r="P127" i="25" s="1"/>
  <c r="AJ127" i="25"/>
  <c r="N127" i="25" s="1"/>
  <c r="AL111" i="25"/>
  <c r="P111" i="25" s="1"/>
  <c r="AJ111" i="25"/>
  <c r="N111" i="25" s="1"/>
  <c r="AL87" i="25"/>
  <c r="P87" i="25" s="1"/>
  <c r="AJ87" i="25"/>
  <c r="N87" i="25" s="1"/>
  <c r="AK87" i="25"/>
  <c r="O87" i="25" s="1"/>
  <c r="AL83" i="25"/>
  <c r="P83" i="25" s="1"/>
  <c r="AK83" i="25"/>
  <c r="O83" i="25" s="1"/>
  <c r="AL63" i="25"/>
  <c r="P63" i="25" s="1"/>
  <c r="AJ63" i="25"/>
  <c r="N63" i="25" s="1"/>
  <c r="AL59" i="25"/>
  <c r="P59" i="25" s="1"/>
  <c r="AJ59" i="25"/>
  <c r="N59" i="25" s="1"/>
  <c r="AJ55" i="25"/>
  <c r="N55" i="25" s="1"/>
  <c r="AL55" i="25"/>
  <c r="P55" i="25" s="1"/>
  <c r="AK55" i="25"/>
  <c r="O55" i="25" s="1"/>
  <c r="AL51" i="25"/>
  <c r="P51" i="25" s="1"/>
  <c r="AK51" i="25"/>
  <c r="O51" i="25" s="1"/>
  <c r="AJ47" i="25"/>
  <c r="N47" i="25" s="1"/>
  <c r="AL47" i="25"/>
  <c r="P47" i="25" s="1"/>
  <c r="AJ39" i="25"/>
  <c r="N39" i="25" s="1"/>
  <c r="AL39" i="25"/>
  <c r="P39" i="25" s="1"/>
  <c r="AJ31" i="25"/>
  <c r="N31" i="25" s="1"/>
  <c r="AL31" i="25"/>
  <c r="P31" i="25" s="1"/>
  <c r="AL27" i="25"/>
  <c r="P27" i="25" s="1"/>
  <c r="AJ27" i="25"/>
  <c r="N27" i="25" s="1"/>
  <c r="AL23" i="25"/>
  <c r="P23" i="25" s="1"/>
  <c r="AJ23" i="25"/>
  <c r="N23" i="25" s="1"/>
  <c r="AK23" i="25"/>
  <c r="O23" i="25" s="1"/>
  <c r="AK18" i="25"/>
  <c r="O18" i="25" s="1"/>
  <c r="AL18" i="25"/>
  <c r="P18" i="25" s="1"/>
  <c r="AQ227" i="25"/>
  <c r="AQ195" i="25"/>
  <c r="AQ179" i="25"/>
  <c r="AQ163" i="25"/>
  <c r="AQ131" i="25"/>
  <c r="AQ115" i="25"/>
  <c r="AQ99" i="25"/>
  <c r="AQ83" i="25"/>
  <c r="AJ235" i="25"/>
  <c r="N235" i="25" s="1"/>
  <c r="AK231" i="25"/>
  <c r="O231" i="25" s="1"/>
  <c r="AK227" i="25"/>
  <c r="O227" i="25" s="1"/>
  <c r="AJ224" i="25"/>
  <c r="N224" i="25" s="1"/>
  <c r="AK213" i="25"/>
  <c r="O213" i="25" s="1"/>
  <c r="AJ203" i="25"/>
  <c r="N203" i="25" s="1"/>
  <c r="AK199" i="25"/>
  <c r="O199" i="25" s="1"/>
  <c r="AK195" i="25"/>
  <c r="O195" i="25" s="1"/>
  <c r="AJ192" i="25"/>
  <c r="N192" i="25" s="1"/>
  <c r="AJ189" i="25"/>
  <c r="N189" i="25" s="1"/>
  <c r="AK181" i="25"/>
  <c r="O181" i="25" s="1"/>
  <c r="AK167" i="25"/>
  <c r="O167" i="25" s="1"/>
  <c r="AK163" i="25"/>
  <c r="O163" i="25" s="1"/>
  <c r="AJ160" i="25"/>
  <c r="N160" i="25" s="1"/>
  <c r="AK149" i="25"/>
  <c r="O149" i="25" s="1"/>
  <c r="AJ139" i="25"/>
  <c r="N139" i="25" s="1"/>
  <c r="AK135" i="25"/>
  <c r="O135" i="25" s="1"/>
  <c r="AK131" i="25"/>
  <c r="O131" i="25" s="1"/>
  <c r="AJ128" i="25"/>
  <c r="N128" i="25" s="1"/>
  <c r="AJ125" i="25"/>
  <c r="N125" i="25" s="1"/>
  <c r="AJ121" i="25"/>
  <c r="N121" i="25" s="1"/>
  <c r="AK117" i="25"/>
  <c r="O117" i="25" s="1"/>
  <c r="AJ107" i="25"/>
  <c r="N107" i="25" s="1"/>
  <c r="AK103" i="25"/>
  <c r="O103" i="25" s="1"/>
  <c r="AK99" i="25"/>
  <c r="O99" i="25" s="1"/>
  <c r="AJ96" i="25"/>
  <c r="N96" i="25" s="1"/>
  <c r="AK91" i="25"/>
  <c r="O91" i="25" s="1"/>
  <c r="AJ72" i="25"/>
  <c r="N72" i="25" s="1"/>
  <c r="AK67" i="25"/>
  <c r="O67" i="25" s="1"/>
  <c r="AK63" i="25"/>
  <c r="O63" i="25" s="1"/>
  <c r="AK53" i="25"/>
  <c r="O53" i="25" s="1"/>
  <c r="AK43" i="25"/>
  <c r="O43" i="25" s="1"/>
  <c r="AK39" i="25"/>
  <c r="O39" i="25" s="1"/>
  <c r="AJ35" i="25"/>
  <c r="N35" i="25" s="1"/>
  <c r="AK29" i="25"/>
  <c r="O29" i="25" s="1"/>
  <c r="AJ21" i="25"/>
  <c r="N21" i="25" s="1"/>
  <c r="AL223" i="25"/>
  <c r="P223" i="25" s="1"/>
  <c r="AL164" i="25"/>
  <c r="P164" i="25" s="1"/>
  <c r="AL159" i="25"/>
  <c r="P159" i="25" s="1"/>
  <c r="AL145" i="25"/>
  <c r="P145" i="25" s="1"/>
  <c r="AL140" i="25"/>
  <c r="P140" i="25" s="1"/>
  <c r="AL121" i="25"/>
  <c r="P121" i="25" s="1"/>
  <c r="AL95" i="25"/>
  <c r="P95" i="25" s="1"/>
  <c r="AL61" i="25"/>
  <c r="P61" i="25" s="1"/>
  <c r="AL53" i="25"/>
  <c r="P53" i="25" s="1"/>
  <c r="AQ71" i="25"/>
  <c r="AQ67" i="25"/>
  <c r="AQ63" i="25"/>
  <c r="AQ59" i="25"/>
  <c r="AQ55" i="25"/>
  <c r="AQ51" i="25"/>
  <c r="AQ47" i="25"/>
  <c r="AQ43" i="25"/>
  <c r="AQ39" i="25"/>
  <c r="AQ35" i="25"/>
  <c r="AQ31" i="25"/>
  <c r="AQ27" i="25"/>
  <c r="AQ23" i="25"/>
  <c r="AQ19" i="25"/>
  <c r="AL238" i="25"/>
  <c r="P238" i="25" s="1"/>
  <c r="AK238" i="25"/>
  <c r="O238" i="25" s="1"/>
  <c r="AL234" i="25"/>
  <c r="P234" i="25" s="1"/>
  <c r="AK234" i="25"/>
  <c r="O234" i="25" s="1"/>
  <c r="AL230" i="25"/>
  <c r="P230" i="25" s="1"/>
  <c r="AK230" i="25"/>
  <c r="O230" i="25" s="1"/>
  <c r="AL226" i="25"/>
  <c r="P226" i="25" s="1"/>
  <c r="AK226" i="25"/>
  <c r="O226" i="25" s="1"/>
  <c r="AL222" i="25"/>
  <c r="P222" i="25" s="1"/>
  <c r="AK222" i="25"/>
  <c r="O222" i="25" s="1"/>
  <c r="AL218" i="25"/>
  <c r="P218" i="25" s="1"/>
  <c r="AK218" i="25"/>
  <c r="O218" i="25" s="1"/>
  <c r="AL214" i="25"/>
  <c r="P214" i="25" s="1"/>
  <c r="AK214" i="25"/>
  <c r="O214" i="25" s="1"/>
  <c r="AL210" i="25"/>
  <c r="P210" i="25" s="1"/>
  <c r="AK210" i="25"/>
  <c r="O210" i="25" s="1"/>
  <c r="AL206" i="25"/>
  <c r="P206" i="25" s="1"/>
  <c r="AK206" i="25"/>
  <c r="O206" i="25" s="1"/>
  <c r="AL202" i="25"/>
  <c r="P202" i="25" s="1"/>
  <c r="AK202" i="25"/>
  <c r="O202" i="25" s="1"/>
  <c r="AL198" i="25"/>
  <c r="P198" i="25" s="1"/>
  <c r="AK198" i="25"/>
  <c r="O198" i="25" s="1"/>
  <c r="AL194" i="25"/>
  <c r="P194" i="25" s="1"/>
  <c r="AK194" i="25"/>
  <c r="O194" i="25" s="1"/>
  <c r="AL190" i="25"/>
  <c r="P190" i="25" s="1"/>
  <c r="AK190" i="25"/>
  <c r="O190" i="25" s="1"/>
  <c r="AL186" i="25"/>
  <c r="P186" i="25" s="1"/>
  <c r="AK186" i="25"/>
  <c r="O186" i="25" s="1"/>
  <c r="AL182" i="25"/>
  <c r="P182" i="25" s="1"/>
  <c r="AK182" i="25"/>
  <c r="O182" i="25" s="1"/>
  <c r="AL178" i="25"/>
  <c r="P178" i="25" s="1"/>
  <c r="AK178" i="25"/>
  <c r="O178" i="25" s="1"/>
  <c r="AL174" i="25"/>
  <c r="P174" i="25" s="1"/>
  <c r="AK174" i="25"/>
  <c r="O174" i="25" s="1"/>
  <c r="AL170" i="25"/>
  <c r="P170" i="25" s="1"/>
  <c r="AK170" i="25"/>
  <c r="O170" i="25" s="1"/>
  <c r="AL166" i="25"/>
  <c r="P166" i="25" s="1"/>
  <c r="AK166" i="25"/>
  <c r="O166" i="25" s="1"/>
  <c r="AL162" i="25"/>
  <c r="P162" i="25" s="1"/>
  <c r="AK162" i="25"/>
  <c r="O162" i="25" s="1"/>
  <c r="AL158" i="25"/>
  <c r="P158" i="25" s="1"/>
  <c r="AK158" i="25"/>
  <c r="O158" i="25" s="1"/>
  <c r="AL154" i="25"/>
  <c r="P154" i="25" s="1"/>
  <c r="AK154" i="25"/>
  <c r="O154" i="25" s="1"/>
  <c r="AL150" i="25"/>
  <c r="P150" i="25" s="1"/>
  <c r="AK150" i="25"/>
  <c r="O150" i="25" s="1"/>
  <c r="AL146" i="25"/>
  <c r="P146" i="25" s="1"/>
  <c r="AK146" i="25"/>
  <c r="O146" i="25" s="1"/>
  <c r="AL142" i="25"/>
  <c r="P142" i="25" s="1"/>
  <c r="AK142" i="25"/>
  <c r="O142" i="25" s="1"/>
  <c r="AL138" i="25"/>
  <c r="P138" i="25" s="1"/>
  <c r="AK138" i="25"/>
  <c r="O138" i="25" s="1"/>
  <c r="AL134" i="25"/>
  <c r="P134" i="25" s="1"/>
  <c r="AK134" i="25"/>
  <c r="O134" i="25" s="1"/>
  <c r="AL130" i="25"/>
  <c r="P130" i="25" s="1"/>
  <c r="AK130" i="25"/>
  <c r="O130" i="25" s="1"/>
  <c r="AL126" i="25"/>
  <c r="P126" i="25" s="1"/>
  <c r="AK126" i="25"/>
  <c r="O126" i="25" s="1"/>
  <c r="AL122" i="25"/>
  <c r="P122" i="25" s="1"/>
  <c r="AK122" i="25"/>
  <c r="O122" i="25" s="1"/>
  <c r="AK118" i="25"/>
  <c r="O118" i="25" s="1"/>
  <c r="AL118" i="25"/>
  <c r="P118" i="25" s="1"/>
  <c r="AK114" i="25"/>
  <c r="O114" i="25" s="1"/>
  <c r="AL114" i="25"/>
  <c r="P114" i="25" s="1"/>
  <c r="AK110" i="25"/>
  <c r="O110" i="25" s="1"/>
  <c r="AL110" i="25"/>
  <c r="P110" i="25" s="1"/>
  <c r="AL106" i="25"/>
  <c r="P106" i="25" s="1"/>
  <c r="AK106" i="25"/>
  <c r="O106" i="25" s="1"/>
  <c r="AK98" i="25"/>
  <c r="O98" i="25" s="1"/>
  <c r="AL98" i="25"/>
  <c r="P98" i="25" s="1"/>
  <c r="AK94" i="25"/>
  <c r="O94" i="25" s="1"/>
  <c r="AL94" i="25"/>
  <c r="P94" i="25" s="1"/>
  <c r="AJ94" i="25"/>
  <c r="N94" i="25" s="1"/>
  <c r="AL90" i="25"/>
  <c r="P90" i="25" s="1"/>
  <c r="AK90" i="25"/>
  <c r="O90" i="25" s="1"/>
  <c r="AK82" i="25"/>
  <c r="O82" i="25" s="1"/>
  <c r="AL82" i="25"/>
  <c r="P82" i="25" s="1"/>
  <c r="AK78" i="25"/>
  <c r="O78" i="25" s="1"/>
  <c r="AL78" i="25"/>
  <c r="P78" i="25" s="1"/>
  <c r="AL74" i="25"/>
  <c r="P74" i="25" s="1"/>
  <c r="AK74" i="25"/>
  <c r="O74" i="25" s="1"/>
  <c r="AK70" i="25"/>
  <c r="O70" i="25" s="1"/>
  <c r="AL70" i="25"/>
  <c r="P70" i="25" s="1"/>
  <c r="AK66" i="25"/>
  <c r="O66" i="25" s="1"/>
  <c r="AJ66" i="25"/>
  <c r="N66" i="25" s="1"/>
  <c r="AK62" i="25"/>
  <c r="O62" i="25" s="1"/>
  <c r="AL62" i="25"/>
  <c r="P62" i="25" s="1"/>
  <c r="AJ62" i="25"/>
  <c r="N62" i="25" s="1"/>
  <c r="AL58" i="25"/>
  <c r="P58" i="25" s="1"/>
  <c r="AK58" i="25"/>
  <c r="O58" i="25" s="1"/>
  <c r="AK46" i="25"/>
  <c r="O46" i="25" s="1"/>
  <c r="AL46" i="25"/>
  <c r="P46" i="25" s="1"/>
  <c r="AL42" i="25"/>
  <c r="P42" i="25" s="1"/>
  <c r="AK42" i="25"/>
  <c r="O42" i="25" s="1"/>
  <c r="AK38" i="25"/>
  <c r="O38" i="25" s="1"/>
  <c r="AL38" i="25"/>
  <c r="P38" i="25" s="1"/>
  <c r="AK34" i="25"/>
  <c r="O34" i="25" s="1"/>
  <c r="AL34" i="25"/>
  <c r="P34" i="25" s="1"/>
  <c r="AJ34" i="25"/>
  <c r="N34" i="25" s="1"/>
  <c r="AK30" i="25"/>
  <c r="O30" i="25" s="1"/>
  <c r="AL30" i="25"/>
  <c r="P30" i="25" s="1"/>
  <c r="AJ30" i="25"/>
  <c r="N30" i="25" s="1"/>
  <c r="AL26" i="25"/>
  <c r="P26" i="25" s="1"/>
  <c r="AK26" i="25"/>
  <c r="O26" i="25" s="1"/>
  <c r="AK22" i="25"/>
  <c r="O22" i="25" s="1"/>
  <c r="AL22" i="25"/>
  <c r="P22" i="25" s="1"/>
  <c r="AL17" i="25"/>
  <c r="P17" i="25" s="1"/>
  <c r="AK17" i="25"/>
  <c r="O17" i="25" s="1"/>
  <c r="AK237" i="25"/>
  <c r="O237" i="25" s="1"/>
  <c r="AJ234" i="25"/>
  <c r="N234" i="25" s="1"/>
  <c r="AJ230" i="25"/>
  <c r="N230" i="25" s="1"/>
  <c r="AJ227" i="25"/>
  <c r="N227" i="25" s="1"/>
  <c r="AK223" i="25"/>
  <c r="O223" i="25" s="1"/>
  <c r="AK219" i="25"/>
  <c r="O219" i="25" s="1"/>
  <c r="AJ216" i="25"/>
  <c r="N216" i="25" s="1"/>
  <c r="AJ213" i="25"/>
  <c r="N213" i="25" s="1"/>
  <c r="AJ209" i="25"/>
  <c r="N209" i="25" s="1"/>
  <c r="AK205" i="25"/>
  <c r="O205" i="25" s="1"/>
  <c r="AJ202" i="25"/>
  <c r="N202" i="25" s="1"/>
  <c r="AJ198" i="25"/>
  <c r="N198" i="25" s="1"/>
  <c r="AJ195" i="25"/>
  <c r="N195" i="25" s="1"/>
  <c r="AK191" i="25"/>
  <c r="O191" i="25" s="1"/>
  <c r="AK187" i="25"/>
  <c r="O187" i="25" s="1"/>
  <c r="AJ184" i="25"/>
  <c r="N184" i="25" s="1"/>
  <c r="AJ181" i="25"/>
  <c r="N181" i="25" s="1"/>
  <c r="AK173" i="25"/>
  <c r="O173" i="25" s="1"/>
  <c r="AJ170" i="25"/>
  <c r="N170" i="25" s="1"/>
  <c r="AJ166" i="25"/>
  <c r="N166" i="25" s="1"/>
  <c r="AJ163" i="25"/>
  <c r="N163" i="25" s="1"/>
  <c r="AK159" i="25"/>
  <c r="O159" i="25" s="1"/>
  <c r="AJ152" i="25"/>
  <c r="N152" i="25" s="1"/>
  <c r="AJ149" i="25"/>
  <c r="N149" i="25" s="1"/>
  <c r="AJ145" i="25"/>
  <c r="N145" i="25" s="1"/>
  <c r="AJ138" i="25"/>
  <c r="N138" i="25" s="1"/>
  <c r="AJ134" i="25"/>
  <c r="N134" i="25" s="1"/>
  <c r="AK127" i="25"/>
  <c r="O127" i="25" s="1"/>
  <c r="AK123" i="25"/>
  <c r="O123" i="25" s="1"/>
  <c r="AJ120" i="25"/>
  <c r="N120" i="25" s="1"/>
  <c r="AJ117" i="25"/>
  <c r="N117" i="25" s="1"/>
  <c r="AJ106" i="25"/>
  <c r="N106" i="25" s="1"/>
  <c r="AJ102" i="25"/>
  <c r="N102" i="25" s="1"/>
  <c r="AJ99" i="25"/>
  <c r="N99" i="25" s="1"/>
  <c r="AK95" i="25"/>
  <c r="O95" i="25" s="1"/>
  <c r="AJ90" i="25"/>
  <c r="N90" i="25" s="1"/>
  <c r="AK85" i="25"/>
  <c r="O85" i="25" s="1"/>
  <c r="AK75" i="25"/>
  <c r="O75" i="25" s="1"/>
  <c r="AK71" i="25"/>
  <c r="O71" i="25" s="1"/>
  <c r="AJ67" i="25"/>
  <c r="N67" i="25" s="1"/>
  <c r="AJ57" i="25"/>
  <c r="N57" i="25" s="1"/>
  <c r="AK47" i="25"/>
  <c r="O47" i="25" s="1"/>
  <c r="AJ43" i="25"/>
  <c r="N43" i="25" s="1"/>
  <c r="AJ38" i="25"/>
  <c r="N38" i="25" s="1"/>
  <c r="AJ29" i="25"/>
  <c r="N29" i="25" s="1"/>
  <c r="AJ24" i="25"/>
  <c r="N24" i="25" s="1"/>
  <c r="AJ19" i="25"/>
  <c r="N19" i="25" s="1"/>
  <c r="AL216" i="25"/>
  <c r="P216" i="25" s="1"/>
  <c r="AL200" i="25"/>
  <c r="P200" i="25" s="1"/>
  <c r="AL148" i="25"/>
  <c r="P148" i="25" s="1"/>
  <c r="AL143" i="25"/>
  <c r="P143" i="25" s="1"/>
  <c r="AL129" i="25"/>
  <c r="P129" i="25" s="1"/>
  <c r="AL124" i="25"/>
  <c r="P124" i="25" s="1"/>
  <c r="AL119" i="25"/>
  <c r="P119" i="25" s="1"/>
  <c r="AL50" i="25"/>
  <c r="P50" i="25" s="1"/>
  <c r="AL233" i="25"/>
  <c r="P233" i="25" s="1"/>
  <c r="AK233" i="25"/>
  <c r="O233" i="25" s="1"/>
  <c r="AL225" i="25"/>
  <c r="P225" i="25" s="1"/>
  <c r="AK225" i="25"/>
  <c r="O225" i="25" s="1"/>
  <c r="AL217" i="25"/>
  <c r="P217" i="25" s="1"/>
  <c r="AK217" i="25"/>
  <c r="O217" i="25" s="1"/>
  <c r="AL201" i="25"/>
  <c r="P201" i="25" s="1"/>
  <c r="AK201" i="25"/>
  <c r="O201" i="25" s="1"/>
  <c r="AL185" i="25"/>
  <c r="P185" i="25" s="1"/>
  <c r="AK185" i="25"/>
  <c r="O185" i="25" s="1"/>
  <c r="AL177" i="25"/>
  <c r="P177" i="25" s="1"/>
  <c r="AK177" i="25"/>
  <c r="O177" i="25" s="1"/>
  <c r="AL169" i="25"/>
  <c r="P169" i="25" s="1"/>
  <c r="AK169" i="25"/>
  <c r="O169" i="25" s="1"/>
  <c r="AL161" i="25"/>
  <c r="P161" i="25" s="1"/>
  <c r="AK161" i="25"/>
  <c r="O161" i="25" s="1"/>
  <c r="AL153" i="25"/>
  <c r="P153" i="25" s="1"/>
  <c r="AK153" i="25"/>
  <c r="O153" i="25" s="1"/>
  <c r="AL137" i="25"/>
  <c r="P137" i="25" s="1"/>
  <c r="AK137" i="25"/>
  <c r="O137" i="25" s="1"/>
  <c r="AL113" i="25"/>
  <c r="P113" i="25" s="1"/>
  <c r="AK113" i="25"/>
  <c r="O113" i="25" s="1"/>
  <c r="AL97" i="25"/>
  <c r="P97" i="25" s="1"/>
  <c r="AK97" i="25"/>
  <c r="O97" i="25" s="1"/>
  <c r="AL89" i="25"/>
  <c r="P89" i="25" s="1"/>
  <c r="AK89" i="25"/>
  <c r="O89" i="25" s="1"/>
  <c r="AL81" i="25"/>
  <c r="P81" i="25" s="1"/>
  <c r="AK81" i="25"/>
  <c r="O81" i="25" s="1"/>
  <c r="AL77" i="25"/>
  <c r="AJ77" i="25"/>
  <c r="N77" i="25" s="1"/>
  <c r="AK73" i="25"/>
  <c r="O73" i="25" s="1"/>
  <c r="AL73" i="25"/>
  <c r="P73" i="25" s="1"/>
  <c r="AJ73" i="25"/>
  <c r="N73" i="25" s="1"/>
  <c r="AL69" i="25"/>
  <c r="C86" i="37" s="1"/>
  <c r="AK69" i="25"/>
  <c r="O69" i="25" s="1"/>
  <c r="AL65" i="25"/>
  <c r="P65" i="25" s="1"/>
  <c r="AK65" i="25"/>
  <c r="O65" i="25" s="1"/>
  <c r="AL49" i="25"/>
  <c r="P49" i="25" s="1"/>
  <c r="AK49" i="25"/>
  <c r="O49" i="25" s="1"/>
  <c r="AK41" i="25"/>
  <c r="O41" i="25" s="1"/>
  <c r="AJ41" i="25"/>
  <c r="N41" i="25" s="1"/>
  <c r="AL37" i="25"/>
  <c r="P37" i="25" s="1"/>
  <c r="AK37" i="25"/>
  <c r="O37" i="25" s="1"/>
  <c r="AL33" i="25"/>
  <c r="P33" i="25" s="1"/>
  <c r="AK33" i="25"/>
  <c r="O33" i="25" s="1"/>
  <c r="AL25" i="25"/>
  <c r="P25" i="25" s="1"/>
  <c r="AK25" i="25"/>
  <c r="O25" i="25" s="1"/>
  <c r="AL16" i="25"/>
  <c r="P16" i="25" s="1"/>
  <c r="AK16" i="25"/>
  <c r="O16" i="25" s="1"/>
  <c r="AJ16" i="25"/>
  <c r="N16" i="25" s="1"/>
  <c r="AK15" i="25"/>
  <c r="D9" i="27"/>
  <c r="AJ11" i="36"/>
  <c r="AI11" i="36"/>
  <c r="AH11" i="36"/>
  <c r="AG11" i="36"/>
  <c r="AF11" i="36"/>
  <c r="AE11" i="36"/>
  <c r="AD11" i="36"/>
  <c r="AH15" i="36" s="1"/>
  <c r="Q69" i="25" l="1"/>
  <c r="C77" i="37"/>
  <c r="F77" i="37" s="1"/>
  <c r="F87" i="37"/>
  <c r="C54" i="37"/>
  <c r="F54" i="37" s="1"/>
  <c r="P69" i="25"/>
  <c r="C76" i="37"/>
  <c r="C53" i="37"/>
  <c r="F53" i="37" s="1"/>
  <c r="Q77" i="25"/>
  <c r="D14" i="27"/>
  <c r="D16" i="27" s="1"/>
  <c r="N20" i="27" s="1"/>
  <c r="D19" i="27"/>
  <c r="D21" i="27" s="1"/>
  <c r="P77" i="25"/>
  <c r="C59" i="37"/>
  <c r="F58" i="37"/>
  <c r="E9" i="27"/>
  <c r="E19" i="27" s="1"/>
  <c r="E21" i="27" s="1"/>
  <c r="O21" i="27" s="1"/>
  <c r="C60" i="37"/>
  <c r="F60" i="37" s="1"/>
  <c r="AO212" i="25"/>
  <c r="S212" i="25" s="1"/>
  <c r="AP212" i="25"/>
  <c r="T212" i="25" s="1"/>
  <c r="AP204" i="25"/>
  <c r="T204" i="25" s="1"/>
  <c r="AP228" i="25"/>
  <c r="T228" i="25" s="1"/>
  <c r="AO204" i="25"/>
  <c r="S204" i="25" s="1"/>
  <c r="AO228" i="25"/>
  <c r="S228" i="25" s="1"/>
  <c r="AO41" i="25"/>
  <c r="S41" i="25" s="1"/>
  <c r="AO71" i="25"/>
  <c r="S71" i="25" s="1"/>
  <c r="AP213" i="25"/>
  <c r="T213" i="25" s="1"/>
  <c r="AO219" i="25"/>
  <c r="S219" i="25" s="1"/>
  <c r="AO203" i="25"/>
  <c r="S203" i="25" s="1"/>
  <c r="AP117" i="25"/>
  <c r="T117" i="25" s="1"/>
  <c r="AO21" i="25"/>
  <c r="S21" i="25" s="1"/>
  <c r="AO237" i="25"/>
  <c r="S237" i="25" s="1"/>
  <c r="AO197" i="25"/>
  <c r="S197" i="25" s="1"/>
  <c r="AP85" i="25"/>
  <c r="T85" i="25" s="1"/>
  <c r="AO43" i="25"/>
  <c r="S43" i="25" s="1"/>
  <c r="AO173" i="25"/>
  <c r="S173" i="25" s="1"/>
  <c r="AO15" i="25"/>
  <c r="AP125" i="25"/>
  <c r="T125" i="25" s="1"/>
  <c r="AO139" i="25"/>
  <c r="S139" i="25" s="1"/>
  <c r="AP99" i="25"/>
  <c r="T99" i="25" s="1"/>
  <c r="AP163" i="25"/>
  <c r="T163" i="25" s="1"/>
  <c r="AP93" i="25"/>
  <c r="T93" i="25" s="1"/>
  <c r="AO165" i="25"/>
  <c r="S165" i="25" s="1"/>
  <c r="AP189" i="25"/>
  <c r="T189" i="25" s="1"/>
  <c r="AP107" i="25"/>
  <c r="T107" i="25" s="1"/>
  <c r="AP123" i="25"/>
  <c r="T123" i="25" s="1"/>
  <c r="AP66" i="25"/>
  <c r="T66" i="25" s="1"/>
  <c r="AO35" i="25"/>
  <c r="S35" i="25" s="1"/>
  <c r="AP115" i="25"/>
  <c r="T115" i="25" s="1"/>
  <c r="AO66" i="25"/>
  <c r="S66" i="25" s="1"/>
  <c r="AP147" i="25"/>
  <c r="T147" i="25" s="1"/>
  <c r="AO235" i="25"/>
  <c r="S235" i="25" s="1"/>
  <c r="AO229" i="25"/>
  <c r="S229" i="25" s="1"/>
  <c r="AO29" i="25"/>
  <c r="S29" i="25" s="1"/>
  <c r="AO189" i="25"/>
  <c r="S189" i="25" s="1"/>
  <c r="AO227" i="25"/>
  <c r="S227" i="25" s="1"/>
  <c r="AO195" i="25"/>
  <c r="S195" i="25" s="1"/>
  <c r="AO85" i="25"/>
  <c r="S85" i="25" s="1"/>
  <c r="AO93" i="25"/>
  <c r="S93" i="25" s="1"/>
  <c r="AP165" i="25"/>
  <c r="T165" i="25" s="1"/>
  <c r="AP173" i="25"/>
  <c r="T173" i="25" s="1"/>
  <c r="AP35" i="25"/>
  <c r="T35" i="25" s="1"/>
  <c r="AP43" i="25"/>
  <c r="T43" i="25" s="1"/>
  <c r="AO67" i="25"/>
  <c r="S67" i="25" s="1"/>
  <c r="AO99" i="25"/>
  <c r="S99" i="25" s="1"/>
  <c r="AO123" i="25"/>
  <c r="S123" i="25" s="1"/>
  <c r="AO163" i="25"/>
  <c r="S163" i="25" s="1"/>
  <c r="AP187" i="25"/>
  <c r="T187" i="25" s="1"/>
  <c r="AP181" i="25"/>
  <c r="T181" i="25" s="1"/>
  <c r="AP205" i="25"/>
  <c r="T205" i="25" s="1"/>
  <c r="AP195" i="25"/>
  <c r="T195" i="25" s="1"/>
  <c r="AP235" i="25"/>
  <c r="T235" i="25" s="1"/>
  <c r="AO54" i="25"/>
  <c r="S54" i="25" s="1"/>
  <c r="P54" i="25"/>
  <c r="AP102" i="25"/>
  <c r="T102" i="25" s="1"/>
  <c r="P102" i="25"/>
  <c r="AO155" i="25"/>
  <c r="S155" i="25" s="1"/>
  <c r="P155" i="25"/>
  <c r="AP237" i="25"/>
  <c r="T237" i="25" s="1"/>
  <c r="P237" i="25"/>
  <c r="P15" i="25"/>
  <c r="AO211" i="25"/>
  <c r="S211" i="25" s="1"/>
  <c r="P211" i="25"/>
  <c r="AO86" i="25"/>
  <c r="S86" i="25" s="1"/>
  <c r="P86" i="25"/>
  <c r="AP131" i="25"/>
  <c r="T131" i="25" s="1"/>
  <c r="P131" i="25"/>
  <c r="AO103" i="25"/>
  <c r="S103" i="25" s="1"/>
  <c r="P103" i="25"/>
  <c r="AP179" i="25"/>
  <c r="T179" i="25" s="1"/>
  <c r="P179" i="25"/>
  <c r="AP149" i="25"/>
  <c r="T149" i="25" s="1"/>
  <c r="AO187" i="25"/>
  <c r="S187" i="25" s="1"/>
  <c r="AO181" i="25"/>
  <c r="S181" i="25" s="1"/>
  <c r="AO75" i="25"/>
  <c r="S75" i="25" s="1"/>
  <c r="AO152" i="25"/>
  <c r="S152" i="25" s="1"/>
  <c r="P152" i="25"/>
  <c r="O15" i="25"/>
  <c r="AO207" i="25"/>
  <c r="S207" i="25" s="1"/>
  <c r="P207" i="25"/>
  <c r="AP91" i="25"/>
  <c r="T91" i="25" s="1"/>
  <c r="P91" i="25"/>
  <c r="AP71" i="25"/>
  <c r="T71" i="25" s="1"/>
  <c r="P71" i="25"/>
  <c r="AP101" i="25"/>
  <c r="T101" i="25" s="1"/>
  <c r="P101" i="25"/>
  <c r="AO125" i="25"/>
  <c r="S125" i="25" s="1"/>
  <c r="P125" i="25"/>
  <c r="N15" i="25"/>
  <c r="AP67" i="25"/>
  <c r="T67" i="25" s="1"/>
  <c r="AO205" i="25"/>
  <c r="S205" i="25" s="1"/>
  <c r="AP139" i="25"/>
  <c r="T139" i="25" s="1"/>
  <c r="P139" i="25"/>
  <c r="AP15" i="25"/>
  <c r="AP21" i="25"/>
  <c r="T21" i="25" s="1"/>
  <c r="AP29" i="25"/>
  <c r="T29" i="25" s="1"/>
  <c r="AO117" i="25"/>
  <c r="S117" i="25" s="1"/>
  <c r="AO149" i="25"/>
  <c r="S149" i="25" s="1"/>
  <c r="AO213" i="25"/>
  <c r="S213" i="25" s="1"/>
  <c r="AO179" i="25"/>
  <c r="S179" i="25" s="1"/>
  <c r="AP75" i="25"/>
  <c r="T75" i="25" s="1"/>
  <c r="AO107" i="25"/>
  <c r="S107" i="25" s="1"/>
  <c r="AO115" i="25"/>
  <c r="S115" i="25" s="1"/>
  <c r="AP203" i="25"/>
  <c r="T203" i="25" s="1"/>
  <c r="AP227" i="25"/>
  <c r="T227" i="25" s="1"/>
  <c r="AO101" i="25"/>
  <c r="S101" i="25" s="1"/>
  <c r="AO147" i="25"/>
  <c r="S147" i="25" s="1"/>
  <c r="AP41" i="25"/>
  <c r="T41" i="25" s="1"/>
  <c r="AP197" i="25"/>
  <c r="T197" i="25" s="1"/>
  <c r="AP229" i="25"/>
  <c r="T229" i="25" s="1"/>
  <c r="AP219" i="25"/>
  <c r="T219" i="25" s="1"/>
  <c r="AP171" i="25"/>
  <c r="T171" i="25" s="1"/>
  <c r="P171" i="25"/>
  <c r="AP79" i="25"/>
  <c r="T79" i="25" s="1"/>
  <c r="P79" i="25"/>
  <c r="AO102" i="25"/>
  <c r="S102" i="25" s="1"/>
  <c r="AP54" i="25"/>
  <c r="T54" i="25" s="1"/>
  <c r="AP155" i="25"/>
  <c r="T155" i="25" s="1"/>
  <c r="AP211" i="25"/>
  <c r="T211" i="25" s="1"/>
  <c r="AP152" i="25"/>
  <c r="T152" i="25" s="1"/>
  <c r="AO131" i="25"/>
  <c r="S131" i="25" s="1"/>
  <c r="AO79" i="25"/>
  <c r="S79" i="25" s="1"/>
  <c r="AP103" i="25"/>
  <c r="T103" i="25" s="1"/>
  <c r="AO91" i="25"/>
  <c r="S91" i="25" s="1"/>
  <c r="AP86" i="25"/>
  <c r="T86" i="25" s="1"/>
  <c r="AO171" i="25"/>
  <c r="S171" i="25" s="1"/>
  <c r="AP207" i="25"/>
  <c r="T207" i="25" s="1"/>
  <c r="AO49" i="25"/>
  <c r="S49" i="25" s="1"/>
  <c r="AP49" i="25"/>
  <c r="T49" i="25" s="1"/>
  <c r="AP200" i="25"/>
  <c r="T200" i="25" s="1"/>
  <c r="AO200" i="25"/>
  <c r="S200" i="25" s="1"/>
  <c r="AP30" i="25"/>
  <c r="T30" i="25" s="1"/>
  <c r="AO30" i="25"/>
  <c r="S30" i="25" s="1"/>
  <c r="AP42" i="25"/>
  <c r="T42" i="25" s="1"/>
  <c r="AO42" i="25"/>
  <c r="S42" i="25" s="1"/>
  <c r="AP82" i="25"/>
  <c r="T82" i="25" s="1"/>
  <c r="AO82" i="25"/>
  <c r="S82" i="25" s="1"/>
  <c r="AP142" i="25"/>
  <c r="T142" i="25" s="1"/>
  <c r="AO142" i="25"/>
  <c r="S142" i="25" s="1"/>
  <c r="AP158" i="25"/>
  <c r="T158" i="25" s="1"/>
  <c r="AO158" i="25"/>
  <c r="S158" i="25" s="1"/>
  <c r="AP174" i="25"/>
  <c r="T174" i="25" s="1"/>
  <c r="AO174" i="25"/>
  <c r="S174" i="25" s="1"/>
  <c r="AO190" i="25"/>
  <c r="S190" i="25" s="1"/>
  <c r="AP190" i="25"/>
  <c r="T190" i="25" s="1"/>
  <c r="AO206" i="25"/>
  <c r="S206" i="25" s="1"/>
  <c r="AP206" i="25"/>
  <c r="T206" i="25" s="1"/>
  <c r="AO222" i="25"/>
  <c r="S222" i="25" s="1"/>
  <c r="AP222" i="25"/>
  <c r="T222" i="25" s="1"/>
  <c r="AO53" i="25"/>
  <c r="S53" i="25" s="1"/>
  <c r="AP53" i="25"/>
  <c r="T53" i="25" s="1"/>
  <c r="AP140" i="25"/>
  <c r="T140" i="25" s="1"/>
  <c r="AO140" i="25"/>
  <c r="S140" i="25" s="1"/>
  <c r="AO223" i="25"/>
  <c r="S223" i="25" s="1"/>
  <c r="AP223" i="25"/>
  <c r="T223" i="25" s="1"/>
  <c r="AP31" i="25"/>
  <c r="T31" i="25" s="1"/>
  <c r="AO31" i="25"/>
  <c r="S31" i="25" s="1"/>
  <c r="AP47" i="25"/>
  <c r="T47" i="25" s="1"/>
  <c r="AO47" i="25"/>
  <c r="S47" i="25" s="1"/>
  <c r="AO135" i="25"/>
  <c r="S135" i="25" s="1"/>
  <c r="AP135" i="25"/>
  <c r="T135" i="25" s="1"/>
  <c r="AO215" i="25"/>
  <c r="S215" i="25" s="1"/>
  <c r="AP215" i="25"/>
  <c r="T215" i="25" s="1"/>
  <c r="AP109" i="25"/>
  <c r="T109" i="25" s="1"/>
  <c r="AO109" i="25"/>
  <c r="S109" i="25" s="1"/>
  <c r="AO193" i="25"/>
  <c r="S193" i="25" s="1"/>
  <c r="AP193" i="25"/>
  <c r="T193" i="25" s="1"/>
  <c r="AP28" i="25"/>
  <c r="T28" i="25" s="1"/>
  <c r="AO28" i="25"/>
  <c r="S28" i="25" s="1"/>
  <c r="AP96" i="25"/>
  <c r="T96" i="25" s="1"/>
  <c r="AO96" i="25"/>
  <c r="S96" i="25" s="1"/>
  <c r="AP224" i="25"/>
  <c r="T224" i="25" s="1"/>
  <c r="AO224" i="25"/>
  <c r="S224" i="25" s="1"/>
  <c r="AO157" i="25"/>
  <c r="S157" i="25" s="1"/>
  <c r="AP157" i="25"/>
  <c r="T157" i="25" s="1"/>
  <c r="AO113" i="25"/>
  <c r="S113" i="25" s="1"/>
  <c r="AP113" i="25"/>
  <c r="T113" i="25" s="1"/>
  <c r="AO153" i="25"/>
  <c r="S153" i="25" s="1"/>
  <c r="AP153" i="25"/>
  <c r="T153" i="25" s="1"/>
  <c r="AO217" i="25"/>
  <c r="S217" i="25" s="1"/>
  <c r="AP217" i="25"/>
  <c r="T217" i="25" s="1"/>
  <c r="AP46" i="25"/>
  <c r="T46" i="25" s="1"/>
  <c r="AO46" i="25"/>
  <c r="S46" i="25" s="1"/>
  <c r="AP74" i="25"/>
  <c r="T74" i="25" s="1"/>
  <c r="AO74" i="25"/>
  <c r="S74" i="25" s="1"/>
  <c r="AP61" i="25"/>
  <c r="T61" i="25" s="1"/>
  <c r="AO61" i="25"/>
  <c r="S61" i="25" s="1"/>
  <c r="AP23" i="25"/>
  <c r="T23" i="25" s="1"/>
  <c r="AO23" i="25"/>
  <c r="S23" i="25" s="1"/>
  <c r="AO55" i="25"/>
  <c r="S55" i="25" s="1"/>
  <c r="AP55" i="25"/>
  <c r="T55" i="25" s="1"/>
  <c r="AP24" i="25"/>
  <c r="T24" i="25" s="1"/>
  <c r="AO24" i="25"/>
  <c r="S24" i="25" s="1"/>
  <c r="AP16" i="25"/>
  <c r="T16" i="25" s="1"/>
  <c r="AO16" i="25"/>
  <c r="S16" i="25" s="1"/>
  <c r="AP37" i="25"/>
  <c r="T37" i="25" s="1"/>
  <c r="AO37" i="25"/>
  <c r="S37" i="25" s="1"/>
  <c r="AP69" i="25"/>
  <c r="T69" i="25" s="1"/>
  <c r="AO69" i="25"/>
  <c r="S69" i="25" s="1"/>
  <c r="AP124" i="25"/>
  <c r="T124" i="25" s="1"/>
  <c r="AO124" i="25"/>
  <c r="S124" i="25" s="1"/>
  <c r="AP58" i="25"/>
  <c r="T58" i="25" s="1"/>
  <c r="AO58" i="25"/>
  <c r="S58" i="25" s="1"/>
  <c r="AP126" i="25"/>
  <c r="T126" i="25" s="1"/>
  <c r="AO126" i="25"/>
  <c r="S126" i="25" s="1"/>
  <c r="AP134" i="25"/>
  <c r="T134" i="25" s="1"/>
  <c r="AO134" i="25"/>
  <c r="S134" i="25" s="1"/>
  <c r="AP150" i="25"/>
  <c r="T150" i="25" s="1"/>
  <c r="AO150" i="25"/>
  <c r="S150" i="25" s="1"/>
  <c r="AP166" i="25"/>
  <c r="T166" i="25" s="1"/>
  <c r="AO166" i="25"/>
  <c r="S166" i="25" s="1"/>
  <c r="AP182" i="25"/>
  <c r="T182" i="25" s="1"/>
  <c r="AO182" i="25"/>
  <c r="S182" i="25" s="1"/>
  <c r="AO198" i="25"/>
  <c r="S198" i="25" s="1"/>
  <c r="AP198" i="25"/>
  <c r="T198" i="25" s="1"/>
  <c r="AO214" i="25"/>
  <c r="S214" i="25" s="1"/>
  <c r="AP214" i="25"/>
  <c r="T214" i="25" s="1"/>
  <c r="AO230" i="25"/>
  <c r="S230" i="25" s="1"/>
  <c r="AP230" i="25"/>
  <c r="T230" i="25" s="1"/>
  <c r="AO238" i="25"/>
  <c r="S238" i="25" s="1"/>
  <c r="AP238" i="25"/>
  <c r="T238" i="25" s="1"/>
  <c r="AP95" i="25"/>
  <c r="T95" i="25" s="1"/>
  <c r="AO95" i="25"/>
  <c r="S95" i="25" s="1"/>
  <c r="AO39" i="25"/>
  <c r="S39" i="25" s="1"/>
  <c r="AP39" i="25"/>
  <c r="T39" i="25" s="1"/>
  <c r="AP59" i="25"/>
  <c r="T59" i="25" s="1"/>
  <c r="AO59" i="25"/>
  <c r="S59" i="25" s="1"/>
  <c r="AP111" i="25"/>
  <c r="T111" i="25" s="1"/>
  <c r="AO111" i="25"/>
  <c r="S111" i="25" s="1"/>
  <c r="AP175" i="25"/>
  <c r="T175" i="25" s="1"/>
  <c r="AO175" i="25"/>
  <c r="S175" i="25" s="1"/>
  <c r="AO199" i="25"/>
  <c r="S199" i="25" s="1"/>
  <c r="AP199" i="25"/>
  <c r="T199" i="25" s="1"/>
  <c r="AO231" i="25"/>
  <c r="S231" i="25" s="1"/>
  <c r="AP231" i="25"/>
  <c r="T231" i="25" s="1"/>
  <c r="AP141" i="25"/>
  <c r="T141" i="25" s="1"/>
  <c r="AO141" i="25"/>
  <c r="S141" i="25" s="1"/>
  <c r="AP236" i="25"/>
  <c r="T236" i="25" s="1"/>
  <c r="AO236" i="25"/>
  <c r="S236" i="25" s="1"/>
  <c r="AP19" i="25"/>
  <c r="T19" i="25" s="1"/>
  <c r="AO19" i="25"/>
  <c r="S19" i="25" s="1"/>
  <c r="AP52" i="25"/>
  <c r="T52" i="25" s="1"/>
  <c r="AO52" i="25"/>
  <c r="S52" i="25" s="1"/>
  <c r="AP72" i="25"/>
  <c r="T72" i="25" s="1"/>
  <c r="AO72" i="25"/>
  <c r="S72" i="25" s="1"/>
  <c r="AP108" i="25"/>
  <c r="T108" i="25" s="1"/>
  <c r="AO108" i="25"/>
  <c r="S108" i="25" s="1"/>
  <c r="AP160" i="25"/>
  <c r="T160" i="25" s="1"/>
  <c r="AO160" i="25"/>
  <c r="S160" i="25" s="1"/>
  <c r="AP168" i="25"/>
  <c r="T168" i="25" s="1"/>
  <c r="AO168" i="25"/>
  <c r="S168" i="25" s="1"/>
  <c r="AP180" i="25"/>
  <c r="T180" i="25" s="1"/>
  <c r="AO180" i="25"/>
  <c r="S180" i="25" s="1"/>
  <c r="AP232" i="25"/>
  <c r="T232" i="25" s="1"/>
  <c r="AO232" i="25"/>
  <c r="S232" i="25" s="1"/>
  <c r="AP77" i="25"/>
  <c r="T77" i="25" s="1"/>
  <c r="AO77" i="25"/>
  <c r="S77" i="25" s="1"/>
  <c r="AO137" i="25"/>
  <c r="S137" i="25" s="1"/>
  <c r="AP137" i="25"/>
  <c r="T137" i="25" s="1"/>
  <c r="AO185" i="25"/>
  <c r="S185" i="25" s="1"/>
  <c r="AP185" i="25"/>
  <c r="T185" i="25" s="1"/>
  <c r="AO201" i="25"/>
  <c r="S201" i="25" s="1"/>
  <c r="AP201" i="25"/>
  <c r="T201" i="25" s="1"/>
  <c r="AO233" i="25"/>
  <c r="S233" i="25" s="1"/>
  <c r="AP233" i="25"/>
  <c r="T233" i="25" s="1"/>
  <c r="AO129" i="25"/>
  <c r="S129" i="25" s="1"/>
  <c r="AP129" i="25"/>
  <c r="T129" i="25" s="1"/>
  <c r="AP216" i="25"/>
  <c r="T216" i="25" s="1"/>
  <c r="AO216" i="25"/>
  <c r="S216" i="25" s="1"/>
  <c r="AP38" i="25"/>
  <c r="T38" i="25" s="1"/>
  <c r="AO38" i="25"/>
  <c r="S38" i="25" s="1"/>
  <c r="AP94" i="25"/>
  <c r="T94" i="25" s="1"/>
  <c r="AO94" i="25"/>
  <c r="S94" i="25" s="1"/>
  <c r="AP114" i="25"/>
  <c r="T114" i="25" s="1"/>
  <c r="AO114" i="25"/>
  <c r="S114" i="25" s="1"/>
  <c r="AO145" i="25"/>
  <c r="S145" i="25" s="1"/>
  <c r="AP145" i="25"/>
  <c r="T145" i="25" s="1"/>
  <c r="AP18" i="25"/>
  <c r="T18" i="25" s="1"/>
  <c r="AO18" i="25"/>
  <c r="S18" i="25" s="1"/>
  <c r="AP36" i="25"/>
  <c r="T36" i="25" s="1"/>
  <c r="AO36" i="25"/>
  <c r="S36" i="25" s="1"/>
  <c r="AP48" i="25"/>
  <c r="T48" i="25" s="1"/>
  <c r="AO48" i="25"/>
  <c r="S48" i="25" s="1"/>
  <c r="AP60" i="25"/>
  <c r="T60" i="25" s="1"/>
  <c r="AO60" i="25"/>
  <c r="S60" i="25" s="1"/>
  <c r="AP84" i="25"/>
  <c r="T84" i="25" s="1"/>
  <c r="AO84" i="25"/>
  <c r="S84" i="25" s="1"/>
  <c r="AP104" i="25"/>
  <c r="T104" i="25" s="1"/>
  <c r="AO104" i="25"/>
  <c r="S104" i="25" s="1"/>
  <c r="AP116" i="25"/>
  <c r="T116" i="25" s="1"/>
  <c r="AO116" i="25"/>
  <c r="S116" i="25" s="1"/>
  <c r="AP132" i="25"/>
  <c r="T132" i="25" s="1"/>
  <c r="AO132" i="25"/>
  <c r="S132" i="25" s="1"/>
  <c r="AP144" i="25"/>
  <c r="T144" i="25" s="1"/>
  <c r="AO144" i="25"/>
  <c r="S144" i="25" s="1"/>
  <c r="AP176" i="25"/>
  <c r="T176" i="25" s="1"/>
  <c r="AO176" i="25"/>
  <c r="S176" i="25" s="1"/>
  <c r="AO196" i="25"/>
  <c r="S196" i="25" s="1"/>
  <c r="AP196" i="25"/>
  <c r="T196" i="25" s="1"/>
  <c r="AP208" i="25"/>
  <c r="T208" i="25" s="1"/>
  <c r="AO208" i="25"/>
  <c r="S208" i="25" s="1"/>
  <c r="AO209" i="25"/>
  <c r="S209" i="25" s="1"/>
  <c r="AP209" i="25"/>
  <c r="T209" i="25" s="1"/>
  <c r="AO25" i="25"/>
  <c r="S25" i="25" s="1"/>
  <c r="AP25" i="25"/>
  <c r="T25" i="25" s="1"/>
  <c r="AO33" i="25"/>
  <c r="S33" i="25" s="1"/>
  <c r="AP33" i="25"/>
  <c r="T33" i="25" s="1"/>
  <c r="AO65" i="25"/>
  <c r="S65" i="25" s="1"/>
  <c r="AP65" i="25"/>
  <c r="T65" i="25" s="1"/>
  <c r="AO73" i="25"/>
  <c r="S73" i="25" s="1"/>
  <c r="AP73" i="25"/>
  <c r="T73" i="25" s="1"/>
  <c r="AP50" i="25"/>
  <c r="T50" i="25" s="1"/>
  <c r="AO50" i="25"/>
  <c r="S50" i="25" s="1"/>
  <c r="AO143" i="25"/>
  <c r="S143" i="25" s="1"/>
  <c r="AP143" i="25"/>
  <c r="T143" i="25" s="1"/>
  <c r="AO17" i="25"/>
  <c r="S17" i="25" s="1"/>
  <c r="AP17" i="25"/>
  <c r="T17" i="25" s="1"/>
  <c r="AP26" i="25"/>
  <c r="T26" i="25" s="1"/>
  <c r="AO26" i="25"/>
  <c r="S26" i="25" s="1"/>
  <c r="AP62" i="25"/>
  <c r="T62" i="25" s="1"/>
  <c r="AO62" i="25"/>
  <c r="S62" i="25" s="1"/>
  <c r="AP70" i="25"/>
  <c r="T70" i="25" s="1"/>
  <c r="AO70" i="25"/>
  <c r="S70" i="25" s="1"/>
  <c r="AP78" i="25"/>
  <c r="T78" i="25" s="1"/>
  <c r="AO78" i="25"/>
  <c r="S78" i="25" s="1"/>
  <c r="AP106" i="25"/>
  <c r="T106" i="25" s="1"/>
  <c r="AO106" i="25"/>
  <c r="S106" i="25" s="1"/>
  <c r="AP122" i="25"/>
  <c r="T122" i="25" s="1"/>
  <c r="AO122" i="25"/>
  <c r="S122" i="25" s="1"/>
  <c r="AP130" i="25"/>
  <c r="T130" i="25" s="1"/>
  <c r="AO130" i="25"/>
  <c r="S130" i="25" s="1"/>
  <c r="AP138" i="25"/>
  <c r="T138" i="25" s="1"/>
  <c r="AO138" i="25"/>
  <c r="S138" i="25" s="1"/>
  <c r="AP146" i="25"/>
  <c r="T146" i="25" s="1"/>
  <c r="AO146" i="25"/>
  <c r="S146" i="25" s="1"/>
  <c r="AP154" i="25"/>
  <c r="T154" i="25" s="1"/>
  <c r="AO154" i="25"/>
  <c r="S154" i="25" s="1"/>
  <c r="AP162" i="25"/>
  <c r="T162" i="25" s="1"/>
  <c r="AO162" i="25"/>
  <c r="S162" i="25" s="1"/>
  <c r="AP170" i="25"/>
  <c r="T170" i="25" s="1"/>
  <c r="AO170" i="25"/>
  <c r="S170" i="25" s="1"/>
  <c r="AP178" i="25"/>
  <c r="T178" i="25" s="1"/>
  <c r="AO178" i="25"/>
  <c r="S178" i="25" s="1"/>
  <c r="AP186" i="25"/>
  <c r="T186" i="25" s="1"/>
  <c r="AO186" i="25"/>
  <c r="S186" i="25" s="1"/>
  <c r="AO194" i="25"/>
  <c r="S194" i="25" s="1"/>
  <c r="AP194" i="25"/>
  <c r="T194" i="25" s="1"/>
  <c r="AP202" i="25"/>
  <c r="T202" i="25" s="1"/>
  <c r="AO202" i="25"/>
  <c r="S202" i="25" s="1"/>
  <c r="AO210" i="25"/>
  <c r="S210" i="25" s="1"/>
  <c r="AP210" i="25"/>
  <c r="T210" i="25" s="1"/>
  <c r="AO218" i="25"/>
  <c r="S218" i="25" s="1"/>
  <c r="AP218" i="25"/>
  <c r="T218" i="25" s="1"/>
  <c r="AP226" i="25"/>
  <c r="T226" i="25" s="1"/>
  <c r="AO226" i="25"/>
  <c r="S226" i="25" s="1"/>
  <c r="AP234" i="25"/>
  <c r="T234" i="25" s="1"/>
  <c r="AO234" i="25"/>
  <c r="S234" i="25" s="1"/>
  <c r="AP159" i="25"/>
  <c r="T159" i="25" s="1"/>
  <c r="AO159" i="25"/>
  <c r="S159" i="25" s="1"/>
  <c r="AP63" i="25"/>
  <c r="T63" i="25" s="1"/>
  <c r="AO63" i="25"/>
  <c r="S63" i="25" s="1"/>
  <c r="AO87" i="25"/>
  <c r="S87" i="25" s="1"/>
  <c r="AP87" i="25"/>
  <c r="T87" i="25" s="1"/>
  <c r="AP127" i="25"/>
  <c r="T127" i="25" s="1"/>
  <c r="AO127" i="25"/>
  <c r="S127" i="25" s="1"/>
  <c r="AP151" i="25"/>
  <c r="T151" i="25" s="1"/>
  <c r="AO151" i="25"/>
  <c r="S151" i="25" s="1"/>
  <c r="AO167" i="25"/>
  <c r="S167" i="25" s="1"/>
  <c r="AP167" i="25"/>
  <c r="T167" i="25" s="1"/>
  <c r="AP183" i="25"/>
  <c r="T183" i="25" s="1"/>
  <c r="AO183" i="25"/>
  <c r="S183" i="25" s="1"/>
  <c r="AO191" i="25"/>
  <c r="S191" i="25" s="1"/>
  <c r="AP191" i="25"/>
  <c r="T191" i="25" s="1"/>
  <c r="AP32" i="25"/>
  <c r="T32" i="25" s="1"/>
  <c r="AO32" i="25"/>
  <c r="S32" i="25" s="1"/>
  <c r="AP44" i="25"/>
  <c r="T44" i="25" s="1"/>
  <c r="AO44" i="25"/>
  <c r="S44" i="25" s="1"/>
  <c r="AP56" i="25"/>
  <c r="T56" i="25" s="1"/>
  <c r="AO56" i="25"/>
  <c r="S56" i="25" s="1"/>
  <c r="AP68" i="25"/>
  <c r="T68" i="25" s="1"/>
  <c r="AO68" i="25"/>
  <c r="S68" i="25" s="1"/>
  <c r="AP80" i="25"/>
  <c r="T80" i="25" s="1"/>
  <c r="AO80" i="25"/>
  <c r="S80" i="25" s="1"/>
  <c r="AP92" i="25"/>
  <c r="T92" i="25" s="1"/>
  <c r="AO92" i="25"/>
  <c r="S92" i="25" s="1"/>
  <c r="AP112" i="25"/>
  <c r="T112" i="25" s="1"/>
  <c r="AO112" i="25"/>
  <c r="S112" i="25" s="1"/>
  <c r="AP128" i="25"/>
  <c r="T128" i="25" s="1"/>
  <c r="AO128" i="25"/>
  <c r="S128" i="25" s="1"/>
  <c r="AP156" i="25"/>
  <c r="T156" i="25" s="1"/>
  <c r="AO156" i="25"/>
  <c r="S156" i="25" s="1"/>
  <c r="AP184" i="25"/>
  <c r="T184" i="25" s="1"/>
  <c r="AO184" i="25"/>
  <c r="S184" i="25" s="1"/>
  <c r="AP192" i="25"/>
  <c r="T192" i="25" s="1"/>
  <c r="AO192" i="25"/>
  <c r="S192" i="25" s="1"/>
  <c r="AP220" i="25"/>
  <c r="T220" i="25" s="1"/>
  <c r="AO220" i="25"/>
  <c r="S220" i="25" s="1"/>
  <c r="AO105" i="25"/>
  <c r="S105" i="25" s="1"/>
  <c r="AP105" i="25"/>
  <c r="T105" i="25" s="1"/>
  <c r="AO81" i="25"/>
  <c r="S81" i="25" s="1"/>
  <c r="AP81" i="25"/>
  <c r="T81" i="25" s="1"/>
  <c r="AO89" i="25"/>
  <c r="S89" i="25" s="1"/>
  <c r="AP89" i="25"/>
  <c r="T89" i="25" s="1"/>
  <c r="AO97" i="25"/>
  <c r="S97" i="25" s="1"/>
  <c r="AP97" i="25"/>
  <c r="T97" i="25" s="1"/>
  <c r="AO161" i="25"/>
  <c r="S161" i="25" s="1"/>
  <c r="AP161" i="25"/>
  <c r="T161" i="25" s="1"/>
  <c r="AO169" i="25"/>
  <c r="S169" i="25" s="1"/>
  <c r="AP169" i="25"/>
  <c r="T169" i="25" s="1"/>
  <c r="AO177" i="25"/>
  <c r="S177" i="25" s="1"/>
  <c r="AP177" i="25"/>
  <c r="T177" i="25" s="1"/>
  <c r="AO225" i="25"/>
  <c r="S225" i="25" s="1"/>
  <c r="AP225" i="25"/>
  <c r="T225" i="25" s="1"/>
  <c r="AO119" i="25"/>
  <c r="S119" i="25" s="1"/>
  <c r="AP119" i="25"/>
  <c r="T119" i="25" s="1"/>
  <c r="AP148" i="25"/>
  <c r="T148" i="25" s="1"/>
  <c r="AO148" i="25"/>
  <c r="S148" i="25" s="1"/>
  <c r="AP22" i="25"/>
  <c r="T22" i="25" s="1"/>
  <c r="AO22" i="25"/>
  <c r="S22" i="25" s="1"/>
  <c r="AP34" i="25"/>
  <c r="T34" i="25" s="1"/>
  <c r="AO34" i="25"/>
  <c r="S34" i="25" s="1"/>
  <c r="AP90" i="25"/>
  <c r="T90" i="25" s="1"/>
  <c r="AO90" i="25"/>
  <c r="S90" i="25" s="1"/>
  <c r="AP98" i="25"/>
  <c r="T98" i="25" s="1"/>
  <c r="AO98" i="25"/>
  <c r="S98" i="25" s="1"/>
  <c r="AP110" i="25"/>
  <c r="T110" i="25" s="1"/>
  <c r="AO110" i="25"/>
  <c r="S110" i="25" s="1"/>
  <c r="AP118" i="25"/>
  <c r="T118" i="25" s="1"/>
  <c r="AO118" i="25"/>
  <c r="S118" i="25" s="1"/>
  <c r="AO121" i="25"/>
  <c r="S121" i="25" s="1"/>
  <c r="AP121" i="25"/>
  <c r="T121" i="25" s="1"/>
  <c r="AP164" i="25"/>
  <c r="T164" i="25" s="1"/>
  <c r="AO164" i="25"/>
  <c r="S164" i="25" s="1"/>
  <c r="AP27" i="25"/>
  <c r="T27" i="25" s="1"/>
  <c r="AO27" i="25"/>
  <c r="S27" i="25" s="1"/>
  <c r="AP51" i="25"/>
  <c r="T51" i="25" s="1"/>
  <c r="AO51" i="25"/>
  <c r="S51" i="25" s="1"/>
  <c r="AP83" i="25"/>
  <c r="T83" i="25" s="1"/>
  <c r="AO83" i="25"/>
  <c r="S83" i="25" s="1"/>
  <c r="AP45" i="25"/>
  <c r="T45" i="25" s="1"/>
  <c r="AO45" i="25"/>
  <c r="S45" i="25" s="1"/>
  <c r="AP136" i="25"/>
  <c r="T136" i="25" s="1"/>
  <c r="AO136" i="25"/>
  <c r="S136" i="25" s="1"/>
  <c r="AP188" i="25"/>
  <c r="T188" i="25" s="1"/>
  <c r="AO188" i="25"/>
  <c r="S188" i="25" s="1"/>
  <c r="AO221" i="25"/>
  <c r="S221" i="25" s="1"/>
  <c r="AP221" i="25"/>
  <c r="T221" i="25" s="1"/>
  <c r="AP20" i="25"/>
  <c r="T20" i="25" s="1"/>
  <c r="AO20" i="25"/>
  <c r="S20" i="25" s="1"/>
  <c r="AP40" i="25"/>
  <c r="T40" i="25" s="1"/>
  <c r="AO40" i="25"/>
  <c r="S40" i="25" s="1"/>
  <c r="AP64" i="25"/>
  <c r="T64" i="25" s="1"/>
  <c r="AO64" i="25"/>
  <c r="S64" i="25" s="1"/>
  <c r="AP76" i="25"/>
  <c r="T76" i="25" s="1"/>
  <c r="AO76" i="25"/>
  <c r="S76" i="25" s="1"/>
  <c r="AP88" i="25"/>
  <c r="T88" i="25" s="1"/>
  <c r="AO88" i="25"/>
  <c r="S88" i="25" s="1"/>
  <c r="AP100" i="25"/>
  <c r="T100" i="25" s="1"/>
  <c r="AO100" i="25"/>
  <c r="S100" i="25" s="1"/>
  <c r="AP120" i="25"/>
  <c r="T120" i="25" s="1"/>
  <c r="AO120" i="25"/>
  <c r="S120" i="25" s="1"/>
  <c r="AP172" i="25"/>
  <c r="T172" i="25" s="1"/>
  <c r="AO172" i="25"/>
  <c r="S172" i="25" s="1"/>
  <c r="AO57" i="25"/>
  <c r="S57" i="25" s="1"/>
  <c r="AP57" i="25"/>
  <c r="T57" i="25" s="1"/>
  <c r="AO133" i="25"/>
  <c r="S133" i="25" s="1"/>
  <c r="AP133" i="25"/>
  <c r="T133" i="25" s="1"/>
  <c r="AH14" i="36"/>
  <c r="AH30" i="36"/>
  <c r="AH26" i="36"/>
  <c r="AH22" i="36"/>
  <c r="AH18" i="36"/>
  <c r="AH33" i="36"/>
  <c r="AH29" i="36"/>
  <c r="AH25" i="36"/>
  <c r="AH21" i="36"/>
  <c r="AH17" i="36"/>
  <c r="AH32" i="36"/>
  <c r="AH28" i="36"/>
  <c r="AH24" i="36"/>
  <c r="AH20" i="36"/>
  <c r="AH16" i="36"/>
  <c r="AI15" i="36"/>
  <c r="AH31" i="36"/>
  <c r="AH27" i="36"/>
  <c r="AH23" i="36"/>
  <c r="AH19" i="36"/>
  <c r="AJ13" i="36"/>
  <c r="AJ14" i="36"/>
  <c r="AJ15" i="36"/>
  <c r="AI13" i="36"/>
  <c r="AI14" i="36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P24" i="21" s="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6" i="21"/>
  <c r="N117" i="21"/>
  <c r="N118" i="21"/>
  <c r="N119" i="21"/>
  <c r="N120" i="21"/>
  <c r="N121" i="21"/>
  <c r="N122" i="21"/>
  <c r="N123" i="21"/>
  <c r="N124" i="21"/>
  <c r="N125" i="21"/>
  <c r="N126" i="21"/>
  <c r="N127" i="21"/>
  <c r="N128" i="21"/>
  <c r="N129" i="21"/>
  <c r="N130" i="21"/>
  <c r="N131" i="21"/>
  <c r="N132" i="21"/>
  <c r="N133" i="21"/>
  <c r="N134" i="21"/>
  <c r="N135" i="21"/>
  <c r="N9" i="21"/>
  <c r="P9" i="21" s="1"/>
  <c r="AL9" i="21" s="1"/>
  <c r="AM9" i="21" s="1"/>
  <c r="BH9" i="21"/>
  <c r="CH9" i="21"/>
  <c r="C68" i="37" l="1"/>
  <c r="F68" i="37" s="1"/>
  <c r="C100" i="37"/>
  <c r="F100" i="37" s="1"/>
  <c r="C113" i="37" s="1"/>
  <c r="C89" i="37"/>
  <c r="F89" i="37" s="1"/>
  <c r="C88" i="37"/>
  <c r="F88" i="37" s="1"/>
  <c r="F86" i="37"/>
  <c r="C79" i="37"/>
  <c r="F79" i="37" s="1"/>
  <c r="C78" i="37"/>
  <c r="F78" i="37" s="1"/>
  <c r="F76" i="37"/>
  <c r="C69" i="37"/>
  <c r="F69" i="37" s="1"/>
  <c r="J20" i="27"/>
  <c r="M21" i="27"/>
  <c r="K21" i="27"/>
  <c r="J21" i="27"/>
  <c r="L21" i="27"/>
  <c r="N21" i="27"/>
  <c r="N22" i="27" s="1"/>
  <c r="E14" i="27"/>
  <c r="E16" i="27" s="1"/>
  <c r="C61" i="37"/>
  <c r="F61" i="37" s="1"/>
  <c r="C62" i="37"/>
  <c r="F62" i="37" s="1"/>
  <c r="L20" i="27"/>
  <c r="F9" i="27"/>
  <c r="F19" i="27" s="1"/>
  <c r="F21" i="27" s="1"/>
  <c r="P21" i="27" s="1"/>
  <c r="F59" i="37"/>
  <c r="S15" i="25"/>
  <c r="T15" i="25"/>
  <c r="K41" i="21"/>
  <c r="AB9" i="36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9" i="21"/>
  <c r="DH125" i="21"/>
  <c r="DH104" i="21"/>
  <c r="DI104" i="21"/>
  <c r="DH105" i="21"/>
  <c r="DI105" i="21"/>
  <c r="DH106" i="21"/>
  <c r="DI106" i="21"/>
  <c r="DH107" i="21"/>
  <c r="DI107" i="21"/>
  <c r="DH108" i="21"/>
  <c r="DI108" i="21"/>
  <c r="DH109" i="21"/>
  <c r="DI109" i="21"/>
  <c r="DH110" i="21"/>
  <c r="DI110" i="21"/>
  <c r="DH111" i="21"/>
  <c r="DI111" i="21"/>
  <c r="DH112" i="21"/>
  <c r="DI112" i="21"/>
  <c r="DH113" i="21"/>
  <c r="DI113" i="21"/>
  <c r="DH114" i="21"/>
  <c r="DI114" i="21"/>
  <c r="DH115" i="21"/>
  <c r="DI115" i="21"/>
  <c r="DH116" i="21"/>
  <c r="DI116" i="21"/>
  <c r="DH117" i="21"/>
  <c r="DI117" i="21"/>
  <c r="DH118" i="21"/>
  <c r="DI118" i="21"/>
  <c r="DH119" i="21"/>
  <c r="DI119" i="21"/>
  <c r="DH120" i="21"/>
  <c r="DI120" i="21"/>
  <c r="DH121" i="21"/>
  <c r="DI121" i="21"/>
  <c r="DH122" i="21"/>
  <c r="DI122" i="21"/>
  <c r="DH123" i="21"/>
  <c r="DI123" i="21"/>
  <c r="DH124" i="21"/>
  <c r="DI124" i="21"/>
  <c r="DI125" i="21"/>
  <c r="DH126" i="21"/>
  <c r="DI126" i="21"/>
  <c r="DH127" i="21"/>
  <c r="DI127" i="21"/>
  <c r="DH128" i="21"/>
  <c r="DI128" i="21"/>
  <c r="DH129" i="21"/>
  <c r="DI129" i="21"/>
  <c r="DH130" i="21"/>
  <c r="DI130" i="21"/>
  <c r="DH131" i="21"/>
  <c r="DI131" i="21"/>
  <c r="DH132" i="21"/>
  <c r="DI132" i="21"/>
  <c r="DH133" i="21"/>
  <c r="DI133" i="21"/>
  <c r="DH134" i="21"/>
  <c r="DI134" i="21"/>
  <c r="DH135" i="21"/>
  <c r="DI135" i="21"/>
  <c r="CH102" i="21"/>
  <c r="CI102" i="21"/>
  <c r="CH103" i="21"/>
  <c r="CI103" i="21"/>
  <c r="CH104" i="21"/>
  <c r="CI104" i="21"/>
  <c r="CH105" i="21"/>
  <c r="CI105" i="21"/>
  <c r="CH106" i="21"/>
  <c r="CI106" i="21"/>
  <c r="CH107" i="21"/>
  <c r="CI107" i="21"/>
  <c r="CH108" i="21"/>
  <c r="CI108" i="21"/>
  <c r="CH109" i="21"/>
  <c r="CI109" i="21"/>
  <c r="CH110" i="21"/>
  <c r="CI110" i="21"/>
  <c r="CH111" i="21"/>
  <c r="CI111" i="21"/>
  <c r="CH112" i="21"/>
  <c r="CI112" i="21"/>
  <c r="CH113" i="21"/>
  <c r="CI113" i="21"/>
  <c r="CH114" i="21"/>
  <c r="CI114" i="21"/>
  <c r="CH115" i="21"/>
  <c r="CI115" i="21"/>
  <c r="CH116" i="21"/>
  <c r="CI116" i="21"/>
  <c r="CH117" i="21"/>
  <c r="CI117" i="21"/>
  <c r="CH118" i="21"/>
  <c r="CI118" i="21"/>
  <c r="CH119" i="21"/>
  <c r="CI119" i="21"/>
  <c r="CH120" i="21"/>
  <c r="CI120" i="21"/>
  <c r="CH121" i="21"/>
  <c r="CI121" i="21"/>
  <c r="CH122" i="21"/>
  <c r="CI122" i="21"/>
  <c r="CH123" i="21"/>
  <c r="CI123" i="21"/>
  <c r="CH124" i="21"/>
  <c r="CI124" i="21"/>
  <c r="CH125" i="21"/>
  <c r="CI125" i="21"/>
  <c r="CH126" i="21"/>
  <c r="CI126" i="21"/>
  <c r="CH127" i="21"/>
  <c r="CI127" i="21"/>
  <c r="CH128" i="21"/>
  <c r="CI128" i="21"/>
  <c r="CH129" i="21"/>
  <c r="CI129" i="21"/>
  <c r="CH130" i="21"/>
  <c r="CI130" i="21"/>
  <c r="CH131" i="21"/>
  <c r="CI131" i="21"/>
  <c r="CH132" i="21"/>
  <c r="CI132" i="21"/>
  <c r="CH133" i="21"/>
  <c r="CI133" i="21"/>
  <c r="CH134" i="21"/>
  <c r="CI134" i="21"/>
  <c r="CH135" i="21"/>
  <c r="CI135" i="21"/>
  <c r="BI106" i="21"/>
  <c r="BI107" i="21"/>
  <c r="BI108" i="21"/>
  <c r="BI109" i="21"/>
  <c r="BI110" i="21"/>
  <c r="BI111" i="21"/>
  <c r="BI112" i="21"/>
  <c r="BI113" i="21"/>
  <c r="BI114" i="21"/>
  <c r="BI115" i="21"/>
  <c r="BI116" i="21"/>
  <c r="BI117" i="21"/>
  <c r="BI118" i="21"/>
  <c r="BI119" i="21"/>
  <c r="BI120" i="21"/>
  <c r="BI121" i="21"/>
  <c r="BI122" i="21"/>
  <c r="BI123" i="21"/>
  <c r="BI124" i="21"/>
  <c r="BI125" i="21"/>
  <c r="BI126" i="21"/>
  <c r="BI127" i="21"/>
  <c r="BI128" i="21"/>
  <c r="BI129" i="21"/>
  <c r="BI130" i="21"/>
  <c r="BI131" i="21"/>
  <c r="BI132" i="21"/>
  <c r="BI133" i="21"/>
  <c r="BI134" i="21"/>
  <c r="BI135" i="21"/>
  <c r="BH106" i="21"/>
  <c r="BH107" i="21"/>
  <c r="BH108" i="21"/>
  <c r="BH109" i="21"/>
  <c r="BH110" i="21"/>
  <c r="BH111" i="21"/>
  <c r="BH112" i="21"/>
  <c r="BH113" i="21"/>
  <c r="BH114" i="21"/>
  <c r="BH115" i="21"/>
  <c r="BH116" i="21"/>
  <c r="BH117" i="21"/>
  <c r="BH118" i="21"/>
  <c r="BH119" i="21"/>
  <c r="BH120" i="21"/>
  <c r="BH121" i="21"/>
  <c r="BH122" i="21"/>
  <c r="BH123" i="21"/>
  <c r="BH124" i="21"/>
  <c r="BH125" i="21"/>
  <c r="BH126" i="21"/>
  <c r="BH127" i="21"/>
  <c r="BH128" i="21"/>
  <c r="BH129" i="21"/>
  <c r="BH130" i="21"/>
  <c r="BH131" i="21"/>
  <c r="BH132" i="21"/>
  <c r="BH133" i="21"/>
  <c r="BH134" i="21"/>
  <c r="BH135" i="21"/>
  <c r="J22" i="27" l="1"/>
  <c r="M20" i="27"/>
  <c r="O20" i="27"/>
  <c r="F14" i="27"/>
  <c r="F16" i="27" s="1"/>
  <c r="P20" i="27" s="1"/>
  <c r="P22" i="27" s="1"/>
  <c r="L22" i="27"/>
  <c r="K20" i="27"/>
  <c r="BO9" i="21"/>
  <c r="CO9" i="21"/>
  <c r="AB10" i="36"/>
  <c r="CZ10" i="21"/>
  <c r="CZ11" i="21"/>
  <c r="CZ12" i="21"/>
  <c r="CZ13" i="21"/>
  <c r="CZ14" i="21"/>
  <c r="CZ15" i="21"/>
  <c r="CZ16" i="21"/>
  <c r="CZ17" i="21"/>
  <c r="CZ18" i="21"/>
  <c r="CZ19" i="21"/>
  <c r="CZ20" i="21"/>
  <c r="CZ21" i="21"/>
  <c r="CZ22" i="21"/>
  <c r="CZ23" i="21"/>
  <c r="CZ24" i="21"/>
  <c r="CZ25" i="21"/>
  <c r="CZ26" i="21"/>
  <c r="CZ27" i="21"/>
  <c r="CZ28" i="21"/>
  <c r="CZ29" i="21"/>
  <c r="CZ30" i="21"/>
  <c r="CZ31" i="21"/>
  <c r="CZ32" i="21"/>
  <c r="CZ33" i="21"/>
  <c r="CZ34" i="21"/>
  <c r="CZ35" i="21"/>
  <c r="CZ36" i="21"/>
  <c r="CZ37" i="21"/>
  <c r="CZ38" i="21"/>
  <c r="CZ39" i="21"/>
  <c r="CZ40" i="21"/>
  <c r="CZ41" i="21"/>
  <c r="CZ42" i="21"/>
  <c r="CZ43" i="21"/>
  <c r="CZ44" i="21"/>
  <c r="CZ45" i="21"/>
  <c r="CZ46" i="21"/>
  <c r="CZ47" i="21"/>
  <c r="CZ48" i="21"/>
  <c r="CZ49" i="21"/>
  <c r="CZ50" i="21"/>
  <c r="CZ51" i="21"/>
  <c r="CZ52" i="21"/>
  <c r="CZ53" i="21"/>
  <c r="CZ54" i="21"/>
  <c r="CZ55" i="21"/>
  <c r="CZ56" i="21"/>
  <c r="CZ57" i="21"/>
  <c r="CZ58" i="21"/>
  <c r="CZ59" i="21"/>
  <c r="CZ60" i="21"/>
  <c r="CZ61" i="21"/>
  <c r="CZ62" i="21"/>
  <c r="CZ63" i="21"/>
  <c r="CZ64" i="21"/>
  <c r="CZ65" i="21"/>
  <c r="CZ66" i="21"/>
  <c r="CZ67" i="21"/>
  <c r="CZ68" i="21"/>
  <c r="CZ69" i="21"/>
  <c r="CZ70" i="21"/>
  <c r="CZ71" i="21"/>
  <c r="CZ72" i="21"/>
  <c r="CZ73" i="21"/>
  <c r="CZ74" i="21"/>
  <c r="CZ75" i="21"/>
  <c r="CZ76" i="21"/>
  <c r="CZ77" i="21"/>
  <c r="CZ78" i="21"/>
  <c r="CZ79" i="21"/>
  <c r="CZ80" i="21"/>
  <c r="CZ81" i="21"/>
  <c r="CZ82" i="21"/>
  <c r="CZ83" i="21"/>
  <c r="CZ84" i="21"/>
  <c r="CZ85" i="21"/>
  <c r="CZ86" i="21"/>
  <c r="CZ87" i="21"/>
  <c r="CZ88" i="21"/>
  <c r="CZ89" i="21"/>
  <c r="CZ90" i="21"/>
  <c r="CZ91" i="21"/>
  <c r="CZ92" i="21"/>
  <c r="CZ93" i="21"/>
  <c r="CZ94" i="21"/>
  <c r="CZ95" i="21"/>
  <c r="CZ96" i="21"/>
  <c r="CZ97" i="21"/>
  <c r="CZ98" i="21"/>
  <c r="CZ99" i="21"/>
  <c r="CZ100" i="21"/>
  <c r="CZ101" i="21"/>
  <c r="CZ102" i="21"/>
  <c r="CZ103" i="21"/>
  <c r="CZ104" i="21"/>
  <c r="CZ105" i="21"/>
  <c r="CZ106" i="21"/>
  <c r="CZ107" i="21"/>
  <c r="CZ108" i="21"/>
  <c r="CZ109" i="21"/>
  <c r="CZ110" i="21"/>
  <c r="CZ111" i="21"/>
  <c r="CZ112" i="21"/>
  <c r="CZ113" i="21"/>
  <c r="CZ114" i="21"/>
  <c r="CZ115" i="21"/>
  <c r="CZ116" i="21"/>
  <c r="CZ117" i="21"/>
  <c r="CZ118" i="21"/>
  <c r="CZ119" i="21"/>
  <c r="CZ120" i="21"/>
  <c r="CZ121" i="21"/>
  <c r="CZ122" i="21"/>
  <c r="CZ123" i="21"/>
  <c r="CZ124" i="21"/>
  <c r="CZ125" i="21"/>
  <c r="CZ126" i="21"/>
  <c r="CZ127" i="21"/>
  <c r="CZ128" i="21"/>
  <c r="CZ129" i="21"/>
  <c r="CZ130" i="21"/>
  <c r="CZ131" i="21"/>
  <c r="CZ132" i="21"/>
  <c r="CZ133" i="21"/>
  <c r="CZ134" i="21"/>
  <c r="CZ135" i="21"/>
  <c r="CZ9" i="21"/>
  <c r="BZ10" i="21"/>
  <c r="BZ11" i="21"/>
  <c r="BZ12" i="21"/>
  <c r="BZ13" i="21"/>
  <c r="BZ14" i="21"/>
  <c r="BZ15" i="21"/>
  <c r="BZ16" i="21"/>
  <c r="BZ17" i="21"/>
  <c r="BZ18" i="21"/>
  <c r="BZ19" i="21"/>
  <c r="BZ20" i="21"/>
  <c r="BZ21" i="21"/>
  <c r="BZ22" i="21"/>
  <c r="BZ23" i="21"/>
  <c r="BZ24" i="21"/>
  <c r="BZ25" i="21"/>
  <c r="BZ26" i="21"/>
  <c r="BZ27" i="21"/>
  <c r="BZ28" i="21"/>
  <c r="BZ29" i="21"/>
  <c r="BZ30" i="21"/>
  <c r="BZ31" i="21"/>
  <c r="BZ32" i="21"/>
  <c r="BZ33" i="21"/>
  <c r="BZ34" i="21"/>
  <c r="BZ35" i="21"/>
  <c r="BZ36" i="21"/>
  <c r="BZ37" i="21"/>
  <c r="BZ38" i="21"/>
  <c r="BZ39" i="21"/>
  <c r="BZ40" i="21"/>
  <c r="BZ41" i="21"/>
  <c r="BZ42" i="21"/>
  <c r="BZ43" i="21"/>
  <c r="BZ44" i="21"/>
  <c r="BZ45" i="21"/>
  <c r="BZ46" i="21"/>
  <c r="BZ47" i="21"/>
  <c r="BZ48" i="21"/>
  <c r="BZ49" i="21"/>
  <c r="BZ50" i="21"/>
  <c r="BZ51" i="21"/>
  <c r="BZ52" i="21"/>
  <c r="BZ53" i="21"/>
  <c r="BZ54" i="21"/>
  <c r="BZ55" i="21"/>
  <c r="BZ56" i="21"/>
  <c r="BZ57" i="21"/>
  <c r="BZ58" i="21"/>
  <c r="BZ59" i="21"/>
  <c r="BZ60" i="21"/>
  <c r="BZ61" i="21"/>
  <c r="BZ62" i="21"/>
  <c r="BZ63" i="21"/>
  <c r="BZ64" i="21"/>
  <c r="BZ65" i="21"/>
  <c r="BZ66" i="21"/>
  <c r="BZ67" i="21"/>
  <c r="BZ68" i="21"/>
  <c r="BZ69" i="21"/>
  <c r="BZ70" i="21"/>
  <c r="BZ71" i="21"/>
  <c r="BZ72" i="21"/>
  <c r="BZ73" i="21"/>
  <c r="BZ74" i="21"/>
  <c r="BZ75" i="21"/>
  <c r="BZ76" i="21"/>
  <c r="BZ77" i="21"/>
  <c r="BZ78" i="21"/>
  <c r="BZ79" i="21"/>
  <c r="BZ80" i="21"/>
  <c r="BZ81" i="21"/>
  <c r="BZ82" i="21"/>
  <c r="BZ83" i="21"/>
  <c r="BZ84" i="21"/>
  <c r="BZ85" i="21"/>
  <c r="BZ86" i="21"/>
  <c r="BZ87" i="21"/>
  <c r="BZ88" i="21"/>
  <c r="BZ89" i="21"/>
  <c r="BZ90" i="21"/>
  <c r="BZ91" i="21"/>
  <c r="BZ92" i="21"/>
  <c r="BZ93" i="21"/>
  <c r="BZ94" i="21"/>
  <c r="BZ95" i="21"/>
  <c r="BZ96" i="21"/>
  <c r="BZ97" i="21"/>
  <c r="BZ98" i="21"/>
  <c r="BZ99" i="21"/>
  <c r="BZ100" i="21"/>
  <c r="BZ101" i="21"/>
  <c r="BZ102" i="21"/>
  <c r="BZ103" i="21"/>
  <c r="BZ104" i="21"/>
  <c r="BZ105" i="21"/>
  <c r="BZ106" i="21"/>
  <c r="BZ107" i="21"/>
  <c r="BZ108" i="21"/>
  <c r="BZ109" i="21"/>
  <c r="BZ110" i="21"/>
  <c r="BZ111" i="21"/>
  <c r="BZ112" i="21"/>
  <c r="BZ113" i="21"/>
  <c r="BZ114" i="21"/>
  <c r="BZ115" i="21"/>
  <c r="BZ116" i="21"/>
  <c r="BZ117" i="21"/>
  <c r="BZ118" i="21"/>
  <c r="BZ119" i="21"/>
  <c r="BZ120" i="21"/>
  <c r="BZ121" i="21"/>
  <c r="BZ122" i="21"/>
  <c r="BZ123" i="21"/>
  <c r="BZ124" i="21"/>
  <c r="BZ125" i="21"/>
  <c r="BZ126" i="21"/>
  <c r="BZ127" i="21"/>
  <c r="BZ128" i="21"/>
  <c r="BZ129" i="21"/>
  <c r="BZ130" i="21"/>
  <c r="BZ131" i="21"/>
  <c r="BZ132" i="21"/>
  <c r="BZ133" i="21"/>
  <c r="BZ134" i="21"/>
  <c r="BZ135" i="21"/>
  <c r="AZ10" i="21"/>
  <c r="AZ11" i="21"/>
  <c r="AZ12" i="21"/>
  <c r="AZ13" i="21"/>
  <c r="AZ14" i="21"/>
  <c r="AZ15" i="21"/>
  <c r="AZ16" i="21"/>
  <c r="AZ17" i="21"/>
  <c r="AZ18" i="21"/>
  <c r="AZ19" i="21"/>
  <c r="AZ20" i="21"/>
  <c r="AZ21" i="21"/>
  <c r="AZ22" i="21"/>
  <c r="AZ23" i="21"/>
  <c r="AZ24" i="21"/>
  <c r="AZ25" i="21"/>
  <c r="AZ26" i="21"/>
  <c r="AZ27" i="21"/>
  <c r="AZ28" i="21"/>
  <c r="AZ29" i="21"/>
  <c r="AZ30" i="21"/>
  <c r="AZ31" i="21"/>
  <c r="AZ32" i="21"/>
  <c r="AZ33" i="21"/>
  <c r="AZ34" i="21"/>
  <c r="AZ35" i="21"/>
  <c r="AZ36" i="21"/>
  <c r="AZ37" i="21"/>
  <c r="AZ38" i="21"/>
  <c r="AZ39" i="21"/>
  <c r="AZ40" i="21"/>
  <c r="AZ41" i="21"/>
  <c r="AZ42" i="21"/>
  <c r="AZ43" i="21"/>
  <c r="AZ44" i="21"/>
  <c r="AZ45" i="21"/>
  <c r="AZ46" i="21"/>
  <c r="AZ47" i="21"/>
  <c r="AZ48" i="21"/>
  <c r="AZ49" i="21"/>
  <c r="AZ50" i="21"/>
  <c r="AZ51" i="21"/>
  <c r="AZ52" i="21"/>
  <c r="AZ53" i="21"/>
  <c r="AZ54" i="21"/>
  <c r="AZ55" i="21"/>
  <c r="AZ57" i="21"/>
  <c r="AZ58" i="21"/>
  <c r="AZ59" i="21"/>
  <c r="AZ60" i="21"/>
  <c r="AZ61" i="21"/>
  <c r="AZ62" i="21"/>
  <c r="AZ63" i="21"/>
  <c r="AZ64" i="21"/>
  <c r="AZ65" i="21"/>
  <c r="AZ66" i="21"/>
  <c r="AZ67" i="21"/>
  <c r="AZ68" i="21"/>
  <c r="AZ69" i="21"/>
  <c r="AZ70" i="21"/>
  <c r="AZ71" i="21"/>
  <c r="AZ72" i="21"/>
  <c r="AZ73" i="21"/>
  <c r="AZ74" i="21"/>
  <c r="AZ75" i="21"/>
  <c r="AZ76" i="21"/>
  <c r="AZ78" i="21"/>
  <c r="AZ79" i="21"/>
  <c r="AZ80" i="21"/>
  <c r="AZ81" i="21"/>
  <c r="AZ82" i="21"/>
  <c r="AZ83" i="21"/>
  <c r="AZ84" i="21"/>
  <c r="AZ85" i="21"/>
  <c r="AZ86" i="21"/>
  <c r="AZ87" i="21"/>
  <c r="AZ88" i="21"/>
  <c r="AZ89" i="21"/>
  <c r="AZ90" i="21"/>
  <c r="AZ91" i="21"/>
  <c r="AZ92" i="21"/>
  <c r="AZ93" i="21"/>
  <c r="AZ94" i="21"/>
  <c r="AZ95" i="21"/>
  <c r="AZ96" i="21"/>
  <c r="AZ97" i="21"/>
  <c r="AZ98" i="21"/>
  <c r="AZ99" i="21"/>
  <c r="AZ100" i="21"/>
  <c r="AZ101" i="21"/>
  <c r="AZ102" i="21"/>
  <c r="AZ103" i="21"/>
  <c r="AZ104" i="21"/>
  <c r="AZ105" i="21"/>
  <c r="AZ106" i="21"/>
  <c r="AZ107" i="21"/>
  <c r="AZ108" i="21"/>
  <c r="AZ109" i="21"/>
  <c r="AZ110" i="21"/>
  <c r="AZ111" i="21"/>
  <c r="AZ112" i="21"/>
  <c r="AZ113" i="21"/>
  <c r="AZ114" i="21"/>
  <c r="AZ115" i="21"/>
  <c r="AZ116" i="21"/>
  <c r="AZ117" i="21"/>
  <c r="AZ118" i="21"/>
  <c r="AZ119" i="21"/>
  <c r="AZ120" i="21"/>
  <c r="AZ121" i="21"/>
  <c r="AZ122" i="21"/>
  <c r="AZ123" i="21"/>
  <c r="AZ124" i="21"/>
  <c r="AZ125" i="21"/>
  <c r="AZ126" i="21"/>
  <c r="AZ127" i="21"/>
  <c r="AZ128" i="21"/>
  <c r="AZ129" i="21"/>
  <c r="AZ130" i="21"/>
  <c r="AZ131" i="21"/>
  <c r="AZ132" i="21"/>
  <c r="AZ133" i="21"/>
  <c r="AZ134" i="21"/>
  <c r="AZ135" i="21"/>
  <c r="M22" i="27" l="1"/>
  <c r="O22" i="27"/>
  <c r="K22" i="27"/>
  <c r="BD80" i="21"/>
  <c r="P10" i="21"/>
  <c r="AL10" i="21" s="1"/>
  <c r="P11" i="21"/>
  <c r="AL11" i="21" s="1"/>
  <c r="P12" i="21"/>
  <c r="AL12" i="21" s="1"/>
  <c r="P13" i="21"/>
  <c r="AL13" i="21" s="1"/>
  <c r="P14" i="21"/>
  <c r="AL14" i="21" s="1"/>
  <c r="P15" i="21"/>
  <c r="AL15" i="21" s="1"/>
  <c r="P16" i="21"/>
  <c r="AL16" i="21" s="1"/>
  <c r="P17" i="21"/>
  <c r="AL17" i="21" s="1"/>
  <c r="P18" i="21"/>
  <c r="AL18" i="21" s="1"/>
  <c r="P19" i="21"/>
  <c r="AL19" i="21" s="1"/>
  <c r="P20" i="21"/>
  <c r="AL20" i="21" s="1"/>
  <c r="P21" i="21"/>
  <c r="AL21" i="21" s="1"/>
  <c r="P22" i="21"/>
  <c r="AL22" i="21" s="1"/>
  <c r="P23" i="21"/>
  <c r="AL23" i="21" s="1"/>
  <c r="AL24" i="21"/>
  <c r="P25" i="21"/>
  <c r="AL25" i="21" s="1"/>
  <c r="P26" i="21"/>
  <c r="AL26" i="21" s="1"/>
  <c r="P27" i="21"/>
  <c r="AL27" i="21" s="1"/>
  <c r="P28" i="21"/>
  <c r="AL28" i="21" s="1"/>
  <c r="P29" i="21"/>
  <c r="AL29" i="21" s="1"/>
  <c r="P30" i="21"/>
  <c r="AL30" i="21" s="1"/>
  <c r="P31" i="21"/>
  <c r="AL31" i="21" s="1"/>
  <c r="P32" i="21"/>
  <c r="AL32" i="21" s="1"/>
  <c r="P33" i="21"/>
  <c r="AL33" i="21" s="1"/>
  <c r="P34" i="21"/>
  <c r="AL34" i="21" s="1"/>
  <c r="P35" i="21"/>
  <c r="AL35" i="21" s="1"/>
  <c r="P36" i="21"/>
  <c r="AL36" i="21" s="1"/>
  <c r="P37" i="21"/>
  <c r="AL37" i="21" s="1"/>
  <c r="P38" i="21"/>
  <c r="AL38" i="21" s="1"/>
  <c r="P39" i="21"/>
  <c r="AL39" i="21" s="1"/>
  <c r="P40" i="21"/>
  <c r="AL40" i="21" s="1"/>
  <c r="P41" i="21"/>
  <c r="AL41" i="21" s="1"/>
  <c r="P42" i="21"/>
  <c r="AL42" i="21" s="1"/>
  <c r="P43" i="21"/>
  <c r="AL43" i="21" s="1"/>
  <c r="P44" i="21"/>
  <c r="AL44" i="21" s="1"/>
  <c r="P45" i="21"/>
  <c r="AL45" i="21" s="1"/>
  <c r="P46" i="21"/>
  <c r="AL46" i="21" s="1"/>
  <c r="P47" i="21"/>
  <c r="AL47" i="21" s="1"/>
  <c r="P48" i="21"/>
  <c r="AL48" i="21" s="1"/>
  <c r="P49" i="21"/>
  <c r="AL49" i="21" s="1"/>
  <c r="P50" i="21"/>
  <c r="AL50" i="21" s="1"/>
  <c r="P51" i="21"/>
  <c r="AL51" i="21" s="1"/>
  <c r="P52" i="21"/>
  <c r="AL52" i="21" s="1"/>
  <c r="P53" i="21"/>
  <c r="AL53" i="21" s="1"/>
  <c r="P54" i="21"/>
  <c r="AL54" i="21" s="1"/>
  <c r="P55" i="21"/>
  <c r="AL55" i="21" s="1"/>
  <c r="P56" i="21"/>
  <c r="AL56" i="21" s="1"/>
  <c r="P57" i="21"/>
  <c r="AL57" i="21" s="1"/>
  <c r="P58" i="21"/>
  <c r="AL58" i="21" s="1"/>
  <c r="P59" i="21"/>
  <c r="AL59" i="21" s="1"/>
  <c r="P60" i="21"/>
  <c r="AL60" i="21" s="1"/>
  <c r="P61" i="21"/>
  <c r="AL61" i="21" s="1"/>
  <c r="P62" i="21"/>
  <c r="AL62" i="21" s="1"/>
  <c r="P63" i="21"/>
  <c r="AL63" i="21" s="1"/>
  <c r="P64" i="21"/>
  <c r="AL64" i="21" s="1"/>
  <c r="P65" i="21"/>
  <c r="AL65" i="21" s="1"/>
  <c r="P66" i="21"/>
  <c r="AL66" i="21" s="1"/>
  <c r="P67" i="21"/>
  <c r="AL67" i="21" s="1"/>
  <c r="P68" i="21"/>
  <c r="AL68" i="21" s="1"/>
  <c r="P69" i="21"/>
  <c r="AL69" i="21" s="1"/>
  <c r="P70" i="21"/>
  <c r="AL70" i="21" s="1"/>
  <c r="P71" i="21"/>
  <c r="AL71" i="21" s="1"/>
  <c r="P72" i="21"/>
  <c r="AL72" i="21" s="1"/>
  <c r="P73" i="21"/>
  <c r="AL73" i="21" s="1"/>
  <c r="P74" i="21"/>
  <c r="AL74" i="21" s="1"/>
  <c r="P75" i="21"/>
  <c r="AL75" i="21" s="1"/>
  <c r="P76" i="21"/>
  <c r="AL76" i="21" s="1"/>
  <c r="P77" i="21"/>
  <c r="AL77" i="21" s="1"/>
  <c r="P78" i="21"/>
  <c r="AL78" i="21" s="1"/>
  <c r="P79" i="21"/>
  <c r="AL79" i="21" s="1"/>
  <c r="P80" i="21"/>
  <c r="AL80" i="21" s="1"/>
  <c r="P81" i="21"/>
  <c r="AL81" i="21" s="1"/>
  <c r="P82" i="21"/>
  <c r="AL82" i="21" s="1"/>
  <c r="P83" i="21"/>
  <c r="AL83" i="21" s="1"/>
  <c r="P84" i="21"/>
  <c r="AL84" i="21" s="1"/>
  <c r="P85" i="21"/>
  <c r="AL85" i="21" s="1"/>
  <c r="P86" i="21"/>
  <c r="AL86" i="21" s="1"/>
  <c r="P87" i="21"/>
  <c r="AL87" i="21" s="1"/>
  <c r="P88" i="21"/>
  <c r="AL88" i="21" s="1"/>
  <c r="P89" i="21"/>
  <c r="AL89" i="21" s="1"/>
  <c r="P90" i="21"/>
  <c r="AL90" i="21" s="1"/>
  <c r="P91" i="21"/>
  <c r="AL91" i="21" s="1"/>
  <c r="P92" i="21"/>
  <c r="AL92" i="21" s="1"/>
  <c r="P93" i="21"/>
  <c r="AL93" i="21" s="1"/>
  <c r="P94" i="21"/>
  <c r="AL94" i="21" s="1"/>
  <c r="P95" i="21"/>
  <c r="AL95" i="21" s="1"/>
  <c r="P96" i="21"/>
  <c r="AL96" i="21" s="1"/>
  <c r="P97" i="21"/>
  <c r="AL97" i="21" s="1"/>
  <c r="P98" i="21"/>
  <c r="AL98" i="21" s="1"/>
  <c r="P99" i="21"/>
  <c r="AL99" i="21" s="1"/>
  <c r="P100" i="21"/>
  <c r="AL100" i="21" s="1"/>
  <c r="P101" i="21"/>
  <c r="AL101" i="21" s="1"/>
  <c r="P102" i="21"/>
  <c r="AL102" i="21" s="1"/>
  <c r="P103" i="21"/>
  <c r="AL103" i="21" s="1"/>
  <c r="P104" i="21"/>
  <c r="AL104" i="21" s="1"/>
  <c r="P105" i="21"/>
  <c r="AL105" i="21" s="1"/>
  <c r="P106" i="21"/>
  <c r="AL106" i="21" s="1"/>
  <c r="P107" i="21"/>
  <c r="AL107" i="21" s="1"/>
  <c r="P108" i="21"/>
  <c r="AL108" i="21" s="1"/>
  <c r="P109" i="21"/>
  <c r="AL109" i="21" s="1"/>
  <c r="P110" i="21"/>
  <c r="AL110" i="21" s="1"/>
  <c r="P111" i="21"/>
  <c r="AL111" i="21" s="1"/>
  <c r="P112" i="21"/>
  <c r="AL112" i="21" s="1"/>
  <c r="P113" i="21"/>
  <c r="AL113" i="21" s="1"/>
  <c r="P114" i="21"/>
  <c r="AL114" i="21" s="1"/>
  <c r="P115" i="21"/>
  <c r="AL115" i="21" s="1"/>
  <c r="P116" i="21"/>
  <c r="AL116" i="21" s="1"/>
  <c r="P117" i="21"/>
  <c r="AL117" i="21" s="1"/>
  <c r="P118" i="21"/>
  <c r="AL118" i="21" s="1"/>
  <c r="P119" i="21"/>
  <c r="AL119" i="21" s="1"/>
  <c r="P120" i="21"/>
  <c r="AL120" i="21" s="1"/>
  <c r="P121" i="21"/>
  <c r="AL121" i="21" s="1"/>
  <c r="P122" i="21"/>
  <c r="AL122" i="21" s="1"/>
  <c r="P123" i="21"/>
  <c r="AL123" i="21" s="1"/>
  <c r="P124" i="21"/>
  <c r="AL124" i="21" s="1"/>
  <c r="P125" i="21"/>
  <c r="AL125" i="21" s="1"/>
  <c r="P126" i="21"/>
  <c r="AL126" i="21" s="1"/>
  <c r="P127" i="21"/>
  <c r="AL127" i="21" s="1"/>
  <c r="P128" i="21"/>
  <c r="AL128" i="21" s="1"/>
  <c r="P129" i="21"/>
  <c r="AL129" i="21" s="1"/>
  <c r="P130" i="21"/>
  <c r="AL130" i="21" s="1"/>
  <c r="P131" i="21"/>
  <c r="AL131" i="21" s="1"/>
  <c r="P132" i="21"/>
  <c r="AL132" i="21" s="1"/>
  <c r="P133" i="21"/>
  <c r="AL133" i="21" s="1"/>
  <c r="P134" i="21"/>
  <c r="AL134" i="21" s="1"/>
  <c r="P135" i="21"/>
  <c r="AL135" i="21" s="1"/>
  <c r="BO135" i="21" l="1"/>
  <c r="BP135" i="21" s="1"/>
  <c r="CO135" i="21"/>
  <c r="CP135" i="21" s="1"/>
  <c r="CO126" i="21"/>
  <c r="CP126" i="21" s="1"/>
  <c r="BO126" i="21"/>
  <c r="BP126" i="21" s="1"/>
  <c r="BQ126" i="21" s="1"/>
  <c r="BO132" i="21"/>
  <c r="BP132" i="21" s="1"/>
  <c r="BS132" i="21" s="1"/>
  <c r="BW132" i="21" s="1"/>
  <c r="CO132" i="21"/>
  <c r="CP132" i="21" s="1"/>
  <c r="BO128" i="21"/>
  <c r="BP128" i="21" s="1"/>
  <c r="CO128" i="21"/>
  <c r="CP128" i="21" s="1"/>
  <c r="BO124" i="21"/>
  <c r="BP124" i="21" s="1"/>
  <c r="BS124" i="21" s="1"/>
  <c r="BW124" i="21" s="1"/>
  <c r="CO124" i="21"/>
  <c r="CP124" i="21" s="1"/>
  <c r="BO120" i="21"/>
  <c r="BP120" i="21" s="1"/>
  <c r="CO120" i="21"/>
  <c r="CP120" i="21" s="1"/>
  <c r="BO116" i="21"/>
  <c r="BP116" i="21" s="1"/>
  <c r="BQ116" i="21" s="1"/>
  <c r="CO116" i="21"/>
  <c r="CP116" i="21" s="1"/>
  <c r="BO112" i="21"/>
  <c r="BP112" i="21" s="1"/>
  <c r="CO112" i="21"/>
  <c r="CP112" i="21" s="1"/>
  <c r="BO108" i="21"/>
  <c r="BP108" i="21" s="1"/>
  <c r="BQ108" i="21" s="1"/>
  <c r="CO108" i="21"/>
  <c r="CP108" i="21" s="1"/>
  <c r="BO104" i="21"/>
  <c r="CO104" i="21"/>
  <c r="BO100" i="21"/>
  <c r="BP100" i="21" s="1"/>
  <c r="BS100" i="21" s="1"/>
  <c r="BW100" i="21" s="1"/>
  <c r="CO100" i="21"/>
  <c r="CP100" i="21" s="1"/>
  <c r="BO96" i="21"/>
  <c r="BP96" i="21" s="1"/>
  <c r="CO96" i="21"/>
  <c r="CP96" i="21" s="1"/>
  <c r="BO92" i="21"/>
  <c r="BP92" i="21" s="1"/>
  <c r="BS92" i="21" s="1"/>
  <c r="BW92" i="21" s="1"/>
  <c r="CO92" i="21"/>
  <c r="CP92" i="21" s="1"/>
  <c r="BO88" i="21"/>
  <c r="BP88" i="21" s="1"/>
  <c r="CO88" i="21"/>
  <c r="CP88" i="21" s="1"/>
  <c r="BO84" i="21"/>
  <c r="BP84" i="21" s="1"/>
  <c r="BS84" i="21" s="1"/>
  <c r="BW84" i="21" s="1"/>
  <c r="CO84" i="21"/>
  <c r="CP84" i="21" s="1"/>
  <c r="BO80" i="21"/>
  <c r="BP80" i="21" s="1"/>
  <c r="CO80" i="21"/>
  <c r="CP80" i="21" s="1"/>
  <c r="BO76" i="21"/>
  <c r="BP76" i="21" s="1"/>
  <c r="BQ76" i="21" s="1"/>
  <c r="CO76" i="21"/>
  <c r="CP76" i="21" s="1"/>
  <c r="BO72" i="21"/>
  <c r="BP72" i="21" s="1"/>
  <c r="CO72" i="21"/>
  <c r="CP72" i="21" s="1"/>
  <c r="BO68" i="21"/>
  <c r="BP68" i="21" s="1"/>
  <c r="BS68" i="21" s="1"/>
  <c r="BW68" i="21" s="1"/>
  <c r="CO68" i="21"/>
  <c r="CP68" i="21" s="1"/>
  <c r="BO64" i="21"/>
  <c r="BP64" i="21" s="1"/>
  <c r="CO64" i="21"/>
  <c r="CP64" i="21" s="1"/>
  <c r="BO60" i="21"/>
  <c r="BP60" i="21" s="1"/>
  <c r="BS60" i="21" s="1"/>
  <c r="BW60" i="21" s="1"/>
  <c r="CO60" i="21"/>
  <c r="CP60" i="21" s="1"/>
  <c r="BO56" i="21"/>
  <c r="BP56" i="21" s="1"/>
  <c r="CO56" i="21"/>
  <c r="CP56" i="21" s="1"/>
  <c r="BO52" i="21"/>
  <c r="BP52" i="21" s="1"/>
  <c r="BR52" i="21" s="1"/>
  <c r="BV52" i="21" s="1"/>
  <c r="CO52" i="21"/>
  <c r="CP52" i="21" s="1"/>
  <c r="BO48" i="21"/>
  <c r="BP48" i="21" s="1"/>
  <c r="CO48" i="21"/>
  <c r="CP48" i="21" s="1"/>
  <c r="BO44" i="21"/>
  <c r="BP44" i="21" s="1"/>
  <c r="BS44" i="21" s="1"/>
  <c r="BW44" i="21" s="1"/>
  <c r="CO44" i="21"/>
  <c r="CP44" i="21" s="1"/>
  <c r="BO40" i="21"/>
  <c r="BP40" i="21" s="1"/>
  <c r="CO40" i="21"/>
  <c r="CP40" i="21" s="1"/>
  <c r="BO36" i="21"/>
  <c r="BP36" i="21" s="1"/>
  <c r="BQ36" i="21" s="1"/>
  <c r="CO36" i="21"/>
  <c r="CP36" i="21" s="1"/>
  <c r="BO32" i="21"/>
  <c r="BP32" i="21" s="1"/>
  <c r="CO32" i="21"/>
  <c r="CP32" i="21" s="1"/>
  <c r="BO28" i="21"/>
  <c r="BP28" i="21" s="1"/>
  <c r="BQ28" i="21" s="1"/>
  <c r="CO28" i="21"/>
  <c r="CP28" i="21" s="1"/>
  <c r="BO24" i="21"/>
  <c r="BP24" i="21" s="1"/>
  <c r="CO24" i="21"/>
  <c r="CP24" i="21" s="1"/>
  <c r="BO20" i="21"/>
  <c r="BP20" i="21" s="1"/>
  <c r="BR20" i="21" s="1"/>
  <c r="BV20" i="21" s="1"/>
  <c r="CO20" i="21"/>
  <c r="CP20" i="21" s="1"/>
  <c r="BO16" i="21"/>
  <c r="BP16" i="21" s="1"/>
  <c r="CO16" i="21"/>
  <c r="CP16" i="21" s="1"/>
  <c r="BO12" i="21"/>
  <c r="BP12" i="21" s="1"/>
  <c r="BQ12" i="21" s="1"/>
  <c r="CO12" i="21"/>
  <c r="CP12" i="21" s="1"/>
  <c r="BO127" i="21"/>
  <c r="BP127" i="21" s="1"/>
  <c r="CO127" i="21"/>
  <c r="CP127" i="21" s="1"/>
  <c r="BO123" i="21"/>
  <c r="BP123" i="21" s="1"/>
  <c r="CO123" i="21"/>
  <c r="CP123" i="21" s="1"/>
  <c r="BO119" i="21"/>
  <c r="BP119" i="21" s="1"/>
  <c r="CO119" i="21"/>
  <c r="CP119" i="21" s="1"/>
  <c r="BO115" i="21"/>
  <c r="BP115" i="21" s="1"/>
  <c r="CO115" i="21"/>
  <c r="CP115" i="21" s="1"/>
  <c r="BO111" i="21"/>
  <c r="BP111" i="21" s="1"/>
  <c r="CO111" i="21"/>
  <c r="CP111" i="21" s="1"/>
  <c r="BO107" i="21"/>
  <c r="BP107" i="21" s="1"/>
  <c r="CO107" i="21"/>
  <c r="CP107" i="21" s="1"/>
  <c r="BO103" i="21"/>
  <c r="BP103" i="21" s="1"/>
  <c r="CO103" i="21"/>
  <c r="CP103" i="21" s="1"/>
  <c r="BO99" i="21"/>
  <c r="BP99" i="21" s="1"/>
  <c r="CO99" i="21"/>
  <c r="CP99" i="21" s="1"/>
  <c r="BO95" i="21"/>
  <c r="BP95" i="21" s="1"/>
  <c r="CO95" i="21"/>
  <c r="CP95" i="21" s="1"/>
  <c r="BO91" i="21"/>
  <c r="BP91" i="21" s="1"/>
  <c r="CO91" i="21"/>
  <c r="CP91" i="21" s="1"/>
  <c r="BO87" i="21"/>
  <c r="BP87" i="21" s="1"/>
  <c r="CO87" i="21"/>
  <c r="CP87" i="21" s="1"/>
  <c r="BO83" i="21"/>
  <c r="BP83" i="21" s="1"/>
  <c r="CO83" i="21"/>
  <c r="CP83" i="21" s="1"/>
  <c r="BO79" i="21"/>
  <c r="BP79" i="21" s="1"/>
  <c r="CO79" i="21"/>
  <c r="CP79" i="21" s="1"/>
  <c r="BO75" i="21"/>
  <c r="BP75" i="21" s="1"/>
  <c r="CO75" i="21"/>
  <c r="CP75" i="21" s="1"/>
  <c r="BO71" i="21"/>
  <c r="BP71" i="21" s="1"/>
  <c r="CO71" i="21"/>
  <c r="CP71" i="21" s="1"/>
  <c r="BO67" i="21"/>
  <c r="BP67" i="21" s="1"/>
  <c r="CO67" i="21"/>
  <c r="CP67" i="21" s="1"/>
  <c r="BO63" i="21"/>
  <c r="BP63" i="21" s="1"/>
  <c r="CO63" i="21"/>
  <c r="CP63" i="21" s="1"/>
  <c r="BO59" i="21"/>
  <c r="BP59" i="21" s="1"/>
  <c r="CO59" i="21"/>
  <c r="CP59" i="21" s="1"/>
  <c r="BO55" i="21"/>
  <c r="BP55" i="21" s="1"/>
  <c r="CO55" i="21"/>
  <c r="CP55" i="21" s="1"/>
  <c r="BO51" i="21"/>
  <c r="BP51" i="21" s="1"/>
  <c r="CO51" i="21"/>
  <c r="CP51" i="21" s="1"/>
  <c r="BO47" i="21"/>
  <c r="BP47" i="21" s="1"/>
  <c r="CO47" i="21"/>
  <c r="CP47" i="21" s="1"/>
  <c r="BO43" i="21"/>
  <c r="BP43" i="21" s="1"/>
  <c r="CO43" i="21"/>
  <c r="CP43" i="21" s="1"/>
  <c r="BO39" i="21"/>
  <c r="BP39" i="21" s="1"/>
  <c r="CO39" i="21"/>
  <c r="CP39" i="21" s="1"/>
  <c r="BO35" i="21"/>
  <c r="BP35" i="21" s="1"/>
  <c r="CO35" i="21"/>
  <c r="CP35" i="21" s="1"/>
  <c r="BO31" i="21"/>
  <c r="BP31" i="21" s="1"/>
  <c r="CO31" i="21"/>
  <c r="CP31" i="21" s="1"/>
  <c r="BO27" i="21"/>
  <c r="BP27" i="21" s="1"/>
  <c r="CO27" i="21"/>
  <c r="CP27" i="21" s="1"/>
  <c r="BO23" i="21"/>
  <c r="BP23" i="21" s="1"/>
  <c r="CO23" i="21"/>
  <c r="CP23" i="21" s="1"/>
  <c r="BO19" i="21"/>
  <c r="BP19" i="21" s="1"/>
  <c r="CO19" i="21"/>
  <c r="CP19" i="21" s="1"/>
  <c r="BO15" i="21"/>
  <c r="BP15" i="21" s="1"/>
  <c r="CO15" i="21"/>
  <c r="CP15" i="21" s="1"/>
  <c r="BO11" i="21"/>
  <c r="BP11" i="21" s="1"/>
  <c r="CO11" i="21"/>
  <c r="CP11" i="21" s="1"/>
  <c r="CO134" i="21"/>
  <c r="CP134" i="21" s="1"/>
  <c r="BO134" i="21"/>
  <c r="BP134" i="21" s="1"/>
  <c r="CO122" i="21"/>
  <c r="CP122" i="21" s="1"/>
  <c r="BO122" i="21"/>
  <c r="BP122" i="21" s="1"/>
  <c r="BR122" i="21" s="1"/>
  <c r="BV122" i="21" s="1"/>
  <c r="CO114" i="21"/>
  <c r="CP114" i="21" s="1"/>
  <c r="BO114" i="21"/>
  <c r="BP114" i="21" s="1"/>
  <c r="BQ114" i="21" s="1"/>
  <c r="CO106" i="21"/>
  <c r="BO106" i="21"/>
  <c r="CO102" i="21"/>
  <c r="CP102" i="21" s="1"/>
  <c r="BO102" i="21"/>
  <c r="BP102" i="21" s="1"/>
  <c r="BQ102" i="21" s="1"/>
  <c r="CO98" i="21"/>
  <c r="CP98" i="21" s="1"/>
  <c r="BO98" i="21"/>
  <c r="BP98" i="21" s="1"/>
  <c r="BR98" i="21" s="1"/>
  <c r="BV98" i="21" s="1"/>
  <c r="CO94" i="21"/>
  <c r="CP94" i="21" s="1"/>
  <c r="BO94" i="21"/>
  <c r="BP94" i="21" s="1"/>
  <c r="CO90" i="21"/>
  <c r="CP90" i="21" s="1"/>
  <c r="BO90" i="21"/>
  <c r="BP90" i="21" s="1"/>
  <c r="CO86" i="21"/>
  <c r="CP86" i="21" s="1"/>
  <c r="BO86" i="21"/>
  <c r="BP86" i="21" s="1"/>
  <c r="BS86" i="21" s="1"/>
  <c r="BW86" i="21" s="1"/>
  <c r="CO82" i="21"/>
  <c r="CP82" i="21" s="1"/>
  <c r="BO82" i="21"/>
  <c r="BP82" i="21" s="1"/>
  <c r="CO78" i="21"/>
  <c r="CP78" i="21" s="1"/>
  <c r="BO78" i="21"/>
  <c r="BP78" i="21" s="1"/>
  <c r="BR78" i="21" s="1"/>
  <c r="BV78" i="21" s="1"/>
  <c r="CO74" i="21"/>
  <c r="CP74" i="21" s="1"/>
  <c r="BO74" i="21"/>
  <c r="BP74" i="21" s="1"/>
  <c r="CO70" i="21"/>
  <c r="CP70" i="21" s="1"/>
  <c r="BO70" i="21"/>
  <c r="BP70" i="21" s="1"/>
  <c r="BQ70" i="21" s="1"/>
  <c r="CO66" i="21"/>
  <c r="CP66" i="21" s="1"/>
  <c r="BO66" i="21"/>
  <c r="BP66" i="21" s="1"/>
  <c r="CO62" i="21"/>
  <c r="CP62" i="21" s="1"/>
  <c r="BO62" i="21"/>
  <c r="BP62" i="21" s="1"/>
  <c r="BS62" i="21" s="1"/>
  <c r="BW62" i="21" s="1"/>
  <c r="CO58" i="21"/>
  <c r="CP58" i="21" s="1"/>
  <c r="BO58" i="21"/>
  <c r="BP58" i="21" s="1"/>
  <c r="CO54" i="21"/>
  <c r="CP54" i="21" s="1"/>
  <c r="BO54" i="21"/>
  <c r="BP54" i="21" s="1"/>
  <c r="BQ54" i="21" s="1"/>
  <c r="CO50" i="21"/>
  <c r="CP50" i="21" s="1"/>
  <c r="BO50" i="21"/>
  <c r="BP50" i="21" s="1"/>
  <c r="CO46" i="21"/>
  <c r="CP46" i="21" s="1"/>
  <c r="BO46" i="21"/>
  <c r="BP46" i="21" s="1"/>
  <c r="BQ46" i="21" s="1"/>
  <c r="CO42" i="21"/>
  <c r="CP42" i="21" s="1"/>
  <c r="BO42" i="21"/>
  <c r="BP42" i="21" s="1"/>
  <c r="CO38" i="21"/>
  <c r="CP38" i="21" s="1"/>
  <c r="BO38" i="21"/>
  <c r="BP38" i="21" s="1"/>
  <c r="BQ38" i="21" s="1"/>
  <c r="CO34" i="21"/>
  <c r="CP34" i="21" s="1"/>
  <c r="BO34" i="21"/>
  <c r="BP34" i="21" s="1"/>
  <c r="CO30" i="21"/>
  <c r="CP30" i="21" s="1"/>
  <c r="BO30" i="21"/>
  <c r="BP30" i="21" s="1"/>
  <c r="BQ30" i="21" s="1"/>
  <c r="CO26" i="21"/>
  <c r="CP26" i="21" s="1"/>
  <c r="BO26" i="21"/>
  <c r="BP26" i="21" s="1"/>
  <c r="CO22" i="21"/>
  <c r="CP22" i="21" s="1"/>
  <c r="BO22" i="21"/>
  <c r="BP22" i="21" s="1"/>
  <c r="BR22" i="21" s="1"/>
  <c r="BV22" i="21" s="1"/>
  <c r="CO18" i="21"/>
  <c r="CP18" i="21" s="1"/>
  <c r="BO18" i="21"/>
  <c r="BP18" i="21" s="1"/>
  <c r="CO14" i="21"/>
  <c r="CP14" i="21" s="1"/>
  <c r="BO14" i="21"/>
  <c r="BP14" i="21" s="1"/>
  <c r="BQ14" i="21" s="1"/>
  <c r="CO10" i="21"/>
  <c r="CP10" i="21" s="1"/>
  <c r="BO10" i="21"/>
  <c r="BP10" i="21" s="1"/>
  <c r="BO131" i="21"/>
  <c r="BP131" i="21" s="1"/>
  <c r="CO131" i="21"/>
  <c r="CP131" i="21" s="1"/>
  <c r="CO130" i="21"/>
  <c r="CP130" i="21" s="1"/>
  <c r="BO130" i="21"/>
  <c r="BP130" i="21" s="1"/>
  <c r="CO118" i="21"/>
  <c r="CP118" i="21" s="1"/>
  <c r="BO118" i="21"/>
  <c r="BP118" i="21" s="1"/>
  <c r="CO110" i="21"/>
  <c r="CP110" i="21" s="1"/>
  <c r="BO110" i="21"/>
  <c r="BP110" i="21" s="1"/>
  <c r="BO133" i="21"/>
  <c r="BP133" i="21" s="1"/>
  <c r="CO133" i="21"/>
  <c r="CP133" i="21" s="1"/>
  <c r="BO129" i="21"/>
  <c r="BP129" i="21" s="1"/>
  <c r="CO129" i="21"/>
  <c r="CP129" i="21" s="1"/>
  <c r="BO125" i="21"/>
  <c r="BP125" i="21" s="1"/>
  <c r="CO125" i="21"/>
  <c r="CP125" i="21" s="1"/>
  <c r="BO121" i="21"/>
  <c r="BP121" i="21" s="1"/>
  <c r="CO121" i="21"/>
  <c r="CP121" i="21" s="1"/>
  <c r="BO117" i="21"/>
  <c r="BP117" i="21" s="1"/>
  <c r="CO117" i="21"/>
  <c r="CP117" i="21" s="1"/>
  <c r="BO113" i="21"/>
  <c r="BP113" i="21" s="1"/>
  <c r="CO113" i="21"/>
  <c r="CP113" i="21" s="1"/>
  <c r="BO109" i="21"/>
  <c r="CO109" i="21"/>
  <c r="BO105" i="21"/>
  <c r="BP105" i="21" s="1"/>
  <c r="CO105" i="21"/>
  <c r="CP105" i="21" s="1"/>
  <c r="BO101" i="21"/>
  <c r="BP101" i="21" s="1"/>
  <c r="CO101" i="21"/>
  <c r="CP101" i="21" s="1"/>
  <c r="BO97" i="21"/>
  <c r="BP97" i="21" s="1"/>
  <c r="CO97" i="21"/>
  <c r="CP97" i="21" s="1"/>
  <c r="BO93" i="21"/>
  <c r="BP93" i="21" s="1"/>
  <c r="CO93" i="21"/>
  <c r="CP93" i="21" s="1"/>
  <c r="BO89" i="21"/>
  <c r="BP89" i="21" s="1"/>
  <c r="CO89" i="21"/>
  <c r="CP89" i="21" s="1"/>
  <c r="BO85" i="21"/>
  <c r="BP85" i="21" s="1"/>
  <c r="CO85" i="21"/>
  <c r="CP85" i="21" s="1"/>
  <c r="BO81" i="21"/>
  <c r="BP81" i="21" s="1"/>
  <c r="CO81" i="21"/>
  <c r="CP81" i="21" s="1"/>
  <c r="BO77" i="21"/>
  <c r="BP77" i="21" s="1"/>
  <c r="CO77" i="21"/>
  <c r="CP77" i="21" s="1"/>
  <c r="BO73" i="21"/>
  <c r="BP73" i="21" s="1"/>
  <c r="CO73" i="21"/>
  <c r="CP73" i="21" s="1"/>
  <c r="BO69" i="21"/>
  <c r="BP69" i="21" s="1"/>
  <c r="CO69" i="21"/>
  <c r="CP69" i="21" s="1"/>
  <c r="BO65" i="21"/>
  <c r="BP65" i="21" s="1"/>
  <c r="CO65" i="21"/>
  <c r="CP65" i="21" s="1"/>
  <c r="BO61" i="21"/>
  <c r="BP61" i="21" s="1"/>
  <c r="CO61" i="21"/>
  <c r="CP61" i="21" s="1"/>
  <c r="BO57" i="21"/>
  <c r="BP57" i="21" s="1"/>
  <c r="CO57" i="21"/>
  <c r="CP57" i="21" s="1"/>
  <c r="BO53" i="21"/>
  <c r="BP53" i="21" s="1"/>
  <c r="CO53" i="21"/>
  <c r="BO49" i="21"/>
  <c r="BP49" i="21" s="1"/>
  <c r="CO49" i="21"/>
  <c r="CP49" i="21" s="1"/>
  <c r="BO45" i="21"/>
  <c r="BP45" i="21" s="1"/>
  <c r="CO45" i="21"/>
  <c r="CP45" i="21" s="1"/>
  <c r="BO41" i="21"/>
  <c r="BP41" i="21" s="1"/>
  <c r="CO41" i="21"/>
  <c r="CP41" i="21" s="1"/>
  <c r="BO37" i="21"/>
  <c r="BP37" i="21" s="1"/>
  <c r="CO37" i="21"/>
  <c r="CP37" i="21" s="1"/>
  <c r="BO33" i="21"/>
  <c r="CO33" i="21"/>
  <c r="CP33" i="21" s="1"/>
  <c r="BO29" i="21"/>
  <c r="BP29" i="21" s="1"/>
  <c r="CO29" i="21"/>
  <c r="CP29" i="21" s="1"/>
  <c r="BO25" i="21"/>
  <c r="BP25" i="21" s="1"/>
  <c r="CO25" i="21"/>
  <c r="CP25" i="21" s="1"/>
  <c r="BO21" i="21"/>
  <c r="BP21" i="21" s="1"/>
  <c r="CO21" i="21"/>
  <c r="CP21" i="21" s="1"/>
  <c r="BO17" i="21"/>
  <c r="BP17" i="21" s="1"/>
  <c r="CO17" i="21"/>
  <c r="CP17" i="21" s="1"/>
  <c r="BO13" i="21"/>
  <c r="BP13" i="21" s="1"/>
  <c r="CO13" i="21"/>
  <c r="CP13" i="21" s="1"/>
  <c r="BT9" i="21"/>
  <c r="AR9" i="21"/>
  <c r="AN9" i="21"/>
  <c r="CT106" i="21"/>
  <c r="CU106" i="21"/>
  <c r="BT106" i="21"/>
  <c r="BU106" i="21"/>
  <c r="CT109" i="21"/>
  <c r="BU109" i="21"/>
  <c r="CU109" i="21"/>
  <c r="BT109" i="21"/>
  <c r="CT104" i="21"/>
  <c r="CU104" i="21"/>
  <c r="BT104" i="21"/>
  <c r="BU104" i="21"/>
  <c r="AR104" i="21"/>
  <c r="AS104" i="21"/>
  <c r="AR109" i="21"/>
  <c r="AS109" i="21"/>
  <c r="AM61" i="21"/>
  <c r="AN61" i="21" s="1"/>
  <c r="AM23" i="21"/>
  <c r="AM15" i="21"/>
  <c r="AR106" i="21"/>
  <c r="AS106" i="21"/>
  <c r="AM122" i="21"/>
  <c r="AM114" i="21"/>
  <c r="AM90" i="21"/>
  <c r="AM82" i="21"/>
  <c r="AM74" i="21"/>
  <c r="AM66" i="21"/>
  <c r="AM62" i="21"/>
  <c r="AM58" i="21"/>
  <c r="AM54" i="21"/>
  <c r="AM46" i="21"/>
  <c r="AM42" i="21"/>
  <c r="AM38" i="21"/>
  <c r="AM34" i="21"/>
  <c r="AM30" i="21"/>
  <c r="AM26" i="21"/>
  <c r="AM22" i="21"/>
  <c r="AM14" i="21"/>
  <c r="AM105" i="21"/>
  <c r="AM89" i="21"/>
  <c r="AM73" i="21"/>
  <c r="AM41" i="21"/>
  <c r="AM25" i="21"/>
  <c r="AM130" i="21"/>
  <c r="AM121" i="21"/>
  <c r="AM133" i="21"/>
  <c r="AM85" i="21"/>
  <c r="AM69" i="21"/>
  <c r="AM53" i="21"/>
  <c r="AM37" i="21"/>
  <c r="AM21" i="21"/>
  <c r="AM101" i="21"/>
  <c r="AM134" i="21"/>
  <c r="AM118" i="21"/>
  <c r="AM110" i="21"/>
  <c r="AM102" i="21"/>
  <c r="AM94" i="21"/>
  <c r="AM86" i="21"/>
  <c r="AM78" i="21"/>
  <c r="AM70" i="21"/>
  <c r="AM57" i="21"/>
  <c r="AM128" i="21"/>
  <c r="AM124" i="21"/>
  <c r="AM120" i="21"/>
  <c r="AM116" i="21"/>
  <c r="AM112" i="21"/>
  <c r="AM108" i="21"/>
  <c r="AM100" i="21"/>
  <c r="AM96" i="21"/>
  <c r="AM92" i="21"/>
  <c r="AM88" i="21"/>
  <c r="AM84" i="21"/>
  <c r="AM80" i="21"/>
  <c r="AM76" i="21"/>
  <c r="AM72" i="21"/>
  <c r="AM68" i="21"/>
  <c r="AM64" i="21"/>
  <c r="AM60" i="21"/>
  <c r="AM56" i="21"/>
  <c r="AM52" i="21"/>
  <c r="AM48" i="21"/>
  <c r="AM44" i="21"/>
  <c r="AM40" i="21"/>
  <c r="AM36" i="21"/>
  <c r="AM32" i="21"/>
  <c r="AM28" i="21"/>
  <c r="AM24" i="21"/>
  <c r="AM20" i="21"/>
  <c r="AM16" i="21"/>
  <c r="AM12" i="21"/>
  <c r="AM129" i="21"/>
  <c r="AM113" i="21"/>
  <c r="AM97" i="21"/>
  <c r="AM65" i="21"/>
  <c r="AM49" i="21"/>
  <c r="AM17" i="21"/>
  <c r="AM126" i="21"/>
  <c r="AM117" i="21"/>
  <c r="AM98" i="21"/>
  <c r="AM81" i="21"/>
  <c r="AM50" i="21"/>
  <c r="AM135" i="21"/>
  <c r="AM131" i="21"/>
  <c r="AM127" i="21"/>
  <c r="AM123" i="21"/>
  <c r="AM119" i="21"/>
  <c r="AM115" i="21"/>
  <c r="AM111" i="21"/>
  <c r="AM107" i="21"/>
  <c r="AM103" i="21"/>
  <c r="AM99" i="21"/>
  <c r="AM95" i="21"/>
  <c r="AM91" i="21"/>
  <c r="AM87" i="21"/>
  <c r="AM83" i="21"/>
  <c r="AM79" i="21"/>
  <c r="AM75" i="21"/>
  <c r="AM71" i="21"/>
  <c r="AM67" i="21"/>
  <c r="AM63" i="21"/>
  <c r="AM59" i="21"/>
  <c r="AM55" i="21"/>
  <c r="AM51" i="21"/>
  <c r="AM43" i="21"/>
  <c r="AM39" i="21"/>
  <c r="AM35" i="21"/>
  <c r="AM31" i="21"/>
  <c r="AM27" i="21"/>
  <c r="AM19" i="21"/>
  <c r="AM11" i="21"/>
  <c r="AM125" i="21"/>
  <c r="AM93" i="21"/>
  <c r="AM77" i="21"/>
  <c r="AM45" i="21"/>
  <c r="AM29" i="21"/>
  <c r="AM13" i="21"/>
  <c r="AM10" i="21"/>
  <c r="AM18" i="21"/>
  <c r="AM132" i="21"/>
  <c r="AM47" i="21"/>
  <c r="DH9" i="21"/>
  <c r="CT9" i="21" s="1"/>
  <c r="AN24" i="21" l="1"/>
  <c r="C80" i="36" s="1"/>
  <c r="CP53" i="21"/>
  <c r="CS53" i="21" s="1"/>
  <c r="BP33" i="21"/>
  <c r="BQ33" i="21" s="1"/>
  <c r="AM33" i="21"/>
  <c r="AN33" i="21" s="1"/>
  <c r="R49" i="21"/>
  <c r="R12" i="21"/>
  <c r="R51" i="21"/>
  <c r="R115" i="21"/>
  <c r="R20" i="21"/>
  <c r="R70" i="21"/>
  <c r="R28" i="21"/>
  <c r="R35" i="21"/>
  <c r="R108" i="21"/>
  <c r="R78" i="21"/>
  <c r="R86" i="21"/>
  <c r="R116" i="21"/>
  <c r="R38" i="21"/>
  <c r="R75" i="21"/>
  <c r="R81" i="21"/>
  <c r="R17" i="21"/>
  <c r="R96" i="21"/>
  <c r="R11" i="21"/>
  <c r="R117" i="21"/>
  <c r="R57" i="21"/>
  <c r="R124" i="21"/>
  <c r="R107" i="21"/>
  <c r="R27" i="21"/>
  <c r="R99" i="21"/>
  <c r="R97" i="21"/>
  <c r="R43" i="21"/>
  <c r="R94" i="21"/>
  <c r="R22" i="21"/>
  <c r="R113" i="21"/>
  <c r="R62" i="21"/>
  <c r="R130" i="21"/>
  <c r="R59" i="21"/>
  <c r="R123" i="21"/>
  <c r="R65" i="21"/>
  <c r="R76" i="21"/>
  <c r="R41" i="21"/>
  <c r="R14" i="21"/>
  <c r="R54" i="21"/>
  <c r="R122" i="21"/>
  <c r="R13" i="21"/>
  <c r="R93" i="21"/>
  <c r="R63" i="21"/>
  <c r="R127" i="21"/>
  <c r="R64" i="21"/>
  <c r="R134" i="21"/>
  <c r="R121" i="21"/>
  <c r="R131" i="21"/>
  <c r="R36" i="21"/>
  <c r="R102" i="21"/>
  <c r="R125" i="21"/>
  <c r="R67" i="21"/>
  <c r="R84" i="21"/>
  <c r="R129" i="21"/>
  <c r="R88" i="21"/>
  <c r="R46" i="21"/>
  <c r="R114" i="21"/>
  <c r="R79" i="21"/>
  <c r="R32" i="21"/>
  <c r="R132" i="21"/>
  <c r="R29" i="21"/>
  <c r="R31" i="21"/>
  <c r="R83" i="21"/>
  <c r="R98" i="21"/>
  <c r="R52" i="21"/>
  <c r="R68" i="21"/>
  <c r="R100" i="21"/>
  <c r="R120" i="21"/>
  <c r="R101" i="21"/>
  <c r="R69" i="21"/>
  <c r="R89" i="21"/>
  <c r="R26" i="21"/>
  <c r="R42" i="21"/>
  <c r="R90" i="21"/>
  <c r="R47" i="21"/>
  <c r="R111" i="21"/>
  <c r="R48" i="21"/>
  <c r="R58" i="21"/>
  <c r="R45" i="21"/>
  <c r="R55" i="21"/>
  <c r="R87" i="21"/>
  <c r="R119" i="21"/>
  <c r="R24" i="21"/>
  <c r="R40" i="21"/>
  <c r="R56" i="21"/>
  <c r="R72" i="21"/>
  <c r="R110" i="21"/>
  <c r="R21" i="21"/>
  <c r="R85" i="21"/>
  <c r="R25" i="21"/>
  <c r="R105" i="21"/>
  <c r="R30" i="21"/>
  <c r="R66" i="21"/>
  <c r="R95" i="21"/>
  <c r="R16" i="21"/>
  <c r="R80" i="21"/>
  <c r="R18" i="21"/>
  <c r="R71" i="21"/>
  <c r="R103" i="21"/>
  <c r="R135" i="21"/>
  <c r="R10" i="21"/>
  <c r="R77" i="21"/>
  <c r="R19" i="21"/>
  <c r="R39" i="21"/>
  <c r="R91" i="21"/>
  <c r="R50" i="21"/>
  <c r="R126" i="21"/>
  <c r="R44" i="21"/>
  <c r="R60" i="21"/>
  <c r="R92" i="21"/>
  <c r="R112" i="21"/>
  <c r="R128" i="21"/>
  <c r="R118" i="21"/>
  <c r="R37" i="21"/>
  <c r="R133" i="21"/>
  <c r="R34" i="21"/>
  <c r="R74" i="21"/>
  <c r="R73" i="21"/>
  <c r="R82" i="21"/>
  <c r="AO23" i="21"/>
  <c r="R23" i="21"/>
  <c r="AM109" i="21"/>
  <c r="AO109" i="21" s="1"/>
  <c r="BP109" i="21"/>
  <c r="BS109" i="21" s="1"/>
  <c r="BW109" i="21" s="1"/>
  <c r="CP109" i="21"/>
  <c r="CS13" i="21"/>
  <c r="CW13" i="21" s="1"/>
  <c r="CR13" i="21"/>
  <c r="CV13" i="21" s="1"/>
  <c r="CQ13" i="21"/>
  <c r="CS21" i="21"/>
  <c r="CW21" i="21" s="1"/>
  <c r="CR21" i="21"/>
  <c r="CV21" i="21" s="1"/>
  <c r="CQ21" i="21"/>
  <c r="CS29" i="21"/>
  <c r="CW29" i="21" s="1"/>
  <c r="CR29" i="21"/>
  <c r="CV29" i="21" s="1"/>
  <c r="CQ29" i="21"/>
  <c r="CS37" i="21"/>
  <c r="CW37" i="21" s="1"/>
  <c r="CR37" i="21"/>
  <c r="CV37" i="21" s="1"/>
  <c r="CQ37" i="21"/>
  <c r="CS45" i="21"/>
  <c r="CW45" i="21" s="1"/>
  <c r="CR45" i="21"/>
  <c r="CV45" i="21" s="1"/>
  <c r="CQ45" i="21"/>
  <c r="CS61" i="21"/>
  <c r="CW61" i="21" s="1"/>
  <c r="CR61" i="21"/>
  <c r="CV61" i="21" s="1"/>
  <c r="CQ61" i="21"/>
  <c r="CS69" i="21"/>
  <c r="CW69" i="21" s="1"/>
  <c r="CR69" i="21"/>
  <c r="CV69" i="21" s="1"/>
  <c r="CQ69" i="21"/>
  <c r="CS77" i="21"/>
  <c r="CW77" i="21" s="1"/>
  <c r="CR77" i="21"/>
  <c r="CV77" i="21" s="1"/>
  <c r="CQ77" i="21"/>
  <c r="CS85" i="21"/>
  <c r="CW85" i="21" s="1"/>
  <c r="CR85" i="21"/>
  <c r="CV85" i="21" s="1"/>
  <c r="CQ85" i="21"/>
  <c r="CS93" i="21"/>
  <c r="CW93" i="21" s="1"/>
  <c r="CR93" i="21"/>
  <c r="CV93" i="21" s="1"/>
  <c r="CQ93" i="21"/>
  <c r="CS101" i="21"/>
  <c r="CW101" i="21" s="1"/>
  <c r="CR101" i="21"/>
  <c r="CV101" i="21" s="1"/>
  <c r="CQ101" i="21"/>
  <c r="CS105" i="21"/>
  <c r="CW105" i="21" s="1"/>
  <c r="CR105" i="21"/>
  <c r="CV105" i="21" s="1"/>
  <c r="CQ105" i="21"/>
  <c r="CS133" i="21"/>
  <c r="CW133" i="21" s="1"/>
  <c r="CR133" i="21"/>
  <c r="CV133" i="21" s="1"/>
  <c r="CQ133" i="21"/>
  <c r="CS121" i="21"/>
  <c r="CW121" i="21" s="1"/>
  <c r="CR121" i="21"/>
  <c r="CV121" i="21" s="1"/>
  <c r="CQ121" i="21"/>
  <c r="AO61" i="21"/>
  <c r="R61" i="21"/>
  <c r="CS16" i="21"/>
  <c r="CW16" i="21" s="1"/>
  <c r="CQ16" i="21"/>
  <c r="CR16" i="21"/>
  <c r="CV16" i="21" s="1"/>
  <c r="CR24" i="21"/>
  <c r="CQ24" i="21"/>
  <c r="CS24" i="21"/>
  <c r="CS32" i="21"/>
  <c r="CW32" i="21" s="1"/>
  <c r="CQ32" i="21"/>
  <c r="CR32" i="21"/>
  <c r="CV32" i="21" s="1"/>
  <c r="CR40" i="21"/>
  <c r="CV40" i="21" s="1"/>
  <c r="CQ40" i="21"/>
  <c r="CS40" i="21"/>
  <c r="CW40" i="21" s="1"/>
  <c r="CS48" i="21"/>
  <c r="CW48" i="21" s="1"/>
  <c r="CQ48" i="21"/>
  <c r="CR48" i="21"/>
  <c r="CV48" i="21" s="1"/>
  <c r="CR56" i="21"/>
  <c r="CV56" i="21" s="1"/>
  <c r="CQ56" i="21"/>
  <c r="CS56" i="21"/>
  <c r="CW56" i="21" s="1"/>
  <c r="CS64" i="21"/>
  <c r="CW64" i="21" s="1"/>
  <c r="CQ64" i="21"/>
  <c r="CR64" i="21"/>
  <c r="CV64" i="21" s="1"/>
  <c r="CQ72" i="21"/>
  <c r="CS72" i="21"/>
  <c r="CW72" i="21" s="1"/>
  <c r="CR72" i="21"/>
  <c r="CV72" i="21" s="1"/>
  <c r="CS80" i="21"/>
  <c r="CW80" i="21" s="1"/>
  <c r="CQ80" i="21"/>
  <c r="CR80" i="21"/>
  <c r="CV80" i="21" s="1"/>
  <c r="CQ92" i="21"/>
  <c r="CS92" i="21"/>
  <c r="CW92" i="21" s="1"/>
  <c r="CR92" i="21"/>
  <c r="CV92" i="21" s="1"/>
  <c r="CQ132" i="21"/>
  <c r="CS132" i="21"/>
  <c r="CW132" i="21" s="1"/>
  <c r="CR132" i="21"/>
  <c r="CV132" i="21" s="1"/>
  <c r="CS10" i="21"/>
  <c r="CW10" i="21" s="1"/>
  <c r="CR10" i="21"/>
  <c r="CV10" i="21" s="1"/>
  <c r="CQ10" i="21"/>
  <c r="CR18" i="21"/>
  <c r="CV18" i="21" s="1"/>
  <c r="CS18" i="21"/>
  <c r="CW18" i="21" s="1"/>
  <c r="CQ18" i="21"/>
  <c r="CS26" i="21"/>
  <c r="CW26" i="21" s="1"/>
  <c r="CR26" i="21"/>
  <c r="CV26" i="21" s="1"/>
  <c r="CQ26" i="21"/>
  <c r="CR34" i="21"/>
  <c r="CV34" i="21" s="1"/>
  <c r="CS34" i="21"/>
  <c r="CW34" i="21" s="1"/>
  <c r="CQ34" i="21"/>
  <c r="CS42" i="21"/>
  <c r="CW42" i="21" s="1"/>
  <c r="CR42" i="21"/>
  <c r="CV42" i="21" s="1"/>
  <c r="CQ42" i="21"/>
  <c r="CR50" i="21"/>
  <c r="CV50" i="21" s="1"/>
  <c r="CS50" i="21"/>
  <c r="CW50" i="21" s="1"/>
  <c r="CQ50" i="21"/>
  <c r="CS58" i="21"/>
  <c r="CW58" i="21" s="1"/>
  <c r="CR58" i="21"/>
  <c r="CV58" i="21" s="1"/>
  <c r="CQ58" i="21"/>
  <c r="CR66" i="21"/>
  <c r="CV66" i="21" s="1"/>
  <c r="CS66" i="21"/>
  <c r="CW66" i="21" s="1"/>
  <c r="CQ66" i="21"/>
  <c r="CR74" i="21"/>
  <c r="CV74" i="21" s="1"/>
  <c r="CS74" i="21"/>
  <c r="CW74" i="21" s="1"/>
  <c r="CQ74" i="21"/>
  <c r="CR82" i="21"/>
  <c r="CV82" i="21" s="1"/>
  <c r="CS82" i="21"/>
  <c r="CW82" i="21" s="1"/>
  <c r="CQ82" i="21"/>
  <c r="CR90" i="21"/>
  <c r="CV90" i="21" s="1"/>
  <c r="CS90" i="21"/>
  <c r="CW90" i="21" s="1"/>
  <c r="CQ90" i="21"/>
  <c r="CR98" i="21"/>
  <c r="CV98" i="21" s="1"/>
  <c r="CS98" i="21"/>
  <c r="CW98" i="21" s="1"/>
  <c r="CQ98" i="21"/>
  <c r="CR110" i="21"/>
  <c r="CV110" i="21" s="1"/>
  <c r="CS110" i="21"/>
  <c r="CW110" i="21" s="1"/>
  <c r="CQ110" i="21"/>
  <c r="CS118" i="21"/>
  <c r="CW118" i="21" s="1"/>
  <c r="CR118" i="21"/>
  <c r="CV118" i="21" s="1"/>
  <c r="CQ118" i="21"/>
  <c r="CR126" i="21"/>
  <c r="CV126" i="21" s="1"/>
  <c r="CQ126" i="21"/>
  <c r="CS126" i="21"/>
  <c r="CW126" i="21" s="1"/>
  <c r="CS134" i="21"/>
  <c r="CW134" i="21" s="1"/>
  <c r="CR134" i="21"/>
  <c r="CV134" i="21" s="1"/>
  <c r="CQ134" i="21"/>
  <c r="CS112" i="21"/>
  <c r="CW112" i="21" s="1"/>
  <c r="CQ112" i="21"/>
  <c r="CR112" i="21"/>
  <c r="CV112" i="21" s="1"/>
  <c r="CR15" i="21"/>
  <c r="CV15" i="21" s="1"/>
  <c r="CS15" i="21"/>
  <c r="CW15" i="21" s="1"/>
  <c r="CQ15" i="21"/>
  <c r="CR23" i="21"/>
  <c r="CV23" i="21" s="1"/>
  <c r="CS23" i="21"/>
  <c r="CW23" i="21" s="1"/>
  <c r="CQ23" i="21"/>
  <c r="CR31" i="21"/>
  <c r="CV31" i="21" s="1"/>
  <c r="CS31" i="21"/>
  <c r="CW31" i="21" s="1"/>
  <c r="CQ31" i="21"/>
  <c r="CR39" i="21"/>
  <c r="CV39" i="21" s="1"/>
  <c r="CS39" i="21"/>
  <c r="CW39" i="21" s="1"/>
  <c r="CQ39" i="21"/>
  <c r="CR47" i="21"/>
  <c r="CV47" i="21" s="1"/>
  <c r="CS47" i="21"/>
  <c r="CW47" i="21" s="1"/>
  <c r="CQ47" i="21"/>
  <c r="CR55" i="21"/>
  <c r="CV55" i="21" s="1"/>
  <c r="CS55" i="21"/>
  <c r="CW55" i="21" s="1"/>
  <c r="CQ55" i="21"/>
  <c r="CR63" i="21"/>
  <c r="CV63" i="21" s="1"/>
  <c r="CS63" i="21"/>
  <c r="CW63" i="21" s="1"/>
  <c r="CQ63" i="21"/>
  <c r="CS71" i="21"/>
  <c r="CW71" i="21" s="1"/>
  <c r="CQ71" i="21"/>
  <c r="CR71" i="21"/>
  <c r="CV71" i="21" s="1"/>
  <c r="CS79" i="21"/>
  <c r="CW79" i="21" s="1"/>
  <c r="CQ79" i="21"/>
  <c r="CR79" i="21"/>
  <c r="CV79" i="21" s="1"/>
  <c r="CS87" i="21"/>
  <c r="CW87" i="21" s="1"/>
  <c r="CQ87" i="21"/>
  <c r="CR87" i="21"/>
  <c r="CV87" i="21" s="1"/>
  <c r="CS95" i="21"/>
  <c r="CW95" i="21" s="1"/>
  <c r="CQ95" i="21"/>
  <c r="CR95" i="21"/>
  <c r="CV95" i="21" s="1"/>
  <c r="CS103" i="21"/>
  <c r="CW103" i="21" s="1"/>
  <c r="CQ103" i="21"/>
  <c r="CR103" i="21"/>
  <c r="CV103" i="21" s="1"/>
  <c r="CS111" i="21"/>
  <c r="CW111" i="21" s="1"/>
  <c r="CQ111" i="21"/>
  <c r="CR111" i="21"/>
  <c r="CV111" i="21" s="1"/>
  <c r="CS119" i="21"/>
  <c r="CW119" i="21" s="1"/>
  <c r="CQ119" i="21"/>
  <c r="CR119" i="21"/>
  <c r="CV119" i="21" s="1"/>
  <c r="CS127" i="21"/>
  <c r="CW127" i="21" s="1"/>
  <c r="CQ127" i="21"/>
  <c r="CR127" i="21"/>
  <c r="CV127" i="21" s="1"/>
  <c r="CQ135" i="21"/>
  <c r="CS135" i="21"/>
  <c r="CW135" i="21" s="1"/>
  <c r="CR135" i="21"/>
  <c r="CV135" i="21" s="1"/>
  <c r="CQ100" i="21"/>
  <c r="CS100" i="21"/>
  <c r="CW100" i="21" s="1"/>
  <c r="CR100" i="21"/>
  <c r="CV100" i="21" s="1"/>
  <c r="CQ120" i="21"/>
  <c r="CS120" i="21"/>
  <c r="CW120" i="21" s="1"/>
  <c r="CR120" i="21"/>
  <c r="CV120" i="21" s="1"/>
  <c r="AM106" i="21"/>
  <c r="AQ106" i="21" s="1"/>
  <c r="AV106" i="21" s="1"/>
  <c r="CP106" i="21"/>
  <c r="BP106" i="21"/>
  <c r="BS106" i="21" s="1"/>
  <c r="BW106" i="21" s="1"/>
  <c r="CS125" i="21"/>
  <c r="CW125" i="21" s="1"/>
  <c r="CR125" i="21"/>
  <c r="CV125" i="21" s="1"/>
  <c r="CQ125" i="21"/>
  <c r="CS17" i="21"/>
  <c r="CW17" i="21" s="1"/>
  <c r="CR17" i="21"/>
  <c r="CV17" i="21" s="1"/>
  <c r="CQ17" i="21"/>
  <c r="CS25" i="21"/>
  <c r="CW25" i="21" s="1"/>
  <c r="CQ25" i="21"/>
  <c r="CR25" i="21"/>
  <c r="CV25" i="21" s="1"/>
  <c r="CS33" i="21"/>
  <c r="CW33" i="21" s="1"/>
  <c r="CR33" i="21"/>
  <c r="CV33" i="21" s="1"/>
  <c r="CQ33" i="21"/>
  <c r="CS41" i="21"/>
  <c r="CW41" i="21" s="1"/>
  <c r="CR41" i="21"/>
  <c r="CV41" i="21" s="1"/>
  <c r="CQ41" i="21"/>
  <c r="CS49" i="21"/>
  <c r="CW49" i="21" s="1"/>
  <c r="CR49" i="21"/>
  <c r="CV49" i="21" s="1"/>
  <c r="CQ49" i="21"/>
  <c r="CS57" i="21"/>
  <c r="CW57" i="21" s="1"/>
  <c r="CQ57" i="21"/>
  <c r="CR57" i="21"/>
  <c r="CV57" i="21" s="1"/>
  <c r="CS65" i="21"/>
  <c r="CW65" i="21" s="1"/>
  <c r="CR65" i="21"/>
  <c r="CV65" i="21" s="1"/>
  <c r="CQ65" i="21"/>
  <c r="CS73" i="21"/>
  <c r="CW73" i="21" s="1"/>
  <c r="CR73" i="21"/>
  <c r="CV73" i="21" s="1"/>
  <c r="CQ73" i="21"/>
  <c r="CS81" i="21"/>
  <c r="CW81" i="21" s="1"/>
  <c r="CR81" i="21"/>
  <c r="CV81" i="21" s="1"/>
  <c r="CQ81" i="21"/>
  <c r="CS89" i="21"/>
  <c r="CW89" i="21" s="1"/>
  <c r="CR89" i="21"/>
  <c r="CV89" i="21" s="1"/>
  <c r="CQ89" i="21"/>
  <c r="CS97" i="21"/>
  <c r="CW97" i="21" s="1"/>
  <c r="CR97" i="21"/>
  <c r="CV97" i="21" s="1"/>
  <c r="CQ97" i="21"/>
  <c r="CS113" i="21"/>
  <c r="CW113" i="21" s="1"/>
  <c r="CR113" i="21"/>
  <c r="CV113" i="21" s="1"/>
  <c r="CQ113" i="21"/>
  <c r="CS117" i="21"/>
  <c r="CW117" i="21" s="1"/>
  <c r="CR117" i="21"/>
  <c r="CV117" i="21" s="1"/>
  <c r="CQ117" i="21"/>
  <c r="CS129" i="21"/>
  <c r="CW129" i="21" s="1"/>
  <c r="CR129" i="21"/>
  <c r="CV129" i="21" s="1"/>
  <c r="CQ129" i="21"/>
  <c r="AN15" i="21"/>
  <c r="R15" i="21"/>
  <c r="AM104" i="21"/>
  <c r="AO104" i="21" s="1"/>
  <c r="CP104" i="21"/>
  <c r="BP104" i="21"/>
  <c r="BQ104" i="21" s="1"/>
  <c r="CS12" i="21"/>
  <c r="CW12" i="21" s="1"/>
  <c r="CQ12" i="21"/>
  <c r="CR12" i="21"/>
  <c r="CV12" i="21" s="1"/>
  <c r="CQ20" i="21"/>
  <c r="CS20" i="21"/>
  <c r="CW20" i="21" s="1"/>
  <c r="CR20" i="21"/>
  <c r="CV20" i="21" s="1"/>
  <c r="CQ28" i="21"/>
  <c r="CS28" i="21"/>
  <c r="CW28" i="21" s="1"/>
  <c r="CR28" i="21"/>
  <c r="CV28" i="21" s="1"/>
  <c r="CQ36" i="21"/>
  <c r="CS36" i="21"/>
  <c r="CW36" i="21" s="1"/>
  <c r="CR36" i="21"/>
  <c r="CV36" i="21" s="1"/>
  <c r="CQ44" i="21"/>
  <c r="CS44" i="21"/>
  <c r="CW44" i="21" s="1"/>
  <c r="CR44" i="21"/>
  <c r="CV44" i="21" s="1"/>
  <c r="CQ52" i="21"/>
  <c r="CS52" i="21"/>
  <c r="CW52" i="21" s="1"/>
  <c r="CR52" i="21"/>
  <c r="CV52" i="21" s="1"/>
  <c r="CQ60" i="21"/>
  <c r="CS60" i="21"/>
  <c r="CW60" i="21" s="1"/>
  <c r="CR60" i="21"/>
  <c r="CV60" i="21" s="1"/>
  <c r="CQ68" i="21"/>
  <c r="CS68" i="21"/>
  <c r="CW68" i="21" s="1"/>
  <c r="CR68" i="21"/>
  <c r="CV68" i="21" s="1"/>
  <c r="CQ76" i="21"/>
  <c r="CS76" i="21"/>
  <c r="CW76" i="21" s="1"/>
  <c r="CR76" i="21"/>
  <c r="CV76" i="21" s="1"/>
  <c r="CQ84" i="21"/>
  <c r="CS84" i="21"/>
  <c r="CW84" i="21" s="1"/>
  <c r="CR84" i="21"/>
  <c r="CV84" i="21" s="1"/>
  <c r="CQ116" i="21"/>
  <c r="CS116" i="21"/>
  <c r="CW116" i="21" s="1"/>
  <c r="CR116" i="21"/>
  <c r="CV116" i="21" s="1"/>
  <c r="CQ14" i="21"/>
  <c r="CS14" i="21"/>
  <c r="CW14" i="21" s="1"/>
  <c r="CR14" i="21"/>
  <c r="CV14" i="21" s="1"/>
  <c r="CS22" i="21"/>
  <c r="CW22" i="21" s="1"/>
  <c r="CR22" i="21"/>
  <c r="CV22" i="21" s="1"/>
  <c r="CQ22" i="21"/>
  <c r="CQ30" i="21"/>
  <c r="CS30" i="21"/>
  <c r="CW30" i="21" s="1"/>
  <c r="CR30" i="21"/>
  <c r="CV30" i="21" s="1"/>
  <c r="CS38" i="21"/>
  <c r="CW38" i="21" s="1"/>
  <c r="CR38" i="21"/>
  <c r="CV38" i="21" s="1"/>
  <c r="CQ38" i="21"/>
  <c r="CS46" i="21"/>
  <c r="CW46" i="21" s="1"/>
  <c r="CQ46" i="21"/>
  <c r="CR46" i="21"/>
  <c r="CV46" i="21" s="1"/>
  <c r="CS54" i="21"/>
  <c r="CW54" i="21" s="1"/>
  <c r="CR54" i="21"/>
  <c r="CV54" i="21" s="1"/>
  <c r="CQ54" i="21"/>
  <c r="CQ62" i="21"/>
  <c r="CR62" i="21"/>
  <c r="CV62" i="21" s="1"/>
  <c r="CS62" i="21"/>
  <c r="CW62" i="21" s="1"/>
  <c r="CS70" i="21"/>
  <c r="CW70" i="21" s="1"/>
  <c r="CR70" i="21"/>
  <c r="CV70" i="21" s="1"/>
  <c r="CQ70" i="21"/>
  <c r="CR78" i="21"/>
  <c r="CV78" i="21" s="1"/>
  <c r="CQ78" i="21"/>
  <c r="CS78" i="21"/>
  <c r="CW78" i="21" s="1"/>
  <c r="CS86" i="21"/>
  <c r="CW86" i="21" s="1"/>
  <c r="CR86" i="21"/>
  <c r="CV86" i="21" s="1"/>
  <c r="CQ86" i="21"/>
  <c r="CR94" i="21"/>
  <c r="CV94" i="21" s="1"/>
  <c r="CQ94" i="21"/>
  <c r="CS94" i="21"/>
  <c r="CW94" i="21" s="1"/>
  <c r="CS102" i="21"/>
  <c r="CW102" i="21" s="1"/>
  <c r="CR102" i="21"/>
  <c r="CV102" i="21" s="1"/>
  <c r="CQ102" i="21"/>
  <c r="CR114" i="21"/>
  <c r="CV114" i="21" s="1"/>
  <c r="CS114" i="21"/>
  <c r="CW114" i="21" s="1"/>
  <c r="CQ114" i="21"/>
  <c r="CR122" i="21"/>
  <c r="CV122" i="21" s="1"/>
  <c r="CS122" i="21"/>
  <c r="CW122" i="21" s="1"/>
  <c r="CQ122" i="21"/>
  <c r="CR130" i="21"/>
  <c r="CV130" i="21" s="1"/>
  <c r="CS130" i="21"/>
  <c r="CW130" i="21" s="1"/>
  <c r="CQ130" i="21"/>
  <c r="CS96" i="21"/>
  <c r="CW96" i="21" s="1"/>
  <c r="CQ96" i="21"/>
  <c r="CR96" i="21"/>
  <c r="CV96" i="21" s="1"/>
  <c r="CQ124" i="21"/>
  <c r="CS124" i="21"/>
  <c r="CW124" i="21" s="1"/>
  <c r="CR124" i="21"/>
  <c r="CV124" i="21" s="1"/>
  <c r="CR11" i="21"/>
  <c r="CV11" i="21" s="1"/>
  <c r="CS11" i="21"/>
  <c r="CW11" i="21" s="1"/>
  <c r="CQ11" i="21"/>
  <c r="CR19" i="21"/>
  <c r="CV19" i="21" s="1"/>
  <c r="CQ19" i="21"/>
  <c r="CS19" i="21"/>
  <c r="CW19" i="21" s="1"/>
  <c r="CR27" i="21"/>
  <c r="CV27" i="21" s="1"/>
  <c r="CS27" i="21"/>
  <c r="CW27" i="21" s="1"/>
  <c r="CQ27" i="21"/>
  <c r="CR35" i="21"/>
  <c r="CV35" i="21" s="1"/>
  <c r="CQ35" i="21"/>
  <c r="CS35" i="21"/>
  <c r="CW35" i="21" s="1"/>
  <c r="CR43" i="21"/>
  <c r="CV43" i="21" s="1"/>
  <c r="CS43" i="21"/>
  <c r="CW43" i="21" s="1"/>
  <c r="CQ43" i="21"/>
  <c r="CR51" i="21"/>
  <c r="CV51" i="21" s="1"/>
  <c r="CQ51" i="21"/>
  <c r="CS51" i="21"/>
  <c r="CW51" i="21" s="1"/>
  <c r="CR59" i="21"/>
  <c r="CV59" i="21" s="1"/>
  <c r="CS59" i="21"/>
  <c r="CW59" i="21" s="1"/>
  <c r="CQ59" i="21"/>
  <c r="CQ67" i="21"/>
  <c r="CS67" i="21"/>
  <c r="CW67" i="21" s="1"/>
  <c r="CR67" i="21"/>
  <c r="CV67" i="21" s="1"/>
  <c r="CS75" i="21"/>
  <c r="CW75" i="21" s="1"/>
  <c r="CQ75" i="21"/>
  <c r="CR75" i="21"/>
  <c r="CV75" i="21" s="1"/>
  <c r="CQ83" i="21"/>
  <c r="CR83" i="21"/>
  <c r="CV83" i="21" s="1"/>
  <c r="CS83" i="21"/>
  <c r="CW83" i="21" s="1"/>
  <c r="CS91" i="21"/>
  <c r="CW91" i="21" s="1"/>
  <c r="CQ91" i="21"/>
  <c r="CR91" i="21"/>
  <c r="CV91" i="21" s="1"/>
  <c r="CQ99" i="21"/>
  <c r="CS99" i="21"/>
  <c r="CW99" i="21" s="1"/>
  <c r="CR99" i="21"/>
  <c r="CV99" i="21" s="1"/>
  <c r="CS107" i="21"/>
  <c r="CW107" i="21" s="1"/>
  <c r="CQ107" i="21"/>
  <c r="CR107" i="21"/>
  <c r="CV107" i="21" s="1"/>
  <c r="CQ115" i="21"/>
  <c r="CS115" i="21"/>
  <c r="CW115" i="21" s="1"/>
  <c r="CR115" i="21"/>
  <c r="CV115" i="21" s="1"/>
  <c r="CS123" i="21"/>
  <c r="CW123" i="21" s="1"/>
  <c r="CQ123" i="21"/>
  <c r="CR123" i="21"/>
  <c r="CV123" i="21" s="1"/>
  <c r="CQ131" i="21"/>
  <c r="CS131" i="21"/>
  <c r="CW131" i="21" s="1"/>
  <c r="CR131" i="21"/>
  <c r="CV131" i="21" s="1"/>
  <c r="CQ88" i="21"/>
  <c r="CS88" i="21"/>
  <c r="CW88" i="21" s="1"/>
  <c r="CR88" i="21"/>
  <c r="CV88" i="21" s="1"/>
  <c r="CQ108" i="21"/>
  <c r="CS108" i="21"/>
  <c r="CW108" i="21" s="1"/>
  <c r="CR108" i="21"/>
  <c r="CV108" i="21" s="1"/>
  <c r="CS128" i="21"/>
  <c r="CW128" i="21" s="1"/>
  <c r="CQ128" i="21"/>
  <c r="CR128" i="21"/>
  <c r="CV128" i="21" s="1"/>
  <c r="W9" i="21"/>
  <c r="AP61" i="21"/>
  <c r="AQ61" i="21"/>
  <c r="W109" i="21"/>
  <c r="BQ62" i="21"/>
  <c r="BQ124" i="21"/>
  <c r="X106" i="21"/>
  <c r="AP15" i="21"/>
  <c r="BS70" i="21"/>
  <c r="BW70" i="21" s="1"/>
  <c r="W104" i="21"/>
  <c r="X109" i="21"/>
  <c r="X104" i="21"/>
  <c r="W106" i="21"/>
  <c r="BR76" i="21"/>
  <c r="BV76" i="21" s="1"/>
  <c r="AQ15" i="21"/>
  <c r="AV15" i="21" s="1"/>
  <c r="BS98" i="21"/>
  <c r="BW98" i="21" s="1"/>
  <c r="BY98" i="21" s="1"/>
  <c r="BQ44" i="21"/>
  <c r="AO15" i="21"/>
  <c r="Q127" i="21"/>
  <c r="Q10" i="21"/>
  <c r="BQ100" i="21"/>
  <c r="BQ92" i="21"/>
  <c r="Q131" i="21"/>
  <c r="BR114" i="21"/>
  <c r="BV114" i="21" s="1"/>
  <c r="BS76" i="21"/>
  <c r="BW76" i="21" s="1"/>
  <c r="BR28" i="21"/>
  <c r="BV28" i="21" s="1"/>
  <c r="Q42" i="21"/>
  <c r="Q39" i="21"/>
  <c r="Q64" i="21"/>
  <c r="BR44" i="21"/>
  <c r="BV44" i="21" s="1"/>
  <c r="BX44" i="21" s="1"/>
  <c r="Q74" i="21"/>
  <c r="Q105" i="21"/>
  <c r="Q55" i="21"/>
  <c r="Q97" i="21"/>
  <c r="Q80" i="21"/>
  <c r="Q13" i="21"/>
  <c r="Q48" i="21"/>
  <c r="BR36" i="21"/>
  <c r="BV36" i="21" s="1"/>
  <c r="BR126" i="21"/>
  <c r="BV126" i="21" s="1"/>
  <c r="BS20" i="21"/>
  <c r="BW20" i="21" s="1"/>
  <c r="BY20" i="21" s="1"/>
  <c r="AP23" i="21"/>
  <c r="Q90" i="21"/>
  <c r="Q130" i="21"/>
  <c r="Q71" i="21"/>
  <c r="Q16" i="21"/>
  <c r="Q89" i="21"/>
  <c r="Q58" i="21"/>
  <c r="Q15" i="21"/>
  <c r="Q45" i="21"/>
  <c r="BQ132" i="21"/>
  <c r="BS122" i="21"/>
  <c r="BW122" i="21" s="1"/>
  <c r="BY122" i="21" s="1"/>
  <c r="BR102" i="21"/>
  <c r="BV102" i="21" s="1"/>
  <c r="AQ23" i="21"/>
  <c r="AV23" i="21" s="1"/>
  <c r="Q14" i="21"/>
  <c r="Q30" i="21"/>
  <c r="Q46" i="21"/>
  <c r="Q62" i="21"/>
  <c r="Q78" i="21"/>
  <c r="Q94" i="21"/>
  <c r="Q118" i="21"/>
  <c r="Q134" i="21"/>
  <c r="Q107" i="21"/>
  <c r="Q135" i="21"/>
  <c r="Q69" i="21"/>
  <c r="Q117" i="21"/>
  <c r="Q27" i="21"/>
  <c r="Q43" i="21"/>
  <c r="Q59" i="21"/>
  <c r="Q75" i="21"/>
  <c r="Q103" i="21"/>
  <c r="Q21" i="21"/>
  <c r="Q133" i="21"/>
  <c r="Q20" i="21"/>
  <c r="Q36" i="21"/>
  <c r="Q52" i="21"/>
  <c r="Q68" i="21"/>
  <c r="Q84" i="21"/>
  <c r="Q100" i="21"/>
  <c r="Q108" i="21"/>
  <c r="Q124" i="21"/>
  <c r="Q17" i="21"/>
  <c r="Q57" i="21"/>
  <c r="Q101" i="21"/>
  <c r="Q26" i="21"/>
  <c r="Q114" i="21"/>
  <c r="Q99" i="21"/>
  <c r="Q95" i="21"/>
  <c r="Q61" i="21"/>
  <c r="Q121" i="21"/>
  <c r="Q32" i="21"/>
  <c r="Q96" i="21"/>
  <c r="Q120" i="21"/>
  <c r="BR86" i="21"/>
  <c r="BV86" i="21" s="1"/>
  <c r="BX86" i="21" s="1"/>
  <c r="Q18" i="21"/>
  <c r="Q34" i="21"/>
  <c r="Q50" i="21"/>
  <c r="Q66" i="21"/>
  <c r="Q82" i="21"/>
  <c r="Q98" i="21"/>
  <c r="Q122" i="21"/>
  <c r="Q79" i="21"/>
  <c r="Q115" i="21"/>
  <c r="Q25" i="21"/>
  <c r="Q81" i="21"/>
  <c r="Q125" i="21"/>
  <c r="Q19" i="21"/>
  <c r="Q31" i="21"/>
  <c r="Q47" i="21"/>
  <c r="Q63" i="21"/>
  <c r="Q83" i="21"/>
  <c r="Q111" i="21"/>
  <c r="Q37" i="21"/>
  <c r="Q73" i="21"/>
  <c r="Q24" i="21"/>
  <c r="Q40" i="21"/>
  <c r="Q56" i="21"/>
  <c r="Q72" i="21"/>
  <c r="Q88" i="21"/>
  <c r="Q112" i="21"/>
  <c r="Q128" i="21"/>
  <c r="Q29" i="21"/>
  <c r="Q65" i="21"/>
  <c r="Q113" i="21"/>
  <c r="BR14" i="21"/>
  <c r="BV14" i="21" s="1"/>
  <c r="AN23" i="21"/>
  <c r="Q22" i="21"/>
  <c r="Q38" i="21"/>
  <c r="Q54" i="21"/>
  <c r="Q70" i="21"/>
  <c r="Q86" i="21"/>
  <c r="Q102" i="21"/>
  <c r="Q110" i="21"/>
  <c r="Q126" i="21"/>
  <c r="Q91" i="21"/>
  <c r="Q123" i="21"/>
  <c r="Q41" i="21"/>
  <c r="Q93" i="21"/>
  <c r="Q11" i="21"/>
  <c r="Q23" i="21"/>
  <c r="Q35" i="21"/>
  <c r="Q51" i="21"/>
  <c r="Q67" i="21"/>
  <c r="Q87" i="21"/>
  <c r="Q119" i="21"/>
  <c r="Q49" i="21"/>
  <c r="Q85" i="21"/>
  <c r="Q12" i="21"/>
  <c r="Q28" i="21"/>
  <c r="Q44" i="21"/>
  <c r="Q60" i="21"/>
  <c r="Q76" i="21"/>
  <c r="Q92" i="21"/>
  <c r="Q116" i="21"/>
  <c r="Q132" i="21"/>
  <c r="Q77" i="21"/>
  <c r="Q129" i="21"/>
  <c r="BQ68" i="21"/>
  <c r="BR38" i="21"/>
  <c r="BV38" i="21" s="1"/>
  <c r="BR108" i="21"/>
  <c r="BV108" i="21" s="1"/>
  <c r="BR68" i="21"/>
  <c r="BV68" i="21" s="1"/>
  <c r="BX68" i="21" s="1"/>
  <c r="BS22" i="21"/>
  <c r="BW22" i="21" s="1"/>
  <c r="BY22" i="21" s="1"/>
  <c r="BS108" i="21"/>
  <c r="BW108" i="21" s="1"/>
  <c r="BR46" i="21"/>
  <c r="BV46" i="21" s="1"/>
  <c r="BQ52" i="21"/>
  <c r="BQ22" i="21"/>
  <c r="BQ60" i="21"/>
  <c r="BR30" i="21"/>
  <c r="BV30" i="21" s="1"/>
  <c r="BR116" i="21"/>
  <c r="BV116" i="21" s="1"/>
  <c r="BQ122" i="21"/>
  <c r="BR12" i="21"/>
  <c r="BV12" i="21" s="1"/>
  <c r="BS102" i="21"/>
  <c r="BW102" i="21" s="1"/>
  <c r="BS14" i="21"/>
  <c r="BW14" i="21" s="1"/>
  <c r="BS116" i="21"/>
  <c r="BW116" i="21" s="1"/>
  <c r="BR132" i="21"/>
  <c r="BV132" i="21" s="1"/>
  <c r="BX132" i="21" s="1"/>
  <c r="BQ86" i="21"/>
  <c r="BR124" i="21"/>
  <c r="BV124" i="21" s="1"/>
  <c r="BX124" i="21" s="1"/>
  <c r="BS12" i="21"/>
  <c r="BW12" i="21" s="1"/>
  <c r="BS52" i="21"/>
  <c r="BW52" i="21" s="1"/>
  <c r="BY52" i="21" s="1"/>
  <c r="BS38" i="21"/>
  <c r="BW38" i="21" s="1"/>
  <c r="BQ78" i="21"/>
  <c r="BS30" i="21"/>
  <c r="BW30" i="21" s="1"/>
  <c r="BQ84" i="21"/>
  <c r="BS78" i="21"/>
  <c r="BW78" i="21" s="1"/>
  <c r="BY78" i="21" s="1"/>
  <c r="BR100" i="21"/>
  <c r="BV100" i="21" s="1"/>
  <c r="BX100" i="21" s="1"/>
  <c r="BR84" i="21"/>
  <c r="BV84" i="21" s="1"/>
  <c r="BX84" i="21" s="1"/>
  <c r="BR70" i="21"/>
  <c r="BV70" i="21" s="1"/>
  <c r="BS54" i="21"/>
  <c r="BW54" i="21" s="1"/>
  <c r="BR92" i="21"/>
  <c r="BV92" i="21" s="1"/>
  <c r="BX92" i="21" s="1"/>
  <c r="BR60" i="21"/>
  <c r="BV60" i="21" s="1"/>
  <c r="BX60" i="21" s="1"/>
  <c r="BR62" i="21"/>
  <c r="BV62" i="21" s="1"/>
  <c r="BX62" i="21" s="1"/>
  <c r="BS46" i="21"/>
  <c r="BW46" i="21" s="1"/>
  <c r="BR54" i="21"/>
  <c r="BV54" i="21" s="1"/>
  <c r="BS126" i="21"/>
  <c r="BW126" i="21" s="1"/>
  <c r="BQ98" i="21"/>
  <c r="BS36" i="21"/>
  <c r="BW36" i="21" s="1"/>
  <c r="BQ20" i="21"/>
  <c r="BS114" i="21"/>
  <c r="BW114" i="21" s="1"/>
  <c r="BS28" i="21"/>
  <c r="BW28" i="21" s="1"/>
  <c r="AN18" i="21"/>
  <c r="AP18" i="21"/>
  <c r="AO18" i="21"/>
  <c r="AQ18" i="21"/>
  <c r="AV18" i="21" s="1"/>
  <c r="AN31" i="21"/>
  <c r="AO31" i="21"/>
  <c r="AQ31" i="21"/>
  <c r="AV31" i="21" s="1"/>
  <c r="AP31" i="21"/>
  <c r="AN67" i="21"/>
  <c r="AQ67" i="21"/>
  <c r="AV67" i="21" s="1"/>
  <c r="AO67" i="21"/>
  <c r="AP67" i="21"/>
  <c r="AN99" i="21"/>
  <c r="AQ99" i="21"/>
  <c r="AV99" i="21" s="1"/>
  <c r="AP99" i="21"/>
  <c r="AO99" i="21"/>
  <c r="AN98" i="21"/>
  <c r="AP98" i="21"/>
  <c r="AQ98" i="21"/>
  <c r="AV98" i="21" s="1"/>
  <c r="AO98" i="21"/>
  <c r="AN20" i="21"/>
  <c r="AP20" i="21"/>
  <c r="AO20" i="21"/>
  <c r="AQ20" i="21"/>
  <c r="AV20" i="21" s="1"/>
  <c r="AN36" i="21"/>
  <c r="AP36" i="21"/>
  <c r="AO36" i="21"/>
  <c r="AQ36" i="21"/>
  <c r="AV36" i="21" s="1"/>
  <c r="AN84" i="21"/>
  <c r="AP84" i="21"/>
  <c r="AQ84" i="21"/>
  <c r="AV84" i="21" s="1"/>
  <c r="AO84" i="21"/>
  <c r="AN57" i="21"/>
  <c r="AO57" i="21"/>
  <c r="AQ57" i="21"/>
  <c r="AV57" i="21" s="1"/>
  <c r="AP57" i="21"/>
  <c r="AN53" i="21"/>
  <c r="AO53" i="21"/>
  <c r="AP53" i="21"/>
  <c r="AQ53" i="21"/>
  <c r="AV53" i="21" s="1"/>
  <c r="AN38" i="21"/>
  <c r="AP38" i="21"/>
  <c r="AO38" i="21"/>
  <c r="AQ38" i="21"/>
  <c r="AV38" i="21" s="1"/>
  <c r="BQ39" i="21"/>
  <c r="BS39" i="21"/>
  <c r="BW39" i="21" s="1"/>
  <c r="BR39" i="21"/>
  <c r="BV39" i="21" s="1"/>
  <c r="BQ10" i="21"/>
  <c r="BS10" i="21"/>
  <c r="BW10" i="21" s="1"/>
  <c r="BR10" i="21"/>
  <c r="BV10" i="21" s="1"/>
  <c r="BQ99" i="21"/>
  <c r="BS99" i="21"/>
  <c r="BW99" i="21" s="1"/>
  <c r="BR99" i="21"/>
  <c r="BV99" i="21" s="1"/>
  <c r="BQ118" i="21"/>
  <c r="BS118" i="21"/>
  <c r="BW118" i="21" s="1"/>
  <c r="BR118" i="21"/>
  <c r="BV118" i="21" s="1"/>
  <c r="BQ32" i="21"/>
  <c r="BS32" i="21"/>
  <c r="BW32" i="21" s="1"/>
  <c r="BR32" i="21"/>
  <c r="BV32" i="21" s="1"/>
  <c r="BS66" i="21"/>
  <c r="BW66" i="21" s="1"/>
  <c r="BQ66" i="21"/>
  <c r="BR66" i="21"/>
  <c r="BV66" i="21" s="1"/>
  <c r="BQ27" i="21"/>
  <c r="BS27" i="21"/>
  <c r="BW27" i="21" s="1"/>
  <c r="BR27" i="21"/>
  <c r="BV27" i="21" s="1"/>
  <c r="BQ125" i="21"/>
  <c r="BS125" i="21"/>
  <c r="BW125" i="21" s="1"/>
  <c r="BR125" i="21"/>
  <c r="BV125" i="21" s="1"/>
  <c r="BQ61" i="21"/>
  <c r="BS61" i="21"/>
  <c r="BW61" i="21" s="1"/>
  <c r="BR61" i="21"/>
  <c r="BV61" i="21" s="1"/>
  <c r="AQ10" i="21"/>
  <c r="AV10" i="21" s="1"/>
  <c r="AO10" i="21"/>
  <c r="AN10" i="21"/>
  <c r="AP10" i="21"/>
  <c r="AN77" i="21"/>
  <c r="AO77" i="21"/>
  <c r="AP77" i="21"/>
  <c r="AQ77" i="21"/>
  <c r="AQ11" i="21"/>
  <c r="AV11" i="21" s="1"/>
  <c r="AN11" i="21"/>
  <c r="AP11" i="21"/>
  <c r="AO11" i="21"/>
  <c r="AN35" i="21"/>
  <c r="AO35" i="21"/>
  <c r="AQ35" i="21"/>
  <c r="AV35" i="21" s="1"/>
  <c r="AP35" i="21"/>
  <c r="AN55" i="21"/>
  <c r="AQ55" i="21"/>
  <c r="AV55" i="21" s="1"/>
  <c r="AO55" i="21"/>
  <c r="AP55" i="21"/>
  <c r="AN71" i="21"/>
  <c r="AQ71" i="21"/>
  <c r="AV71" i="21" s="1"/>
  <c r="AO71" i="21"/>
  <c r="AP71" i="21"/>
  <c r="AN87" i="21"/>
  <c r="AQ87" i="21"/>
  <c r="AV87" i="21" s="1"/>
  <c r="AO87" i="21"/>
  <c r="AP87" i="21"/>
  <c r="AN103" i="21"/>
  <c r="AQ103" i="21"/>
  <c r="AV103" i="21" s="1"/>
  <c r="AO103" i="21"/>
  <c r="AP103" i="21"/>
  <c r="AN119" i="21"/>
  <c r="AP119" i="21"/>
  <c r="AQ119" i="21"/>
  <c r="AV119" i="21" s="1"/>
  <c r="AO119" i="21"/>
  <c r="AN135" i="21"/>
  <c r="AP135" i="21"/>
  <c r="AQ135" i="21"/>
  <c r="AV135" i="21" s="1"/>
  <c r="AO135" i="21"/>
  <c r="AN117" i="21"/>
  <c r="AP117" i="21"/>
  <c r="AQ117" i="21"/>
  <c r="AV117" i="21" s="1"/>
  <c r="AO117" i="21"/>
  <c r="AN49" i="21"/>
  <c r="AO49" i="21"/>
  <c r="AP49" i="21"/>
  <c r="AQ49" i="21"/>
  <c r="AV49" i="21" s="1"/>
  <c r="AN129" i="21"/>
  <c r="AP129" i="21"/>
  <c r="AQ129" i="21"/>
  <c r="AV129" i="21" s="1"/>
  <c r="AO129" i="21"/>
  <c r="AP24" i="21"/>
  <c r="C47" i="36" s="1"/>
  <c r="AQ24" i="21"/>
  <c r="AV24" i="21" s="1"/>
  <c r="F96" i="36" s="1"/>
  <c r="AO24" i="21"/>
  <c r="AN40" i="21"/>
  <c r="AP40" i="21"/>
  <c r="AQ40" i="21"/>
  <c r="AV40" i="21" s="1"/>
  <c r="AO40" i="21"/>
  <c r="AN56" i="21"/>
  <c r="AO56" i="21"/>
  <c r="AP56" i="21"/>
  <c r="AQ56" i="21"/>
  <c r="AV56" i="21" s="1"/>
  <c r="AN72" i="21"/>
  <c r="AO72" i="21"/>
  <c r="AP72" i="21"/>
  <c r="AQ72" i="21"/>
  <c r="AV72" i="21" s="1"/>
  <c r="AN88" i="21"/>
  <c r="AO88" i="21"/>
  <c r="AP88" i="21"/>
  <c r="AQ88" i="21"/>
  <c r="AV88" i="21" s="1"/>
  <c r="AN120" i="21"/>
  <c r="AP120" i="21"/>
  <c r="AQ120" i="21"/>
  <c r="AV120" i="21" s="1"/>
  <c r="AO120" i="21"/>
  <c r="AN70" i="21"/>
  <c r="AP70" i="21"/>
  <c r="AO70" i="21"/>
  <c r="AQ70" i="21"/>
  <c r="AV70" i="21" s="1"/>
  <c r="AN102" i="21"/>
  <c r="AP102" i="21"/>
  <c r="AO102" i="21"/>
  <c r="AQ102" i="21"/>
  <c r="AV102" i="21" s="1"/>
  <c r="AN101" i="21"/>
  <c r="AO101" i="21"/>
  <c r="AP101" i="21"/>
  <c r="AQ101" i="21"/>
  <c r="AV101" i="21" s="1"/>
  <c r="AN69" i="21"/>
  <c r="AO69" i="21"/>
  <c r="AP69" i="21"/>
  <c r="AQ69" i="21"/>
  <c r="AV69" i="21" s="1"/>
  <c r="AN130" i="21"/>
  <c r="AP130" i="21"/>
  <c r="AQ130" i="21"/>
  <c r="AV130" i="21" s="1"/>
  <c r="AO130" i="21"/>
  <c r="AN89" i="21"/>
  <c r="AO89" i="21"/>
  <c r="AQ89" i="21"/>
  <c r="AV89" i="21" s="1"/>
  <c r="AP89" i="21"/>
  <c r="AN26" i="21"/>
  <c r="AP26" i="21"/>
  <c r="AO26" i="21"/>
  <c r="AQ26" i="21"/>
  <c r="AV26" i="21" s="1"/>
  <c r="AN42" i="21"/>
  <c r="AP42" i="21"/>
  <c r="AO42" i="21"/>
  <c r="AQ42" i="21"/>
  <c r="AV42" i="21" s="1"/>
  <c r="AN62" i="21"/>
  <c r="AP62" i="21"/>
  <c r="AO62" i="21"/>
  <c r="AQ62" i="21"/>
  <c r="AV62" i="21" s="1"/>
  <c r="AN90" i="21"/>
  <c r="AP90" i="21"/>
  <c r="AO90" i="21"/>
  <c r="AQ90" i="21"/>
  <c r="AV90" i="21" s="1"/>
  <c r="BQ134" i="21"/>
  <c r="BS134" i="21"/>
  <c r="BW134" i="21" s="1"/>
  <c r="BR134" i="21"/>
  <c r="BV134" i="21" s="1"/>
  <c r="BR88" i="21"/>
  <c r="BV88" i="21" s="1"/>
  <c r="BQ88" i="21"/>
  <c r="BS88" i="21"/>
  <c r="BW88" i="21" s="1"/>
  <c r="BQ24" i="21"/>
  <c r="BS24" i="21"/>
  <c r="BR24" i="21"/>
  <c r="BR87" i="21"/>
  <c r="BV87" i="21" s="1"/>
  <c r="BQ87" i="21"/>
  <c r="BS87" i="21"/>
  <c r="BW87" i="21" s="1"/>
  <c r="BQ23" i="21"/>
  <c r="BS23" i="21"/>
  <c r="BW23" i="21" s="1"/>
  <c r="BR23" i="21"/>
  <c r="BV23" i="21" s="1"/>
  <c r="BQ58" i="21"/>
  <c r="BS58" i="21"/>
  <c r="BW58" i="21" s="1"/>
  <c r="BR58" i="21"/>
  <c r="BV58" i="21" s="1"/>
  <c r="BQ121" i="21"/>
  <c r="BS121" i="21"/>
  <c r="BW121" i="21" s="1"/>
  <c r="BR121" i="21"/>
  <c r="BV121" i="21" s="1"/>
  <c r="BQ57" i="21"/>
  <c r="BS57" i="21"/>
  <c r="BW57" i="21" s="1"/>
  <c r="BR57" i="21"/>
  <c r="BV57" i="21" s="1"/>
  <c r="BS83" i="21"/>
  <c r="BW83" i="21" s="1"/>
  <c r="BR83" i="21"/>
  <c r="BV83" i="21" s="1"/>
  <c r="BQ83" i="21"/>
  <c r="BQ19" i="21"/>
  <c r="BS19" i="21"/>
  <c r="BW19" i="21" s="1"/>
  <c r="BR19" i="21"/>
  <c r="BV19" i="21" s="1"/>
  <c r="BQ117" i="21"/>
  <c r="BS117" i="21"/>
  <c r="BW117" i="21" s="1"/>
  <c r="BR117" i="21"/>
  <c r="BV117" i="21" s="1"/>
  <c r="BQ53" i="21"/>
  <c r="BS53" i="21"/>
  <c r="BR53" i="21"/>
  <c r="BR90" i="21"/>
  <c r="BV90" i="21" s="1"/>
  <c r="BQ90" i="21"/>
  <c r="BS90" i="21"/>
  <c r="BW90" i="21" s="1"/>
  <c r="BS80" i="21"/>
  <c r="BW80" i="21" s="1"/>
  <c r="BR80" i="21"/>
  <c r="BV80" i="21" s="1"/>
  <c r="BQ80" i="21"/>
  <c r="BQ16" i="21"/>
  <c r="BS16" i="21"/>
  <c r="BW16" i="21" s="1"/>
  <c r="BR16" i="21"/>
  <c r="BV16" i="21" s="1"/>
  <c r="BS79" i="21"/>
  <c r="BW79" i="21" s="1"/>
  <c r="BR79" i="21"/>
  <c r="BV79" i="21" s="1"/>
  <c r="BQ79" i="21"/>
  <c r="BQ15" i="21"/>
  <c r="BS15" i="21"/>
  <c r="BW15" i="21" s="1"/>
  <c r="BR15" i="21"/>
  <c r="BV15" i="21" s="1"/>
  <c r="BQ50" i="21"/>
  <c r="BS50" i="21"/>
  <c r="BW50" i="21" s="1"/>
  <c r="BR50" i="21"/>
  <c r="BV50" i="21" s="1"/>
  <c r="BQ113" i="21"/>
  <c r="BS113" i="21"/>
  <c r="BW113" i="21" s="1"/>
  <c r="BR113" i="21"/>
  <c r="BV113" i="21" s="1"/>
  <c r="BQ49" i="21"/>
  <c r="BS49" i="21"/>
  <c r="BW49" i="21" s="1"/>
  <c r="BR49" i="21"/>
  <c r="BV49" i="21" s="1"/>
  <c r="BS75" i="21"/>
  <c r="BW75" i="21" s="1"/>
  <c r="BR75" i="21"/>
  <c r="BV75" i="21" s="1"/>
  <c r="BQ75" i="21"/>
  <c r="BQ11" i="21"/>
  <c r="BS11" i="21"/>
  <c r="BW11" i="21" s="1"/>
  <c r="BR11" i="21"/>
  <c r="BV11" i="21" s="1"/>
  <c r="BQ45" i="21"/>
  <c r="BS45" i="21"/>
  <c r="BW45" i="21" s="1"/>
  <c r="BR45" i="21"/>
  <c r="BV45" i="21" s="1"/>
  <c r="AN45" i="21"/>
  <c r="AQ45" i="21"/>
  <c r="AV45" i="21" s="1"/>
  <c r="AO45" i="21"/>
  <c r="AP45" i="21"/>
  <c r="AN51" i="21"/>
  <c r="AQ51" i="21"/>
  <c r="AV51" i="21" s="1"/>
  <c r="AO51" i="21"/>
  <c r="AP51" i="21"/>
  <c r="AN115" i="21"/>
  <c r="AP115" i="21"/>
  <c r="AQ115" i="21"/>
  <c r="AV115" i="21" s="1"/>
  <c r="AO115" i="21"/>
  <c r="AP113" i="21"/>
  <c r="AO113" i="21"/>
  <c r="AQ113" i="21"/>
  <c r="AV113" i="21" s="1"/>
  <c r="AN113" i="21"/>
  <c r="AN68" i="21"/>
  <c r="AP68" i="21"/>
  <c r="AQ68" i="21"/>
  <c r="AV68" i="21" s="1"/>
  <c r="AO68" i="21"/>
  <c r="AN116" i="21"/>
  <c r="AP116" i="21"/>
  <c r="AQ116" i="21"/>
  <c r="AV116" i="21" s="1"/>
  <c r="AO116" i="21"/>
  <c r="AN134" i="21"/>
  <c r="AP134" i="21"/>
  <c r="AQ134" i="21"/>
  <c r="AV134" i="21" s="1"/>
  <c r="AO134" i="21"/>
  <c r="AN73" i="21"/>
  <c r="AO73" i="21"/>
  <c r="AQ73" i="21"/>
  <c r="AV73" i="21" s="1"/>
  <c r="AP73" i="21"/>
  <c r="AN58" i="21"/>
  <c r="AP58" i="21"/>
  <c r="AO58" i="21"/>
  <c r="AQ58" i="21"/>
  <c r="AV58" i="21" s="1"/>
  <c r="AN122" i="21"/>
  <c r="AP122" i="21"/>
  <c r="AQ122" i="21"/>
  <c r="AV122" i="21" s="1"/>
  <c r="AO122" i="21"/>
  <c r="BQ103" i="21"/>
  <c r="BS103" i="21"/>
  <c r="BW103" i="21" s="1"/>
  <c r="BR103" i="21"/>
  <c r="BV103" i="21" s="1"/>
  <c r="BS73" i="21"/>
  <c r="BW73" i="21" s="1"/>
  <c r="BQ73" i="21"/>
  <c r="BR73" i="21"/>
  <c r="BV73" i="21" s="1"/>
  <c r="BQ133" i="21"/>
  <c r="BS133" i="21"/>
  <c r="BW133" i="21" s="1"/>
  <c r="BR133" i="21"/>
  <c r="BV133" i="21" s="1"/>
  <c r="BQ95" i="21"/>
  <c r="BS95" i="21"/>
  <c r="BW95" i="21" s="1"/>
  <c r="BR95" i="21"/>
  <c r="BV95" i="21" s="1"/>
  <c r="BQ129" i="21"/>
  <c r="BS129" i="21"/>
  <c r="BW129" i="21" s="1"/>
  <c r="BR129" i="21"/>
  <c r="BV129" i="21" s="1"/>
  <c r="AN13" i="21"/>
  <c r="AQ13" i="21"/>
  <c r="AV13" i="21" s="1"/>
  <c r="AO13" i="21"/>
  <c r="AP13" i="21"/>
  <c r="AN39" i="21"/>
  <c r="AO39" i="21"/>
  <c r="AQ39" i="21"/>
  <c r="AV39" i="21" s="1"/>
  <c r="AP39" i="21"/>
  <c r="AN75" i="21"/>
  <c r="AQ75" i="21"/>
  <c r="AV75" i="21" s="1"/>
  <c r="AP75" i="21"/>
  <c r="AO75" i="21"/>
  <c r="AP107" i="21"/>
  <c r="AO107" i="21"/>
  <c r="AN107" i="21"/>
  <c r="AQ107" i="21"/>
  <c r="AV107" i="21" s="1"/>
  <c r="AN50" i="21"/>
  <c r="AP50" i="21"/>
  <c r="AQ50" i="21"/>
  <c r="AV50" i="21" s="1"/>
  <c r="AO50" i="21"/>
  <c r="AT50" i="21" s="1"/>
  <c r="AN65" i="21"/>
  <c r="AO65" i="21"/>
  <c r="AP65" i="21"/>
  <c r="AQ65" i="21"/>
  <c r="AV65" i="21" s="1"/>
  <c r="AN28" i="21"/>
  <c r="AP28" i="21"/>
  <c r="AO28" i="21"/>
  <c r="AQ28" i="21"/>
  <c r="AV28" i="21" s="1"/>
  <c r="AN60" i="21"/>
  <c r="AO60" i="21"/>
  <c r="AP60" i="21"/>
  <c r="AQ60" i="21"/>
  <c r="AV60" i="21" s="1"/>
  <c r="AN76" i="21"/>
  <c r="AO76" i="21"/>
  <c r="AP76" i="21"/>
  <c r="AQ76" i="21"/>
  <c r="AV76" i="21" s="1"/>
  <c r="AN92" i="21"/>
  <c r="AO92" i="21"/>
  <c r="AP92" i="21"/>
  <c r="AQ92" i="21"/>
  <c r="AV92" i="21" s="1"/>
  <c r="AP108" i="21"/>
  <c r="AQ108" i="21"/>
  <c r="AV108" i="21" s="1"/>
  <c r="AN108" i="21"/>
  <c r="AO108" i="21"/>
  <c r="AN78" i="21"/>
  <c r="AP78" i="21"/>
  <c r="AO78" i="21"/>
  <c r="AQ78" i="21"/>
  <c r="AP110" i="21"/>
  <c r="AN110" i="21"/>
  <c r="AQ110" i="21"/>
  <c r="AV110" i="21" s="1"/>
  <c r="AO110" i="21"/>
  <c r="AN21" i="21"/>
  <c r="AQ21" i="21"/>
  <c r="AV21" i="21" s="1"/>
  <c r="AO21" i="21"/>
  <c r="AP21" i="21"/>
  <c r="AN85" i="21"/>
  <c r="AO85" i="21"/>
  <c r="AP85" i="21"/>
  <c r="AQ85" i="21"/>
  <c r="AV85" i="21" s="1"/>
  <c r="AN25" i="21"/>
  <c r="AQ25" i="21"/>
  <c r="AV25" i="21" s="1"/>
  <c r="AO25" i="21"/>
  <c r="AP25" i="21"/>
  <c r="AN105" i="21"/>
  <c r="AO105" i="21"/>
  <c r="AQ105" i="21"/>
  <c r="AV105" i="21" s="1"/>
  <c r="AP105" i="21"/>
  <c r="AN30" i="21"/>
  <c r="AP30" i="21"/>
  <c r="AO30" i="21"/>
  <c r="AQ30" i="21"/>
  <c r="AV30" i="21" s="1"/>
  <c r="AN46" i="21"/>
  <c r="AP46" i="21"/>
  <c r="AO46" i="21"/>
  <c r="AQ46" i="21"/>
  <c r="AV46" i="21" s="1"/>
  <c r="AN66" i="21"/>
  <c r="AP66" i="21"/>
  <c r="AQ66" i="21"/>
  <c r="AV66" i="21" s="1"/>
  <c r="AO66" i="21"/>
  <c r="BS72" i="21"/>
  <c r="BW72" i="21" s="1"/>
  <c r="BR72" i="21"/>
  <c r="BV72" i="21" s="1"/>
  <c r="BQ72" i="21"/>
  <c r="BQ135" i="21"/>
  <c r="BS135" i="21"/>
  <c r="BW135" i="21" s="1"/>
  <c r="BR135" i="21"/>
  <c r="BV135" i="21" s="1"/>
  <c r="BS71" i="21"/>
  <c r="BW71" i="21" s="1"/>
  <c r="BR71" i="21"/>
  <c r="BV71" i="21" s="1"/>
  <c r="BQ71" i="21"/>
  <c r="BQ130" i="21"/>
  <c r="BS130" i="21"/>
  <c r="BW130" i="21" s="1"/>
  <c r="BR130" i="21"/>
  <c r="BV130" i="21" s="1"/>
  <c r="BQ42" i="21"/>
  <c r="BS42" i="21"/>
  <c r="BW42" i="21" s="1"/>
  <c r="BR42" i="21"/>
  <c r="BV42" i="21" s="1"/>
  <c r="BQ105" i="21"/>
  <c r="BS105" i="21"/>
  <c r="BW105" i="21" s="1"/>
  <c r="BR105" i="21"/>
  <c r="BV105" i="21" s="1"/>
  <c r="BQ41" i="21"/>
  <c r="BS41" i="21"/>
  <c r="BW41" i="21" s="1"/>
  <c r="BR41" i="21"/>
  <c r="BV41" i="21" s="1"/>
  <c r="BQ131" i="21"/>
  <c r="BS131" i="21"/>
  <c r="BW131" i="21" s="1"/>
  <c r="BR131" i="21"/>
  <c r="BV131" i="21" s="1"/>
  <c r="BS67" i="21"/>
  <c r="BW67" i="21" s="1"/>
  <c r="BR67" i="21"/>
  <c r="BV67" i="21" s="1"/>
  <c r="BQ67" i="21"/>
  <c r="BQ101" i="21"/>
  <c r="BS101" i="21"/>
  <c r="BW101" i="21" s="1"/>
  <c r="BR101" i="21"/>
  <c r="BV101" i="21" s="1"/>
  <c r="BQ37" i="21"/>
  <c r="BS37" i="21"/>
  <c r="BW37" i="21" s="1"/>
  <c r="BR37" i="21"/>
  <c r="BV37" i="21" s="1"/>
  <c r="BQ128" i="21"/>
  <c r="BS128" i="21"/>
  <c r="BW128" i="21" s="1"/>
  <c r="BR128" i="21"/>
  <c r="BV128" i="21" s="1"/>
  <c r="BQ64" i="21"/>
  <c r="BS64" i="21"/>
  <c r="BW64" i="21" s="1"/>
  <c r="BR64" i="21"/>
  <c r="BV64" i="21" s="1"/>
  <c r="BQ127" i="21"/>
  <c r="BS127" i="21"/>
  <c r="BW127" i="21" s="1"/>
  <c r="BR127" i="21"/>
  <c r="BV127" i="21" s="1"/>
  <c r="BQ63" i="21"/>
  <c r="BS63" i="21"/>
  <c r="BW63" i="21" s="1"/>
  <c r="BR63" i="21"/>
  <c r="BV63" i="21" s="1"/>
  <c r="BQ110" i="21"/>
  <c r="BS110" i="21"/>
  <c r="BW110" i="21" s="1"/>
  <c r="BR110" i="21"/>
  <c r="BV110" i="21" s="1"/>
  <c r="BQ34" i="21"/>
  <c r="BS34" i="21"/>
  <c r="BW34" i="21" s="1"/>
  <c r="BR34" i="21"/>
  <c r="BV34" i="21" s="1"/>
  <c r="BQ97" i="21"/>
  <c r="BS97" i="21"/>
  <c r="BW97" i="21" s="1"/>
  <c r="BR97" i="21"/>
  <c r="BV97" i="21" s="1"/>
  <c r="BQ123" i="21"/>
  <c r="BS123" i="21"/>
  <c r="BW123" i="21" s="1"/>
  <c r="BR123" i="21"/>
  <c r="BV123" i="21" s="1"/>
  <c r="BQ59" i="21"/>
  <c r="BS59" i="21"/>
  <c r="BW59" i="21" s="1"/>
  <c r="BR59" i="21"/>
  <c r="BV59" i="21" s="1"/>
  <c r="BR93" i="21"/>
  <c r="BV93" i="21" s="1"/>
  <c r="BS93" i="21"/>
  <c r="BW93" i="21" s="1"/>
  <c r="BQ93" i="21"/>
  <c r="BQ29" i="21"/>
  <c r="BS29" i="21"/>
  <c r="BW29" i="21" s="1"/>
  <c r="BR29" i="21"/>
  <c r="BV29" i="21" s="1"/>
  <c r="AN125" i="21"/>
  <c r="AP125" i="21"/>
  <c r="AQ125" i="21"/>
  <c r="AV125" i="21" s="1"/>
  <c r="AO125" i="21"/>
  <c r="AN83" i="21"/>
  <c r="AQ83" i="21"/>
  <c r="AV83" i="21" s="1"/>
  <c r="AO83" i="21"/>
  <c r="AP83" i="21"/>
  <c r="AN131" i="21"/>
  <c r="AP131" i="21"/>
  <c r="AQ131" i="21"/>
  <c r="AV131" i="21" s="1"/>
  <c r="AO131" i="21"/>
  <c r="AN52" i="21"/>
  <c r="AP52" i="21"/>
  <c r="AQ52" i="21"/>
  <c r="AV52" i="21" s="1"/>
  <c r="AO52" i="21"/>
  <c r="AN100" i="21"/>
  <c r="AP100" i="21"/>
  <c r="AO100" i="21"/>
  <c r="AQ100" i="21"/>
  <c r="AV100" i="21" s="1"/>
  <c r="AN94" i="21"/>
  <c r="AP94" i="21"/>
  <c r="AO94" i="21"/>
  <c r="AQ94" i="21"/>
  <c r="AV94" i="21" s="1"/>
  <c r="AN121" i="21"/>
  <c r="AP121" i="21"/>
  <c r="AQ121" i="21"/>
  <c r="AV121" i="21" s="1"/>
  <c r="AO121" i="21"/>
  <c r="AN22" i="21"/>
  <c r="AP22" i="21"/>
  <c r="AO22" i="21"/>
  <c r="AQ22" i="21"/>
  <c r="AV22" i="21" s="1"/>
  <c r="AN82" i="21"/>
  <c r="AP82" i="21"/>
  <c r="AQ82" i="21"/>
  <c r="AV82" i="21" s="1"/>
  <c r="AO82" i="21"/>
  <c r="BQ40" i="21"/>
  <c r="BS40" i="21"/>
  <c r="BW40" i="21" s="1"/>
  <c r="BR40" i="21"/>
  <c r="BV40" i="21" s="1"/>
  <c r="BS74" i="21"/>
  <c r="BW74" i="21" s="1"/>
  <c r="BQ74" i="21"/>
  <c r="BR74" i="21"/>
  <c r="BV74" i="21" s="1"/>
  <c r="BQ35" i="21"/>
  <c r="BS35" i="21"/>
  <c r="BW35" i="21" s="1"/>
  <c r="BR35" i="21"/>
  <c r="BV35" i="21" s="1"/>
  <c r="BS69" i="21"/>
  <c r="BW69" i="21" s="1"/>
  <c r="BQ69" i="21"/>
  <c r="BR69" i="21"/>
  <c r="BV69" i="21" s="1"/>
  <c r="BQ96" i="21"/>
  <c r="BS96" i="21"/>
  <c r="BW96" i="21" s="1"/>
  <c r="BR96" i="21"/>
  <c r="BV96" i="21" s="1"/>
  <c r="BQ31" i="21"/>
  <c r="BS31" i="21"/>
  <c r="BW31" i="21" s="1"/>
  <c r="BR31" i="21"/>
  <c r="BV31" i="21" s="1"/>
  <c r="BQ65" i="21"/>
  <c r="BS65" i="21"/>
  <c r="BW65" i="21" s="1"/>
  <c r="BR65" i="21"/>
  <c r="BV65" i="21" s="1"/>
  <c r="BR91" i="21"/>
  <c r="BV91" i="21" s="1"/>
  <c r="BS91" i="21"/>
  <c r="BW91" i="21" s="1"/>
  <c r="BQ91" i="21"/>
  <c r="AN47" i="21"/>
  <c r="AO47" i="21"/>
  <c r="AQ47" i="21"/>
  <c r="AV47" i="21" s="1"/>
  <c r="AP47" i="21"/>
  <c r="AN93" i="21"/>
  <c r="AO93" i="21"/>
  <c r="AP93" i="21"/>
  <c r="AQ93" i="21"/>
  <c r="AV93" i="21" s="1"/>
  <c r="AN19" i="21"/>
  <c r="AO19" i="21"/>
  <c r="AQ19" i="21"/>
  <c r="AV19" i="21" s="1"/>
  <c r="AP19" i="21"/>
  <c r="AN59" i="21"/>
  <c r="AQ59" i="21"/>
  <c r="AV59" i="21" s="1"/>
  <c r="AP59" i="21"/>
  <c r="AO59" i="21"/>
  <c r="AN91" i="21"/>
  <c r="AQ91" i="21"/>
  <c r="AV91" i="21" s="1"/>
  <c r="AP91" i="21"/>
  <c r="AO91" i="21"/>
  <c r="AN123" i="21"/>
  <c r="AP123" i="21"/>
  <c r="AQ123" i="21"/>
  <c r="AV123" i="21" s="1"/>
  <c r="AO123" i="21"/>
  <c r="AN126" i="21"/>
  <c r="AP126" i="21"/>
  <c r="AQ126" i="21"/>
  <c r="AV126" i="21" s="1"/>
  <c r="AO126" i="21"/>
  <c r="AN12" i="21"/>
  <c r="AP12" i="21"/>
  <c r="AO12" i="21"/>
  <c r="AQ12" i="21"/>
  <c r="AV12" i="21" s="1"/>
  <c r="AN44" i="21"/>
  <c r="AP44" i="21"/>
  <c r="AO44" i="21"/>
  <c r="AQ44" i="21"/>
  <c r="AV44" i="21" s="1"/>
  <c r="AN124" i="21"/>
  <c r="AP124" i="21"/>
  <c r="AQ124" i="21"/>
  <c r="AV124" i="21" s="1"/>
  <c r="AO124" i="21"/>
  <c r="AN132" i="21"/>
  <c r="AP132" i="21"/>
  <c r="AQ132" i="21"/>
  <c r="AV132" i="21" s="1"/>
  <c r="AO132" i="21"/>
  <c r="AN29" i="21"/>
  <c r="AQ29" i="21"/>
  <c r="AV29" i="21" s="1"/>
  <c r="AO29" i="21"/>
  <c r="AP29" i="21"/>
  <c r="AN27" i="21"/>
  <c r="AO27" i="21"/>
  <c r="AQ27" i="21"/>
  <c r="AV27" i="21" s="1"/>
  <c r="AP27" i="21"/>
  <c r="AN43" i="21"/>
  <c r="AO43" i="21"/>
  <c r="AQ43" i="21"/>
  <c r="AV43" i="21" s="1"/>
  <c r="AP43" i="21"/>
  <c r="AN63" i="21"/>
  <c r="AQ63" i="21"/>
  <c r="AV63" i="21" s="1"/>
  <c r="AO63" i="21"/>
  <c r="AP63" i="21"/>
  <c r="AN79" i="21"/>
  <c r="AQ79" i="21"/>
  <c r="AV79" i="21" s="1"/>
  <c r="AO79" i="21"/>
  <c r="AP79" i="21"/>
  <c r="AN95" i="21"/>
  <c r="AQ95" i="21"/>
  <c r="AV95" i="21" s="1"/>
  <c r="AO95" i="21"/>
  <c r="AP95" i="21"/>
  <c r="AP111" i="21"/>
  <c r="AO111" i="21"/>
  <c r="AN111" i="21"/>
  <c r="AQ111" i="21"/>
  <c r="AV111" i="21" s="1"/>
  <c r="AN127" i="21"/>
  <c r="AP127" i="21"/>
  <c r="AQ127" i="21"/>
  <c r="AV127" i="21" s="1"/>
  <c r="AO127" i="21"/>
  <c r="AN81" i="21"/>
  <c r="AO81" i="21"/>
  <c r="AP81" i="21"/>
  <c r="AQ81" i="21"/>
  <c r="AV81" i="21" s="1"/>
  <c r="AN17" i="21"/>
  <c r="AQ17" i="21"/>
  <c r="AV17" i="21" s="1"/>
  <c r="AO17" i="21"/>
  <c r="AP17" i="21"/>
  <c r="AN97" i="21"/>
  <c r="AO97" i="21"/>
  <c r="AQ97" i="21"/>
  <c r="AV97" i="21" s="1"/>
  <c r="AP97" i="21"/>
  <c r="AN16" i="21"/>
  <c r="AP16" i="21"/>
  <c r="AQ16" i="21"/>
  <c r="AV16" i="21" s="1"/>
  <c r="AO16" i="21"/>
  <c r="AN32" i="21"/>
  <c r="AP32" i="21"/>
  <c r="AQ32" i="21"/>
  <c r="AV32" i="21" s="1"/>
  <c r="AO32" i="21"/>
  <c r="AN48" i="21"/>
  <c r="AP48" i="21"/>
  <c r="AQ48" i="21"/>
  <c r="AV48" i="21" s="1"/>
  <c r="AO48" i="21"/>
  <c r="AN64" i="21"/>
  <c r="AQ64" i="21"/>
  <c r="AV64" i="21" s="1"/>
  <c r="AO64" i="21"/>
  <c r="AP64" i="21"/>
  <c r="AN80" i="21"/>
  <c r="AQ80" i="21"/>
  <c r="AV80" i="21" s="1"/>
  <c r="AO80" i="21"/>
  <c r="AP80" i="21"/>
  <c r="AN96" i="21"/>
  <c r="AQ96" i="21"/>
  <c r="AV96" i="21" s="1"/>
  <c r="AO96" i="21"/>
  <c r="AP96" i="21"/>
  <c r="AP112" i="21"/>
  <c r="AQ112" i="21"/>
  <c r="AV112" i="21" s="1"/>
  <c r="AN112" i="21"/>
  <c r="AO112" i="21"/>
  <c r="AN128" i="21"/>
  <c r="AP128" i="21"/>
  <c r="AQ128" i="21"/>
  <c r="AV128" i="21" s="1"/>
  <c r="AO128" i="21"/>
  <c r="AN86" i="21"/>
  <c r="AP86" i="21"/>
  <c r="AO86" i="21"/>
  <c r="AQ86" i="21"/>
  <c r="AV86" i="21" s="1"/>
  <c r="AN118" i="21"/>
  <c r="AP118" i="21"/>
  <c r="AQ118" i="21"/>
  <c r="AV118" i="21" s="1"/>
  <c r="AO118" i="21"/>
  <c r="AN37" i="21"/>
  <c r="AQ37" i="21"/>
  <c r="AV37" i="21" s="1"/>
  <c r="AO37" i="21"/>
  <c r="AP37" i="21"/>
  <c r="AN133" i="21"/>
  <c r="AP133" i="21"/>
  <c r="AQ133" i="21"/>
  <c r="AV133" i="21" s="1"/>
  <c r="AO133" i="21"/>
  <c r="AN41" i="21"/>
  <c r="AQ41" i="21"/>
  <c r="AV41" i="21" s="1"/>
  <c r="AO41" i="21"/>
  <c r="AP41" i="21"/>
  <c r="AN14" i="21"/>
  <c r="AP14" i="21"/>
  <c r="AO14" i="21"/>
  <c r="AQ14" i="21"/>
  <c r="AV14" i="21" s="1"/>
  <c r="AN34" i="21"/>
  <c r="AP34" i="21"/>
  <c r="AO34" i="21"/>
  <c r="AQ34" i="21"/>
  <c r="AV34" i="21" s="1"/>
  <c r="AN54" i="21"/>
  <c r="AP54" i="21"/>
  <c r="AO54" i="21"/>
  <c r="AQ54" i="21"/>
  <c r="AV54" i="21" s="1"/>
  <c r="AN74" i="21"/>
  <c r="AP74" i="21"/>
  <c r="AO74" i="21"/>
  <c r="AQ74" i="21"/>
  <c r="AV74" i="21" s="1"/>
  <c r="AN114" i="21"/>
  <c r="AP114" i="21"/>
  <c r="AQ114" i="21"/>
  <c r="AV114" i="21" s="1"/>
  <c r="AO114" i="21"/>
  <c r="BQ120" i="21"/>
  <c r="BS120" i="21"/>
  <c r="BW120" i="21" s="1"/>
  <c r="BR120" i="21"/>
  <c r="BV120" i="21" s="1"/>
  <c r="BQ56" i="21"/>
  <c r="BS56" i="21"/>
  <c r="BW56" i="21" s="1"/>
  <c r="BR56" i="21"/>
  <c r="BV56" i="21" s="1"/>
  <c r="BQ119" i="21"/>
  <c r="BS119" i="21"/>
  <c r="BW119" i="21" s="1"/>
  <c r="BR119" i="21"/>
  <c r="BV119" i="21" s="1"/>
  <c r="BQ55" i="21"/>
  <c r="BS55" i="21"/>
  <c r="BW55" i="21" s="1"/>
  <c r="BR55" i="21"/>
  <c r="BV55" i="21" s="1"/>
  <c r="BR94" i="21"/>
  <c r="BV94" i="21" s="1"/>
  <c r="BQ94" i="21"/>
  <c r="BS94" i="21"/>
  <c r="BW94" i="21" s="1"/>
  <c r="BQ26" i="21"/>
  <c r="BS26" i="21"/>
  <c r="BW26" i="21" s="1"/>
  <c r="BR26" i="21"/>
  <c r="BV26" i="21" s="1"/>
  <c r="BR89" i="21"/>
  <c r="BV89" i="21" s="1"/>
  <c r="BS89" i="21"/>
  <c r="BW89" i="21" s="1"/>
  <c r="BQ89" i="21"/>
  <c r="BQ25" i="21"/>
  <c r="BS25" i="21"/>
  <c r="BW25" i="21" s="1"/>
  <c r="BR25" i="21"/>
  <c r="BV25" i="21" s="1"/>
  <c r="BQ115" i="21"/>
  <c r="BS115" i="21"/>
  <c r="BW115" i="21" s="1"/>
  <c r="BR115" i="21"/>
  <c r="BV115" i="21" s="1"/>
  <c r="BQ51" i="21"/>
  <c r="BS51" i="21"/>
  <c r="BW51" i="21" s="1"/>
  <c r="BR51" i="21"/>
  <c r="BV51" i="21" s="1"/>
  <c r="BR85" i="21"/>
  <c r="BV85" i="21" s="1"/>
  <c r="BS85" i="21"/>
  <c r="BW85" i="21" s="1"/>
  <c r="BQ85" i="21"/>
  <c r="BQ21" i="21"/>
  <c r="BS21" i="21"/>
  <c r="BW21" i="21" s="1"/>
  <c r="BR21" i="21"/>
  <c r="BV21" i="21" s="1"/>
  <c r="BQ112" i="21"/>
  <c r="BS112" i="21"/>
  <c r="BW112" i="21" s="1"/>
  <c r="BR112" i="21"/>
  <c r="BV112" i="21" s="1"/>
  <c r="BQ48" i="21"/>
  <c r="BS48" i="21"/>
  <c r="BW48" i="21" s="1"/>
  <c r="BR48" i="21"/>
  <c r="BV48" i="21" s="1"/>
  <c r="BQ111" i="21"/>
  <c r="BS111" i="21"/>
  <c r="BW111" i="21" s="1"/>
  <c r="BR111" i="21"/>
  <c r="BV111" i="21" s="1"/>
  <c r="BQ47" i="21"/>
  <c r="BS47" i="21"/>
  <c r="BW47" i="21" s="1"/>
  <c r="BR47" i="21"/>
  <c r="BV47" i="21" s="1"/>
  <c r="BS82" i="21"/>
  <c r="BW82" i="21" s="1"/>
  <c r="BQ82" i="21"/>
  <c r="BR82" i="21"/>
  <c r="BV82" i="21" s="1"/>
  <c r="BQ18" i="21"/>
  <c r="BS18" i="21"/>
  <c r="BW18" i="21" s="1"/>
  <c r="BR18" i="21"/>
  <c r="BV18" i="21" s="1"/>
  <c r="BS81" i="21"/>
  <c r="BW81" i="21" s="1"/>
  <c r="BQ81" i="21"/>
  <c r="BR81" i="21"/>
  <c r="BV81" i="21" s="1"/>
  <c r="BQ17" i="21"/>
  <c r="BS17" i="21"/>
  <c r="BW17" i="21" s="1"/>
  <c r="BR17" i="21"/>
  <c r="BV17" i="21" s="1"/>
  <c r="BQ107" i="21"/>
  <c r="BS107" i="21"/>
  <c r="BW107" i="21" s="1"/>
  <c r="BR107" i="21"/>
  <c r="BV107" i="21" s="1"/>
  <c r="BQ43" i="21"/>
  <c r="BS43" i="21"/>
  <c r="BW43" i="21" s="1"/>
  <c r="BR43" i="21"/>
  <c r="BV43" i="21" s="1"/>
  <c r="BS77" i="21"/>
  <c r="BW77" i="21" s="1"/>
  <c r="BQ77" i="21"/>
  <c r="BR77" i="21"/>
  <c r="BV77" i="21" s="1"/>
  <c r="BQ13" i="21"/>
  <c r="BS13" i="21"/>
  <c r="BW13" i="21" s="1"/>
  <c r="BR13" i="21"/>
  <c r="BV13" i="21" s="1"/>
  <c r="L41" i="35"/>
  <c r="I41" i="35"/>
  <c r="L38" i="35"/>
  <c r="I38" i="35"/>
  <c r="L37" i="35"/>
  <c r="I37" i="35"/>
  <c r="L36" i="35"/>
  <c r="I36" i="35"/>
  <c r="L32" i="35"/>
  <c r="I32" i="35"/>
  <c r="L31" i="35"/>
  <c r="I31" i="35"/>
  <c r="L30" i="35"/>
  <c r="I30" i="35"/>
  <c r="L29" i="35"/>
  <c r="I29" i="35"/>
  <c r="L28" i="35"/>
  <c r="I28" i="35"/>
  <c r="L27" i="35"/>
  <c r="I27" i="35"/>
  <c r="L26" i="35"/>
  <c r="I26" i="35"/>
  <c r="L24" i="35"/>
  <c r="I24" i="35"/>
  <c r="L23" i="35"/>
  <c r="I23" i="35"/>
  <c r="L22" i="35"/>
  <c r="I22" i="35"/>
  <c r="L21" i="35"/>
  <c r="I21" i="35"/>
  <c r="L20" i="35"/>
  <c r="I20" i="35"/>
  <c r="L19" i="35"/>
  <c r="I19" i="35"/>
  <c r="I18" i="35"/>
  <c r="I17" i="35"/>
  <c r="L16" i="35"/>
  <c r="I16" i="35"/>
  <c r="I15" i="35"/>
  <c r="L14" i="35"/>
  <c r="I14" i="35"/>
  <c r="L13" i="35"/>
  <c r="I13" i="35"/>
  <c r="L12" i="35"/>
  <c r="I12" i="35"/>
  <c r="L11" i="35"/>
  <c r="I11" i="35"/>
  <c r="L10" i="35"/>
  <c r="I10" i="35"/>
  <c r="L9" i="35"/>
  <c r="I9" i="35"/>
  <c r="L8" i="35"/>
  <c r="I8" i="35"/>
  <c r="C109" i="36" l="1"/>
  <c r="E53" i="36"/>
  <c r="E80" i="36"/>
  <c r="E70" i="36"/>
  <c r="D70" i="36"/>
  <c r="D80" i="36"/>
  <c r="C70" i="36"/>
  <c r="D53" i="36"/>
  <c r="C45" i="36"/>
  <c r="C53" i="36"/>
  <c r="CW24" i="21"/>
  <c r="BV24" i="21"/>
  <c r="BW24" i="21"/>
  <c r="CV24" i="21"/>
  <c r="CA22" i="21"/>
  <c r="CA122" i="21"/>
  <c r="CA20" i="21"/>
  <c r="CA52" i="21"/>
  <c r="CA98" i="21"/>
  <c r="CA78" i="21"/>
  <c r="R53" i="21"/>
  <c r="AV77" i="21"/>
  <c r="AA77" i="21"/>
  <c r="AV78" i="21"/>
  <c r="BS33" i="21"/>
  <c r="BW33" i="21" s="1"/>
  <c r="CQ53" i="21"/>
  <c r="BV53" i="21"/>
  <c r="BW53" i="21"/>
  <c r="CW53" i="21"/>
  <c r="Q33" i="21"/>
  <c r="BR33" i="21"/>
  <c r="BV33" i="21" s="1"/>
  <c r="AN104" i="21"/>
  <c r="CR53" i="21"/>
  <c r="R33" i="21"/>
  <c r="Q53" i="21"/>
  <c r="AO33" i="21"/>
  <c r="AT33" i="21" s="1"/>
  <c r="AQ33" i="21"/>
  <c r="AV33" i="21" s="1"/>
  <c r="AP33" i="21"/>
  <c r="S93" i="21"/>
  <c r="S14" i="21"/>
  <c r="S63" i="21"/>
  <c r="BQ106" i="21"/>
  <c r="AP109" i="21"/>
  <c r="AU109" i="21" s="1"/>
  <c r="S12" i="21"/>
  <c r="S126" i="21"/>
  <c r="S19" i="21"/>
  <c r="S131" i="21"/>
  <c r="BX54" i="21"/>
  <c r="BY28" i="21"/>
  <c r="CA28" i="21" s="1"/>
  <c r="S124" i="21"/>
  <c r="S59" i="21"/>
  <c r="BX65" i="21"/>
  <c r="BX35" i="21"/>
  <c r="BX97" i="21"/>
  <c r="BX127" i="21"/>
  <c r="BX101" i="21"/>
  <c r="BX67" i="21"/>
  <c r="BX105" i="21"/>
  <c r="BX135" i="21"/>
  <c r="BX72" i="21"/>
  <c r="S54" i="21"/>
  <c r="S86" i="21"/>
  <c r="S125" i="21"/>
  <c r="S134" i="21"/>
  <c r="BQ109" i="21"/>
  <c r="Q109" i="21"/>
  <c r="S34" i="21"/>
  <c r="BY126" i="21"/>
  <c r="CA126" i="21" s="1"/>
  <c r="S92" i="21"/>
  <c r="S76" i="21"/>
  <c r="S41" i="21"/>
  <c r="S64" i="21"/>
  <c r="S79" i="21"/>
  <c r="S102" i="21"/>
  <c r="S70" i="21"/>
  <c r="S61" i="21"/>
  <c r="S38" i="21"/>
  <c r="S29" i="21"/>
  <c r="S44" i="21"/>
  <c r="BX107" i="21"/>
  <c r="BX112" i="21"/>
  <c r="BX115" i="21"/>
  <c r="BX120" i="21"/>
  <c r="S58" i="21"/>
  <c r="S116" i="21"/>
  <c r="BR109" i="21"/>
  <c r="BV109" i="21" s="1"/>
  <c r="BY109" i="21" s="1"/>
  <c r="S121" i="21"/>
  <c r="S100" i="21"/>
  <c r="S46" i="21"/>
  <c r="S78" i="21"/>
  <c r="S28" i="21"/>
  <c r="BY66" i="21"/>
  <c r="CA66" i="21" s="1"/>
  <c r="BY17" i="21"/>
  <c r="CA17" i="21" s="1"/>
  <c r="BY47" i="21"/>
  <c r="CA47" i="21" s="1"/>
  <c r="BX111" i="21"/>
  <c r="BX119" i="21"/>
  <c r="S74" i="21"/>
  <c r="S133" i="21"/>
  <c r="S16" i="21"/>
  <c r="S27" i="21"/>
  <c r="BX70" i="21"/>
  <c r="BY21" i="21"/>
  <c r="CA21" i="21" s="1"/>
  <c r="BY25" i="21"/>
  <c r="CA25" i="21" s="1"/>
  <c r="BX89" i="21"/>
  <c r="BY55" i="21"/>
  <c r="CA55" i="21" s="1"/>
  <c r="S108" i="21"/>
  <c r="BY129" i="21"/>
  <c r="CA129" i="21" s="1"/>
  <c r="BX73" i="21"/>
  <c r="BY103" i="21"/>
  <c r="CA103" i="21" s="1"/>
  <c r="BY15" i="21"/>
  <c r="CA15" i="21" s="1"/>
  <c r="BX87" i="21"/>
  <c r="BY88" i="21"/>
  <c r="CA88" i="21" s="1"/>
  <c r="BY13" i="21"/>
  <c r="CA13" i="21" s="1"/>
  <c r="BX85" i="21"/>
  <c r="BY91" i="21"/>
  <c r="CA91" i="21" s="1"/>
  <c r="BX96" i="21"/>
  <c r="BX40" i="21"/>
  <c r="BY29" i="21"/>
  <c r="CA29" i="21" s="1"/>
  <c r="BX93" i="21"/>
  <c r="BX123" i="21"/>
  <c r="BX110" i="21"/>
  <c r="BX128" i="21"/>
  <c r="BX131" i="21"/>
  <c r="BX130" i="21"/>
  <c r="BX71" i="21"/>
  <c r="BX90" i="21"/>
  <c r="BY102" i="21"/>
  <c r="CA102" i="21" s="1"/>
  <c r="AN109" i="21"/>
  <c r="S60" i="21"/>
  <c r="S75" i="21"/>
  <c r="S113" i="21"/>
  <c r="BX45" i="21"/>
  <c r="BX57" i="21"/>
  <c r="AP104" i="21"/>
  <c r="AU104" i="21" s="1"/>
  <c r="BX61" i="21"/>
  <c r="BX32" i="21"/>
  <c r="BX39" i="21"/>
  <c r="BY12" i="21"/>
  <c r="CA12" i="21" s="1"/>
  <c r="BY116" i="21"/>
  <c r="CA116" i="21" s="1"/>
  <c r="Q106" i="21"/>
  <c r="BX76" i="21"/>
  <c r="BX82" i="21"/>
  <c r="BY94" i="21"/>
  <c r="CA94" i="21" s="1"/>
  <c r="S112" i="21"/>
  <c r="AQ109" i="21"/>
  <c r="AV109" i="21" s="1"/>
  <c r="BY63" i="21"/>
  <c r="CA63" i="21" s="1"/>
  <c r="BY37" i="21"/>
  <c r="CA37" i="21" s="1"/>
  <c r="BY41" i="21"/>
  <c r="CA41" i="21" s="1"/>
  <c r="BR106" i="21"/>
  <c r="BV106" i="21" s="1"/>
  <c r="BX106" i="21" s="1"/>
  <c r="AQ104" i="21"/>
  <c r="AV104" i="21" s="1"/>
  <c r="BY14" i="21"/>
  <c r="CA14" i="21" s="1"/>
  <c r="R106" i="21"/>
  <c r="BY77" i="21"/>
  <c r="CA77" i="21" s="1"/>
  <c r="BY81" i="21"/>
  <c r="CA81" i="21" s="1"/>
  <c r="BY69" i="21"/>
  <c r="CA69" i="21" s="1"/>
  <c r="BX74" i="21"/>
  <c r="BX11" i="21"/>
  <c r="BX75" i="21"/>
  <c r="BX50" i="21"/>
  <c r="BY79" i="21"/>
  <c r="CA79" i="21" s="1"/>
  <c r="BX19" i="21"/>
  <c r="BX83" i="21"/>
  <c r="BX58" i="21"/>
  <c r="BY23" i="21"/>
  <c r="CA23" i="21" s="1"/>
  <c r="BY134" i="21"/>
  <c r="CA134" i="21" s="1"/>
  <c r="BX27" i="21"/>
  <c r="BX99" i="21"/>
  <c r="BY10" i="21"/>
  <c r="CA10" i="21" s="1"/>
  <c r="S36" i="21"/>
  <c r="BY38" i="21"/>
  <c r="CA38" i="21" s="1"/>
  <c r="BX108" i="21"/>
  <c r="BX43" i="21"/>
  <c r="BX18" i="21"/>
  <c r="BX48" i="21"/>
  <c r="BX51" i="21"/>
  <c r="BX26" i="21"/>
  <c r="BX56" i="21"/>
  <c r="BX31" i="21"/>
  <c r="BX59" i="21"/>
  <c r="BX34" i="21"/>
  <c r="BX64" i="21"/>
  <c r="BX42" i="21"/>
  <c r="AP106" i="21"/>
  <c r="AU106" i="21" s="1"/>
  <c r="BX133" i="21"/>
  <c r="S122" i="21"/>
  <c r="S68" i="21"/>
  <c r="BX113" i="21"/>
  <c r="BX16" i="21"/>
  <c r="BX80" i="21"/>
  <c r="BX117" i="21"/>
  <c r="BX121" i="21"/>
  <c r="S62" i="21"/>
  <c r="BX125" i="21"/>
  <c r="BX118" i="21"/>
  <c r="BR104" i="21"/>
  <c r="BV104" i="21" s="1"/>
  <c r="BY114" i="21"/>
  <c r="CA114" i="21" s="1"/>
  <c r="BY30" i="21"/>
  <c r="CA30" i="21" s="1"/>
  <c r="Q104" i="21"/>
  <c r="S114" i="21"/>
  <c r="S37" i="21"/>
  <c r="S96" i="21"/>
  <c r="S32" i="21"/>
  <c r="S123" i="21"/>
  <c r="S22" i="21"/>
  <c r="S52" i="21"/>
  <c r="S83" i="21"/>
  <c r="AN106" i="21"/>
  <c r="S66" i="21"/>
  <c r="S30" i="21"/>
  <c r="S50" i="21"/>
  <c r="S39" i="21"/>
  <c r="BS104" i="21"/>
  <c r="BW104" i="21" s="1"/>
  <c r="R104" i="21"/>
  <c r="S118" i="21"/>
  <c r="S128" i="21"/>
  <c r="S80" i="21"/>
  <c r="S95" i="21"/>
  <c r="S132" i="21"/>
  <c r="S91" i="21"/>
  <c r="AO106" i="21"/>
  <c r="AT106" i="21" s="1"/>
  <c r="BY95" i="21"/>
  <c r="CA95" i="21" s="1"/>
  <c r="BY45" i="21"/>
  <c r="CA45" i="21" s="1"/>
  <c r="BY49" i="21"/>
  <c r="CA49" i="21" s="1"/>
  <c r="BY57" i="21"/>
  <c r="CA57" i="21" s="1"/>
  <c r="S10" i="21"/>
  <c r="BY36" i="21"/>
  <c r="CA36" i="21" s="1"/>
  <c r="BY46" i="21"/>
  <c r="CA46" i="21" s="1"/>
  <c r="Q9" i="21"/>
  <c r="CP9" i="21"/>
  <c r="AT74" i="21"/>
  <c r="Y74" i="21"/>
  <c r="T74" i="21"/>
  <c r="AT14" i="21"/>
  <c r="Y14" i="21"/>
  <c r="T14" i="21"/>
  <c r="AT86" i="21"/>
  <c r="Y86" i="21"/>
  <c r="T86" i="21"/>
  <c r="AT96" i="21"/>
  <c r="Y96" i="21"/>
  <c r="T96" i="21"/>
  <c r="AT79" i="21"/>
  <c r="Y79" i="21"/>
  <c r="T79" i="21"/>
  <c r="AT29" i="21"/>
  <c r="Y29" i="21"/>
  <c r="T29" i="21"/>
  <c r="BY112" i="21"/>
  <c r="CA112" i="21" s="1"/>
  <c r="BY43" i="21"/>
  <c r="CA43" i="21" s="1"/>
  <c r="BY18" i="21"/>
  <c r="CA18" i="21" s="1"/>
  <c r="BY51" i="21"/>
  <c r="CA51" i="21" s="1"/>
  <c r="BY26" i="21"/>
  <c r="CA26" i="21" s="1"/>
  <c r="BX94" i="21"/>
  <c r="BY56" i="21"/>
  <c r="CA56" i="21" s="1"/>
  <c r="AU112" i="21"/>
  <c r="U112" i="21"/>
  <c r="S48" i="21"/>
  <c r="S97" i="21"/>
  <c r="S17" i="21"/>
  <c r="S81" i="21"/>
  <c r="S127" i="21"/>
  <c r="AU111" i="21"/>
  <c r="U111" i="21"/>
  <c r="S43" i="21"/>
  <c r="S47" i="21"/>
  <c r="BY31" i="21"/>
  <c r="CA31" i="21" s="1"/>
  <c r="S82" i="21"/>
  <c r="S94" i="21"/>
  <c r="S33" i="21"/>
  <c r="BY59" i="21"/>
  <c r="CA59" i="21" s="1"/>
  <c r="BY34" i="21"/>
  <c r="CA34" i="21" s="1"/>
  <c r="BY64" i="21"/>
  <c r="CA64" i="21" s="1"/>
  <c r="BY42" i="21"/>
  <c r="CA42" i="21" s="1"/>
  <c r="S105" i="21"/>
  <c r="S25" i="21"/>
  <c r="S85" i="21"/>
  <c r="S21" i="21"/>
  <c r="AU110" i="21"/>
  <c r="U110" i="21"/>
  <c r="AU108" i="21"/>
  <c r="U108" i="21"/>
  <c r="S65" i="21"/>
  <c r="AU107" i="21"/>
  <c r="U107" i="21"/>
  <c r="S13" i="21"/>
  <c r="BX95" i="21"/>
  <c r="BY133" i="21"/>
  <c r="CA133" i="21" s="1"/>
  <c r="BY73" i="21"/>
  <c r="CA73" i="21" s="1"/>
  <c r="AT122" i="21"/>
  <c r="Y122" i="21"/>
  <c r="T122" i="21"/>
  <c r="AU73" i="21"/>
  <c r="U73" i="21"/>
  <c r="AT134" i="21"/>
  <c r="Y134" i="21"/>
  <c r="T134" i="21"/>
  <c r="AT116" i="21"/>
  <c r="T116" i="21"/>
  <c r="Y116" i="21"/>
  <c r="AT68" i="21"/>
  <c r="Y68" i="21"/>
  <c r="T68" i="21"/>
  <c r="AT115" i="21"/>
  <c r="Y115" i="21"/>
  <c r="T115" i="21"/>
  <c r="AU51" i="21"/>
  <c r="U51" i="21"/>
  <c r="AU45" i="21"/>
  <c r="U45" i="21"/>
  <c r="BX49" i="21"/>
  <c r="BY113" i="21"/>
  <c r="CA113" i="21" s="1"/>
  <c r="BY16" i="21"/>
  <c r="CA16" i="21" s="1"/>
  <c r="BY80" i="21"/>
  <c r="CA80" i="21" s="1"/>
  <c r="BY117" i="21"/>
  <c r="CA117" i="21" s="1"/>
  <c r="BY121" i="21"/>
  <c r="CA121" i="21" s="1"/>
  <c r="BY87" i="21"/>
  <c r="CA87" i="21" s="1"/>
  <c r="BX88" i="21"/>
  <c r="AU89" i="21"/>
  <c r="U89" i="21"/>
  <c r="AT130" i="21"/>
  <c r="Y130" i="21"/>
  <c r="T130" i="21"/>
  <c r="AT120" i="21"/>
  <c r="Y120" i="21"/>
  <c r="T120" i="21"/>
  <c r="AT40" i="21"/>
  <c r="Y40" i="21"/>
  <c r="T40" i="21"/>
  <c r="AT24" i="21"/>
  <c r="C81" i="36" s="1"/>
  <c r="Y24" i="21"/>
  <c r="T24" i="21"/>
  <c r="AT129" i="21"/>
  <c r="Y129" i="21"/>
  <c r="T129" i="21"/>
  <c r="AT117" i="21"/>
  <c r="Y117" i="21"/>
  <c r="T117" i="21"/>
  <c r="AT135" i="21"/>
  <c r="Y135" i="21"/>
  <c r="T135" i="21"/>
  <c r="AT119" i="21"/>
  <c r="Y119" i="21"/>
  <c r="T119" i="21"/>
  <c r="AU103" i="21"/>
  <c r="U103" i="21"/>
  <c r="AU87" i="21"/>
  <c r="U87" i="21"/>
  <c r="AU71" i="21"/>
  <c r="U71" i="21"/>
  <c r="AU55" i="21"/>
  <c r="U55" i="21"/>
  <c r="AU35" i="21"/>
  <c r="U35" i="21"/>
  <c r="AT11" i="21"/>
  <c r="Y11" i="21"/>
  <c r="T11" i="21"/>
  <c r="AU10" i="21"/>
  <c r="U10" i="21"/>
  <c r="BY125" i="21"/>
  <c r="CA125" i="21" s="1"/>
  <c r="BY118" i="21"/>
  <c r="CA118" i="21" s="1"/>
  <c r="AU38" i="21"/>
  <c r="U38" i="21"/>
  <c r="AT53" i="21"/>
  <c r="AT57" i="21"/>
  <c r="Y57" i="21"/>
  <c r="T57" i="21"/>
  <c r="AU84" i="21"/>
  <c r="U84" i="21"/>
  <c r="AU36" i="21"/>
  <c r="U36" i="21"/>
  <c r="AU20" i="21"/>
  <c r="U20" i="21"/>
  <c r="AU98" i="21"/>
  <c r="U98" i="21"/>
  <c r="AT31" i="21"/>
  <c r="Y31" i="21"/>
  <c r="T31" i="21"/>
  <c r="AU18" i="21"/>
  <c r="U18" i="21"/>
  <c r="BX30" i="21"/>
  <c r="BX46" i="21"/>
  <c r="S23" i="21"/>
  <c r="BX102" i="21"/>
  <c r="BX28" i="21"/>
  <c r="AT15" i="21"/>
  <c r="Y15" i="21"/>
  <c r="T15" i="21"/>
  <c r="CY88" i="21"/>
  <c r="DA88" i="21" s="1"/>
  <c r="CX88" i="21"/>
  <c r="CX107" i="21"/>
  <c r="CY107" i="21"/>
  <c r="DA107" i="21" s="1"/>
  <c r="CX75" i="21"/>
  <c r="CY75" i="21"/>
  <c r="DA75" i="21" s="1"/>
  <c r="CX59" i="21"/>
  <c r="CY59" i="21"/>
  <c r="DA59" i="21" s="1"/>
  <c r="CX27" i="21"/>
  <c r="CY27" i="21"/>
  <c r="DA27" i="21" s="1"/>
  <c r="CY76" i="21"/>
  <c r="DA76" i="21" s="1"/>
  <c r="CX76" i="21"/>
  <c r="CY44" i="21"/>
  <c r="DA44" i="21" s="1"/>
  <c r="CX44" i="21"/>
  <c r="CY12" i="21"/>
  <c r="DA12" i="21" s="1"/>
  <c r="CX12" i="21"/>
  <c r="CQ104" i="21"/>
  <c r="CR104" i="21"/>
  <c r="CV104" i="21" s="1"/>
  <c r="CS104" i="21"/>
  <c r="CW104" i="21" s="1"/>
  <c r="BY60" i="21"/>
  <c r="CA60" i="21" s="1"/>
  <c r="CX129" i="21"/>
  <c r="CY129" i="21"/>
  <c r="DA129" i="21" s="1"/>
  <c r="CY89" i="21"/>
  <c r="DA89" i="21" s="1"/>
  <c r="CX89" i="21"/>
  <c r="BY62" i="21"/>
  <c r="CA62" i="21" s="1"/>
  <c r="CY127" i="21"/>
  <c r="DA127" i="21" s="1"/>
  <c r="CX127" i="21"/>
  <c r="CX95" i="21"/>
  <c r="CY95" i="21"/>
  <c r="DA95" i="21" s="1"/>
  <c r="CX47" i="21"/>
  <c r="CY47" i="21"/>
  <c r="DA47" i="21" s="1"/>
  <c r="CX15" i="21"/>
  <c r="CY15" i="21"/>
  <c r="DA15" i="21" s="1"/>
  <c r="CY82" i="21"/>
  <c r="DA82" i="21" s="1"/>
  <c r="CX82" i="21"/>
  <c r="CY58" i="21"/>
  <c r="DA58" i="21" s="1"/>
  <c r="CX58" i="21"/>
  <c r="CY50" i="21"/>
  <c r="DA50" i="21" s="1"/>
  <c r="CX50" i="21"/>
  <c r="CY26" i="21"/>
  <c r="DA26" i="21" s="1"/>
  <c r="CX26" i="21"/>
  <c r="CY18" i="21"/>
  <c r="DA18" i="21" s="1"/>
  <c r="CX18" i="21"/>
  <c r="CX132" i="21"/>
  <c r="CY132" i="21"/>
  <c r="DA132" i="21" s="1"/>
  <c r="CY64" i="21"/>
  <c r="DA64" i="21" s="1"/>
  <c r="CX64" i="21"/>
  <c r="CY32" i="21"/>
  <c r="DA32" i="21" s="1"/>
  <c r="CX32" i="21"/>
  <c r="AT61" i="21"/>
  <c r="Y61" i="21"/>
  <c r="T61" i="21"/>
  <c r="BX122" i="21"/>
  <c r="CY101" i="21"/>
  <c r="DA101" i="21" s="1"/>
  <c r="CX101" i="21"/>
  <c r="CY69" i="21"/>
  <c r="DA69" i="21" s="1"/>
  <c r="CX69" i="21"/>
  <c r="CY37" i="21"/>
  <c r="DA37" i="21" s="1"/>
  <c r="CX37" i="21"/>
  <c r="BX20" i="21"/>
  <c r="AT34" i="21"/>
  <c r="Y34" i="21"/>
  <c r="T34" i="21"/>
  <c r="AT37" i="21"/>
  <c r="Y37" i="21"/>
  <c r="T37" i="21"/>
  <c r="AT80" i="21"/>
  <c r="Y80" i="21"/>
  <c r="T80" i="21"/>
  <c r="AU81" i="21"/>
  <c r="U81" i="21"/>
  <c r="AT95" i="21"/>
  <c r="Y95" i="21"/>
  <c r="T95" i="21"/>
  <c r="AU59" i="21"/>
  <c r="U59" i="21"/>
  <c r="BX77" i="21"/>
  <c r="BX81" i="21"/>
  <c r="BY82" i="21"/>
  <c r="CA82" i="21" s="1"/>
  <c r="BY48" i="21"/>
  <c r="CA48" i="21" s="1"/>
  <c r="BX13" i="21"/>
  <c r="BX17" i="21"/>
  <c r="BX47" i="21"/>
  <c r="BY111" i="21"/>
  <c r="CA111" i="21" s="1"/>
  <c r="BX21" i="21"/>
  <c r="BY85" i="21"/>
  <c r="CA85" i="21" s="1"/>
  <c r="BX25" i="21"/>
  <c r="BY89" i="21"/>
  <c r="CA89" i="21" s="1"/>
  <c r="BX55" i="21"/>
  <c r="BY119" i="21"/>
  <c r="CA119" i="21" s="1"/>
  <c r="AT114" i="21"/>
  <c r="Y114" i="21"/>
  <c r="T114" i="21"/>
  <c r="AU41" i="21"/>
  <c r="U41" i="21"/>
  <c r="AT133" i="21"/>
  <c r="Y133" i="21"/>
  <c r="T133" i="21"/>
  <c r="AU37" i="21"/>
  <c r="U37" i="21"/>
  <c r="AT118" i="21"/>
  <c r="Y118" i="21"/>
  <c r="T118" i="21"/>
  <c r="AT128" i="21"/>
  <c r="T128" i="21"/>
  <c r="Y128" i="21"/>
  <c r="AT112" i="21"/>
  <c r="Y112" i="21"/>
  <c r="T112" i="21"/>
  <c r="AU96" i="21"/>
  <c r="U96" i="21"/>
  <c r="AU80" i="21"/>
  <c r="U80" i="21"/>
  <c r="AU64" i="21"/>
  <c r="U64" i="21"/>
  <c r="AT48" i="21"/>
  <c r="Y48" i="21"/>
  <c r="T48" i="21"/>
  <c r="AT32" i="21"/>
  <c r="Y32" i="21"/>
  <c r="T32" i="21"/>
  <c r="AT16" i="21"/>
  <c r="Y16" i="21"/>
  <c r="T16" i="21"/>
  <c r="AU97" i="21"/>
  <c r="U97" i="21"/>
  <c r="AU17" i="21"/>
  <c r="U17" i="21"/>
  <c r="AT127" i="21"/>
  <c r="Y127" i="21"/>
  <c r="T127" i="21"/>
  <c r="AU95" i="21"/>
  <c r="U95" i="21"/>
  <c r="AU79" i="21"/>
  <c r="U79" i="21"/>
  <c r="AU63" i="21"/>
  <c r="U63" i="21"/>
  <c r="AU43" i="21"/>
  <c r="U43" i="21"/>
  <c r="AU27" i="21"/>
  <c r="U27" i="21"/>
  <c r="AU29" i="21"/>
  <c r="U29" i="21"/>
  <c r="AT132" i="21"/>
  <c r="Y132" i="21"/>
  <c r="T132" i="21"/>
  <c r="AT124" i="21"/>
  <c r="Y124" i="21"/>
  <c r="T124" i="21"/>
  <c r="AT126" i="21"/>
  <c r="Y126" i="21"/>
  <c r="T126" i="21"/>
  <c r="AT123" i="21"/>
  <c r="Y123" i="21"/>
  <c r="T123" i="21"/>
  <c r="AT91" i="21"/>
  <c r="Y91" i="21"/>
  <c r="T91" i="21"/>
  <c r="AT59" i="21"/>
  <c r="Y59" i="21"/>
  <c r="T59" i="21"/>
  <c r="AU19" i="21"/>
  <c r="U19" i="21"/>
  <c r="AU47" i="21"/>
  <c r="U47" i="21"/>
  <c r="BY65" i="21"/>
  <c r="CA65" i="21" s="1"/>
  <c r="BX69" i="21"/>
  <c r="BY35" i="21"/>
  <c r="CA35" i="21" s="1"/>
  <c r="BY74" i="21"/>
  <c r="CA74" i="21" s="1"/>
  <c r="AT82" i="21"/>
  <c r="Y82" i="21"/>
  <c r="T82" i="21"/>
  <c r="AT121" i="21"/>
  <c r="Y121" i="21"/>
  <c r="T121" i="21"/>
  <c r="AT52" i="21"/>
  <c r="Y52" i="21"/>
  <c r="T52" i="21"/>
  <c r="AT131" i="21"/>
  <c r="Y131" i="21"/>
  <c r="T131" i="21"/>
  <c r="AU83" i="21"/>
  <c r="U83" i="21"/>
  <c r="AT125" i="21"/>
  <c r="Y125" i="21"/>
  <c r="T125" i="21"/>
  <c r="BX29" i="21"/>
  <c r="BY93" i="21"/>
  <c r="CA93" i="21" s="1"/>
  <c r="BY97" i="21"/>
  <c r="CA97" i="21" s="1"/>
  <c r="BX63" i="21"/>
  <c r="BY127" i="21"/>
  <c r="CA127" i="21" s="1"/>
  <c r="BX37" i="21"/>
  <c r="BY101" i="21"/>
  <c r="CA101" i="21" s="1"/>
  <c r="BY67" i="21"/>
  <c r="CA67" i="21" s="1"/>
  <c r="BX41" i="21"/>
  <c r="BY105" i="21"/>
  <c r="CA105" i="21" s="1"/>
  <c r="BY135" i="21"/>
  <c r="CA135" i="21" s="1"/>
  <c r="BY72" i="21"/>
  <c r="CA72" i="21" s="1"/>
  <c r="AT66" i="21"/>
  <c r="Y66" i="21"/>
  <c r="T66" i="21"/>
  <c r="AU105" i="21"/>
  <c r="U105" i="21"/>
  <c r="AU25" i="21"/>
  <c r="U25" i="21"/>
  <c r="AU21" i="21"/>
  <c r="U21" i="21"/>
  <c r="AT110" i="21"/>
  <c r="Y110" i="21"/>
  <c r="T110" i="21"/>
  <c r="AT108" i="21"/>
  <c r="Y108" i="21"/>
  <c r="T108" i="21"/>
  <c r="Y50" i="21"/>
  <c r="T50" i="21"/>
  <c r="AT75" i="21"/>
  <c r="Y75" i="21"/>
  <c r="T75" i="21"/>
  <c r="AU39" i="21"/>
  <c r="U39" i="21"/>
  <c r="AU13" i="21"/>
  <c r="U13" i="21"/>
  <c r="BX129" i="21"/>
  <c r="BX103" i="21"/>
  <c r="AT58" i="21"/>
  <c r="Y58" i="21"/>
  <c r="T58" i="21"/>
  <c r="AT51" i="21"/>
  <c r="Y51" i="21"/>
  <c r="T51" i="21"/>
  <c r="AT45" i="21"/>
  <c r="Y45" i="21"/>
  <c r="T45" i="21"/>
  <c r="BX15" i="21"/>
  <c r="BX79" i="21"/>
  <c r="BY90" i="21"/>
  <c r="CA90" i="21" s="1"/>
  <c r="BX23" i="21"/>
  <c r="BX134" i="21"/>
  <c r="AT90" i="21"/>
  <c r="Y90" i="21"/>
  <c r="T90" i="21"/>
  <c r="AT62" i="21"/>
  <c r="Y62" i="21"/>
  <c r="T62" i="21"/>
  <c r="AT42" i="21"/>
  <c r="Y42" i="21"/>
  <c r="T42" i="21"/>
  <c r="AT26" i="21"/>
  <c r="Y26" i="21"/>
  <c r="T26" i="21"/>
  <c r="AU69" i="21"/>
  <c r="U69" i="21"/>
  <c r="AU101" i="21"/>
  <c r="U101" i="21"/>
  <c r="AT102" i="21"/>
  <c r="Y102" i="21"/>
  <c r="T102" i="21"/>
  <c r="AT70" i="21"/>
  <c r="Y70" i="21"/>
  <c r="T70" i="21"/>
  <c r="AU88" i="21"/>
  <c r="U88" i="21"/>
  <c r="AU72" i="21"/>
  <c r="U72" i="21"/>
  <c r="AU56" i="21"/>
  <c r="U56" i="21"/>
  <c r="AU49" i="21"/>
  <c r="U49" i="21"/>
  <c r="AT103" i="21"/>
  <c r="Y103" i="21"/>
  <c r="T103" i="21"/>
  <c r="AT87" i="21"/>
  <c r="Y87" i="21"/>
  <c r="T87" i="21"/>
  <c r="AT71" i="21"/>
  <c r="Y71" i="21"/>
  <c r="T71" i="21"/>
  <c r="AT55" i="21"/>
  <c r="T55" i="21"/>
  <c r="Y55" i="21"/>
  <c r="AU11" i="21"/>
  <c r="U11" i="21"/>
  <c r="AU77" i="21"/>
  <c r="U77" i="21"/>
  <c r="BY61" i="21"/>
  <c r="CA61" i="21" s="1"/>
  <c r="BX66" i="21"/>
  <c r="BY32" i="21"/>
  <c r="CA32" i="21" s="1"/>
  <c r="BX10" i="21"/>
  <c r="BY39" i="21"/>
  <c r="CA39" i="21" s="1"/>
  <c r="S57" i="21"/>
  <c r="S84" i="21"/>
  <c r="S20" i="21"/>
  <c r="S98" i="21"/>
  <c r="S99" i="21"/>
  <c r="S67" i="21"/>
  <c r="S31" i="21"/>
  <c r="S18" i="21"/>
  <c r="BY54" i="21"/>
  <c r="CA54" i="21" s="1"/>
  <c r="BX12" i="21"/>
  <c r="BY108" i="21"/>
  <c r="CA108" i="21" s="1"/>
  <c r="BX38" i="21"/>
  <c r="BX14" i="21"/>
  <c r="BX126" i="21"/>
  <c r="BY76" i="21"/>
  <c r="CA76" i="21" s="1"/>
  <c r="BY70" i="21"/>
  <c r="CA70" i="21" s="1"/>
  <c r="CY108" i="21"/>
  <c r="DA108" i="21" s="1"/>
  <c r="CX108" i="21"/>
  <c r="CX115" i="21"/>
  <c r="CY115" i="21"/>
  <c r="DA115" i="21" s="1"/>
  <c r="CX35" i="21"/>
  <c r="CY35" i="21"/>
  <c r="DA35" i="21" s="1"/>
  <c r="CY114" i="21"/>
  <c r="DA114" i="21" s="1"/>
  <c r="CX114" i="21"/>
  <c r="CY86" i="21"/>
  <c r="DA86" i="21" s="1"/>
  <c r="CX86" i="21"/>
  <c r="CY78" i="21"/>
  <c r="DA78" i="21" s="1"/>
  <c r="CX78" i="21"/>
  <c r="CY54" i="21"/>
  <c r="DA54" i="21" s="1"/>
  <c r="CX54" i="21"/>
  <c r="CY30" i="21"/>
  <c r="DA30" i="21" s="1"/>
  <c r="CX30" i="21"/>
  <c r="CY22" i="21"/>
  <c r="DA22" i="21" s="1"/>
  <c r="CX22" i="21"/>
  <c r="CY84" i="21"/>
  <c r="DA84" i="21" s="1"/>
  <c r="CX84" i="21"/>
  <c r="CY52" i="21"/>
  <c r="DA52" i="21" s="1"/>
  <c r="CX52" i="21"/>
  <c r="CY20" i="21"/>
  <c r="DA20" i="21" s="1"/>
  <c r="CX20" i="21"/>
  <c r="BY44" i="21"/>
  <c r="CA44" i="21" s="1"/>
  <c r="BY68" i="21"/>
  <c r="CA68" i="21" s="1"/>
  <c r="CY97" i="21"/>
  <c r="DA97" i="21" s="1"/>
  <c r="CX97" i="21"/>
  <c r="CY65" i="21"/>
  <c r="DA65" i="21" s="1"/>
  <c r="CX65" i="21"/>
  <c r="CY33" i="21"/>
  <c r="DA33" i="21" s="1"/>
  <c r="CX33" i="21"/>
  <c r="CR106" i="21"/>
  <c r="CV106" i="21" s="1"/>
  <c r="CS106" i="21"/>
  <c r="CW106" i="21" s="1"/>
  <c r="CQ106" i="21"/>
  <c r="BY92" i="21"/>
  <c r="CA92" i="21" s="1"/>
  <c r="CY135" i="21"/>
  <c r="DA135" i="21" s="1"/>
  <c r="CX135" i="21"/>
  <c r="CX103" i="21"/>
  <c r="CY103" i="21"/>
  <c r="DA103" i="21" s="1"/>
  <c r="CX71" i="21"/>
  <c r="CY71" i="21"/>
  <c r="DA71" i="21" s="1"/>
  <c r="CX55" i="21"/>
  <c r="CY55" i="21"/>
  <c r="DA55" i="21" s="1"/>
  <c r="CX23" i="21"/>
  <c r="CY23" i="21"/>
  <c r="DA23" i="21" s="1"/>
  <c r="CY112" i="21"/>
  <c r="DA112" i="21" s="1"/>
  <c r="CX112" i="21"/>
  <c r="CX134" i="21"/>
  <c r="CY134" i="21"/>
  <c r="DA134" i="21" s="1"/>
  <c r="CX126" i="21"/>
  <c r="CY126" i="21"/>
  <c r="DA126" i="21" s="1"/>
  <c r="CY90" i="21"/>
  <c r="DA90" i="21" s="1"/>
  <c r="CX90" i="21"/>
  <c r="CY72" i="21"/>
  <c r="DA72" i="21" s="1"/>
  <c r="CX72" i="21"/>
  <c r="CY56" i="21"/>
  <c r="DA56" i="21" s="1"/>
  <c r="CX56" i="21"/>
  <c r="BP9" i="21"/>
  <c r="BQ9" i="21" s="1"/>
  <c r="BX78" i="21"/>
  <c r="BY132" i="21"/>
  <c r="CA132" i="21" s="1"/>
  <c r="CY105" i="21"/>
  <c r="DA105" i="21" s="1"/>
  <c r="CX105" i="21"/>
  <c r="CY77" i="21"/>
  <c r="DA77" i="21" s="1"/>
  <c r="CX77" i="21"/>
  <c r="CY45" i="21"/>
  <c r="DA45" i="21" s="1"/>
  <c r="CX45" i="21"/>
  <c r="CY13" i="21"/>
  <c r="DA13" i="21" s="1"/>
  <c r="CX13" i="21"/>
  <c r="R109" i="21"/>
  <c r="BX98" i="21"/>
  <c r="AT64" i="21"/>
  <c r="Y64" i="21"/>
  <c r="T64" i="21"/>
  <c r="AT17" i="21"/>
  <c r="Y17" i="21"/>
  <c r="T17" i="21"/>
  <c r="AT44" i="21"/>
  <c r="Y44" i="21"/>
  <c r="T44" i="21"/>
  <c r="AT22" i="21"/>
  <c r="Y22" i="21"/>
  <c r="T22" i="21"/>
  <c r="AT100" i="21"/>
  <c r="Y100" i="21"/>
  <c r="T100" i="21"/>
  <c r="AT46" i="21"/>
  <c r="Y46" i="21"/>
  <c r="T46" i="21"/>
  <c r="AT30" i="21"/>
  <c r="Y30" i="21"/>
  <c r="T30" i="21"/>
  <c r="AT25" i="21"/>
  <c r="Y25" i="21"/>
  <c r="T25" i="21"/>
  <c r="AU85" i="21"/>
  <c r="U85" i="21"/>
  <c r="AT21" i="21"/>
  <c r="Y21" i="21"/>
  <c r="T21" i="21"/>
  <c r="AT78" i="21"/>
  <c r="Y78" i="21"/>
  <c r="T78" i="21"/>
  <c r="AU92" i="21"/>
  <c r="U92" i="21"/>
  <c r="AU76" i="21"/>
  <c r="U76" i="21"/>
  <c r="AU60" i="21"/>
  <c r="U60" i="21"/>
  <c r="AT28" i="21"/>
  <c r="Y28" i="21"/>
  <c r="T28" i="21"/>
  <c r="AU65" i="21"/>
  <c r="U65" i="21"/>
  <c r="S107" i="21"/>
  <c r="AU75" i="21"/>
  <c r="U75" i="21"/>
  <c r="AT13" i="21"/>
  <c r="Y13" i="21"/>
  <c r="T13" i="21"/>
  <c r="AU122" i="21"/>
  <c r="U122" i="21"/>
  <c r="AU58" i="21"/>
  <c r="U58" i="21"/>
  <c r="AT73" i="21"/>
  <c r="Y73" i="21"/>
  <c r="T73" i="21"/>
  <c r="AU134" i="21"/>
  <c r="U134" i="21"/>
  <c r="AU116" i="21"/>
  <c r="U116" i="21"/>
  <c r="AU68" i="21"/>
  <c r="U68" i="21"/>
  <c r="AT113" i="21"/>
  <c r="Y113" i="21"/>
  <c r="T113" i="21"/>
  <c r="AU115" i="21"/>
  <c r="U115" i="21"/>
  <c r="AU90" i="21"/>
  <c r="U90" i="21"/>
  <c r="AU62" i="21"/>
  <c r="U62" i="21"/>
  <c r="AU42" i="21"/>
  <c r="U42" i="21"/>
  <c r="AU26" i="21"/>
  <c r="U26" i="21"/>
  <c r="AT89" i="21"/>
  <c r="Y89" i="21"/>
  <c r="T89" i="21"/>
  <c r="AU130" i="21"/>
  <c r="U130" i="21"/>
  <c r="AT69" i="21"/>
  <c r="Y69" i="21"/>
  <c r="T69" i="21"/>
  <c r="AT101" i="21"/>
  <c r="Y101" i="21"/>
  <c r="T101" i="21"/>
  <c r="AU102" i="21"/>
  <c r="U102" i="21"/>
  <c r="AU70" i="21"/>
  <c r="U70" i="21"/>
  <c r="AU120" i="21"/>
  <c r="U120" i="21"/>
  <c r="AT104" i="21"/>
  <c r="AT88" i="21"/>
  <c r="Y88" i="21"/>
  <c r="T88" i="21"/>
  <c r="AT72" i="21"/>
  <c r="Y72" i="21"/>
  <c r="T72" i="21"/>
  <c r="AT56" i="21"/>
  <c r="Y56" i="21"/>
  <c r="T56" i="21"/>
  <c r="AU40" i="21"/>
  <c r="U40" i="21"/>
  <c r="AU24" i="21"/>
  <c r="U24" i="21"/>
  <c r="AU129" i="21"/>
  <c r="U129" i="21"/>
  <c r="AT49" i="21"/>
  <c r="Y49" i="21"/>
  <c r="T49" i="21"/>
  <c r="AU117" i="21"/>
  <c r="U117" i="21"/>
  <c r="AU135" i="21"/>
  <c r="U135" i="21"/>
  <c r="AU119" i="21"/>
  <c r="U119" i="21"/>
  <c r="AT35" i="21"/>
  <c r="Y35" i="21"/>
  <c r="T35" i="21"/>
  <c r="S11" i="21"/>
  <c r="AT77" i="21"/>
  <c r="Y77" i="21"/>
  <c r="T77" i="21"/>
  <c r="AT10" i="21"/>
  <c r="Y10" i="21"/>
  <c r="T10" i="21"/>
  <c r="AU57" i="21"/>
  <c r="U57" i="21"/>
  <c r="AT84" i="21"/>
  <c r="Y84" i="21"/>
  <c r="T84" i="21"/>
  <c r="AT98" i="21"/>
  <c r="Y98" i="21"/>
  <c r="T98" i="21"/>
  <c r="AT99" i="21"/>
  <c r="Y99" i="21"/>
  <c r="T99" i="21"/>
  <c r="AU67" i="21"/>
  <c r="U67" i="21"/>
  <c r="AU31" i="21"/>
  <c r="U31" i="21"/>
  <c r="BX36" i="21"/>
  <c r="BX114" i="21"/>
  <c r="AU15" i="21"/>
  <c r="U15" i="21"/>
  <c r="AU61" i="21"/>
  <c r="U61" i="21"/>
  <c r="CX128" i="21"/>
  <c r="CY128" i="21"/>
  <c r="DA128" i="21" s="1"/>
  <c r="CX123" i="21"/>
  <c r="CY123" i="21"/>
  <c r="DA123" i="21" s="1"/>
  <c r="CX91" i="21"/>
  <c r="CY91" i="21"/>
  <c r="DA91" i="21" s="1"/>
  <c r="CX83" i="21"/>
  <c r="CY83" i="21"/>
  <c r="DA83" i="21" s="1"/>
  <c r="CX43" i="21"/>
  <c r="CY43" i="21"/>
  <c r="DA43" i="21" s="1"/>
  <c r="CX11" i="21"/>
  <c r="CY11" i="21"/>
  <c r="DA11" i="21" s="1"/>
  <c r="CY96" i="21"/>
  <c r="DA96" i="21" s="1"/>
  <c r="CX96" i="21"/>
  <c r="CX122" i="21"/>
  <c r="CY122" i="21"/>
  <c r="DA122" i="21" s="1"/>
  <c r="CY62" i="21"/>
  <c r="DA62" i="21" s="1"/>
  <c r="CX62" i="21"/>
  <c r="CX116" i="21"/>
  <c r="CY116" i="21"/>
  <c r="DA116" i="21" s="1"/>
  <c r="CY60" i="21"/>
  <c r="DA60" i="21" s="1"/>
  <c r="CX60" i="21"/>
  <c r="CY28" i="21"/>
  <c r="DA28" i="21" s="1"/>
  <c r="CX28" i="21"/>
  <c r="BX22" i="21"/>
  <c r="CY113" i="21"/>
  <c r="DA113" i="21" s="1"/>
  <c r="CX113" i="21"/>
  <c r="CY73" i="21"/>
  <c r="DA73" i="21" s="1"/>
  <c r="CX73" i="21"/>
  <c r="CY41" i="21"/>
  <c r="DA41" i="21" s="1"/>
  <c r="CX41" i="21"/>
  <c r="CY125" i="21"/>
  <c r="DA125" i="21" s="1"/>
  <c r="CX125" i="21"/>
  <c r="BY100" i="21"/>
  <c r="CA100" i="21" s="1"/>
  <c r="CY100" i="21"/>
  <c r="DA100" i="21" s="1"/>
  <c r="CX100" i="21"/>
  <c r="CX111" i="21"/>
  <c r="CY111" i="21"/>
  <c r="DA111" i="21" s="1"/>
  <c r="CX79" i="21"/>
  <c r="CY79" i="21"/>
  <c r="DA79" i="21" s="1"/>
  <c r="CX63" i="21"/>
  <c r="CY63" i="21"/>
  <c r="DA63" i="21" s="1"/>
  <c r="CX31" i="21"/>
  <c r="CY31" i="21"/>
  <c r="DA31" i="21" s="1"/>
  <c r="CY98" i="21"/>
  <c r="DA98" i="21" s="1"/>
  <c r="CX98" i="21"/>
  <c r="CY66" i="21"/>
  <c r="DA66" i="21" s="1"/>
  <c r="CX66" i="21"/>
  <c r="CY42" i="21"/>
  <c r="DA42" i="21" s="1"/>
  <c r="CX42" i="21"/>
  <c r="CY34" i="21"/>
  <c r="DA34" i="21" s="1"/>
  <c r="CX34" i="21"/>
  <c r="CY10" i="21"/>
  <c r="DA10" i="21" s="1"/>
  <c r="CX10" i="21"/>
  <c r="CY80" i="21"/>
  <c r="DA80" i="21" s="1"/>
  <c r="CX80" i="21"/>
  <c r="CY48" i="21"/>
  <c r="DA48" i="21" s="1"/>
  <c r="CX48" i="21"/>
  <c r="CY16" i="21"/>
  <c r="DA16" i="21" s="1"/>
  <c r="CX16" i="21"/>
  <c r="BY86" i="21"/>
  <c r="CA86" i="21" s="1"/>
  <c r="CY133" i="21"/>
  <c r="DA133" i="21" s="1"/>
  <c r="CX133" i="21"/>
  <c r="CY85" i="21"/>
  <c r="DA85" i="21" s="1"/>
  <c r="CX85" i="21"/>
  <c r="CY21" i="21"/>
  <c r="DA21" i="21" s="1"/>
  <c r="CX21" i="21"/>
  <c r="AT54" i="21"/>
  <c r="Y54" i="21"/>
  <c r="T54" i="21"/>
  <c r="AT41" i="21"/>
  <c r="Y41" i="21"/>
  <c r="T41" i="21"/>
  <c r="S111" i="21"/>
  <c r="AT63" i="21"/>
  <c r="Y63" i="21"/>
  <c r="T63" i="21"/>
  <c r="AT12" i="21"/>
  <c r="Y12" i="21"/>
  <c r="T12" i="21"/>
  <c r="AU91" i="21"/>
  <c r="U91" i="21"/>
  <c r="AU93" i="21"/>
  <c r="U93" i="21"/>
  <c r="AT94" i="21"/>
  <c r="Y94" i="21"/>
  <c r="T94" i="21"/>
  <c r="AT83" i="21"/>
  <c r="Y83" i="21"/>
  <c r="T83" i="21"/>
  <c r="BY107" i="21"/>
  <c r="CA107" i="21" s="1"/>
  <c r="BY115" i="21"/>
  <c r="CA115" i="21" s="1"/>
  <c r="BY120" i="21"/>
  <c r="CA120" i="21" s="1"/>
  <c r="AU114" i="21"/>
  <c r="U114" i="21"/>
  <c r="AU74" i="21"/>
  <c r="U74" i="21"/>
  <c r="AU54" i="21"/>
  <c r="U54" i="21"/>
  <c r="AU34" i="21"/>
  <c r="U34" i="21"/>
  <c r="AU14" i="21"/>
  <c r="U14" i="21"/>
  <c r="AU133" i="21"/>
  <c r="U133" i="21"/>
  <c r="AU118" i="21"/>
  <c r="U118" i="21"/>
  <c r="AU86" i="21"/>
  <c r="U86" i="21"/>
  <c r="AU128" i="21"/>
  <c r="U128" i="21"/>
  <c r="AU48" i="21"/>
  <c r="U48" i="21"/>
  <c r="AU32" i="21"/>
  <c r="U32" i="21"/>
  <c r="AU16" i="21"/>
  <c r="U16" i="21"/>
  <c r="AT97" i="21"/>
  <c r="Y97" i="21"/>
  <c r="T97" i="21"/>
  <c r="AT81" i="21"/>
  <c r="Y81" i="21"/>
  <c r="T81" i="21"/>
  <c r="AU127" i="21"/>
  <c r="U127" i="21"/>
  <c r="AT111" i="21"/>
  <c r="Y111" i="21"/>
  <c r="T111" i="21"/>
  <c r="AT43" i="21"/>
  <c r="Y43" i="21"/>
  <c r="T43" i="21"/>
  <c r="AT27" i="21"/>
  <c r="Y27" i="21"/>
  <c r="T27" i="21"/>
  <c r="AT109" i="21"/>
  <c r="AU132" i="21"/>
  <c r="U132" i="21"/>
  <c r="AU124" i="21"/>
  <c r="U124" i="21"/>
  <c r="AU44" i="21"/>
  <c r="U44" i="21"/>
  <c r="AU12" i="21"/>
  <c r="U12" i="21"/>
  <c r="AU126" i="21"/>
  <c r="U126" i="21"/>
  <c r="AU123" i="21"/>
  <c r="U123" i="21"/>
  <c r="AT19" i="21"/>
  <c r="Y19" i="21"/>
  <c r="T19" i="21"/>
  <c r="AT93" i="21"/>
  <c r="Y93" i="21"/>
  <c r="T93" i="21"/>
  <c r="AT47" i="21"/>
  <c r="Y47" i="21"/>
  <c r="T47" i="21"/>
  <c r="BX91" i="21"/>
  <c r="BY96" i="21"/>
  <c r="CA96" i="21" s="1"/>
  <c r="BY40" i="21"/>
  <c r="CA40" i="21" s="1"/>
  <c r="AU82" i="21"/>
  <c r="U82" i="21"/>
  <c r="AU22" i="21"/>
  <c r="U22" i="21"/>
  <c r="AU121" i="21"/>
  <c r="U121" i="21"/>
  <c r="AU94" i="21"/>
  <c r="U94" i="21"/>
  <c r="AU100" i="21"/>
  <c r="U100" i="21"/>
  <c r="AU52" i="21"/>
  <c r="U52" i="21"/>
  <c r="AU131" i="21"/>
  <c r="U131" i="21"/>
  <c r="AU125" i="21"/>
  <c r="U125" i="21"/>
  <c r="BY123" i="21"/>
  <c r="CA123" i="21" s="1"/>
  <c r="BY110" i="21"/>
  <c r="CA110" i="21" s="1"/>
  <c r="BY128" i="21"/>
  <c r="CA128" i="21" s="1"/>
  <c r="BY131" i="21"/>
  <c r="CA131" i="21" s="1"/>
  <c r="BY130" i="21"/>
  <c r="CA130" i="21" s="1"/>
  <c r="BY71" i="21"/>
  <c r="CA71" i="21" s="1"/>
  <c r="AU66" i="21"/>
  <c r="U66" i="21"/>
  <c r="AU46" i="21"/>
  <c r="U46" i="21"/>
  <c r="AU30" i="21"/>
  <c r="U30" i="21"/>
  <c r="AT105" i="21"/>
  <c r="Y105" i="21"/>
  <c r="T105" i="21"/>
  <c r="AT85" i="21"/>
  <c r="Y85" i="21"/>
  <c r="T85" i="21"/>
  <c r="S110" i="21"/>
  <c r="AU78" i="21"/>
  <c r="U78" i="21"/>
  <c r="AT92" i="21"/>
  <c r="AY92" i="21" s="1"/>
  <c r="Y92" i="21"/>
  <c r="T92" i="21"/>
  <c r="AT76" i="21"/>
  <c r="Y76" i="21"/>
  <c r="T76" i="21"/>
  <c r="AT60" i="21"/>
  <c r="Y60" i="21"/>
  <c r="T60" i="21"/>
  <c r="AU28" i="21"/>
  <c r="U28" i="21"/>
  <c r="AT65" i="21"/>
  <c r="Y65" i="21"/>
  <c r="T65" i="21"/>
  <c r="AU50" i="21"/>
  <c r="U50" i="21"/>
  <c r="AT107" i="21"/>
  <c r="Y107" i="21"/>
  <c r="T107" i="21"/>
  <c r="AT39" i="21"/>
  <c r="Y39" i="21"/>
  <c r="T39" i="21"/>
  <c r="S73" i="21"/>
  <c r="AU113" i="21"/>
  <c r="U113" i="21"/>
  <c r="S115" i="21"/>
  <c r="S51" i="21"/>
  <c r="S45" i="21"/>
  <c r="BY11" i="21"/>
  <c r="CA11" i="21" s="1"/>
  <c r="BY75" i="21"/>
  <c r="CA75" i="21" s="1"/>
  <c r="BY50" i="21"/>
  <c r="CA50" i="21" s="1"/>
  <c r="BY19" i="21"/>
  <c r="CA19" i="21" s="1"/>
  <c r="BY83" i="21"/>
  <c r="CA83" i="21" s="1"/>
  <c r="BY58" i="21"/>
  <c r="CA58" i="21" s="1"/>
  <c r="S90" i="21"/>
  <c r="S42" i="21"/>
  <c r="S26" i="21"/>
  <c r="S89" i="21"/>
  <c r="S130" i="21"/>
  <c r="S69" i="21"/>
  <c r="S101" i="21"/>
  <c r="S120" i="21"/>
  <c r="S88" i="21"/>
  <c r="S72" i="21"/>
  <c r="S56" i="21"/>
  <c r="S40" i="21"/>
  <c r="S24" i="21"/>
  <c r="S129" i="21"/>
  <c r="S49" i="21"/>
  <c r="S117" i="21"/>
  <c r="S135" i="21"/>
  <c r="S119" i="21"/>
  <c r="S103" i="21"/>
  <c r="S87" i="21"/>
  <c r="S71" i="21"/>
  <c r="S55" i="21"/>
  <c r="S35" i="21"/>
  <c r="S77" i="21"/>
  <c r="BY27" i="21"/>
  <c r="CA27" i="21" s="1"/>
  <c r="BY99" i="21"/>
  <c r="CA99" i="21" s="1"/>
  <c r="AT38" i="21"/>
  <c r="Y38" i="21"/>
  <c r="T38" i="21"/>
  <c r="AU53" i="21"/>
  <c r="U53" i="21"/>
  <c r="AT36" i="21"/>
  <c r="Y36" i="21"/>
  <c r="T36" i="21"/>
  <c r="AT20" i="21"/>
  <c r="Y20" i="21"/>
  <c r="T20" i="21"/>
  <c r="AU99" i="21"/>
  <c r="U99" i="21"/>
  <c r="AT67" i="21"/>
  <c r="Y67" i="21"/>
  <c r="T67" i="21"/>
  <c r="AT18" i="21"/>
  <c r="Y18" i="21"/>
  <c r="T18" i="21"/>
  <c r="BX116" i="21"/>
  <c r="AU23" i="21"/>
  <c r="U23" i="21"/>
  <c r="CX131" i="21"/>
  <c r="CY131" i="21"/>
  <c r="DA131" i="21" s="1"/>
  <c r="CX99" i="21"/>
  <c r="CY99" i="21"/>
  <c r="DA99" i="21" s="1"/>
  <c r="CX67" i="21"/>
  <c r="CY67" i="21"/>
  <c r="DA67" i="21" s="1"/>
  <c r="CX51" i="21"/>
  <c r="CY51" i="21"/>
  <c r="DA51" i="21" s="1"/>
  <c r="CX19" i="21"/>
  <c r="CY19" i="21"/>
  <c r="DA19" i="21" s="1"/>
  <c r="CX124" i="21"/>
  <c r="CY124" i="21"/>
  <c r="DA124" i="21" s="1"/>
  <c r="CX130" i="21"/>
  <c r="CY130" i="21"/>
  <c r="DA130" i="21" s="1"/>
  <c r="CY102" i="21"/>
  <c r="DA102" i="21" s="1"/>
  <c r="CX102" i="21"/>
  <c r="CY94" i="21"/>
  <c r="DA94" i="21" s="1"/>
  <c r="CX94" i="21"/>
  <c r="CY70" i="21"/>
  <c r="DA70" i="21" s="1"/>
  <c r="CX70" i="21"/>
  <c r="CY46" i="21"/>
  <c r="DA46" i="21" s="1"/>
  <c r="CX46" i="21"/>
  <c r="CY38" i="21"/>
  <c r="DA38" i="21" s="1"/>
  <c r="CX38" i="21"/>
  <c r="CY14" i="21"/>
  <c r="DA14" i="21" s="1"/>
  <c r="CX14" i="21"/>
  <c r="CY68" i="21"/>
  <c r="DA68" i="21" s="1"/>
  <c r="CX68" i="21"/>
  <c r="CY36" i="21"/>
  <c r="DA36" i="21" s="1"/>
  <c r="CX36" i="21"/>
  <c r="S15" i="21"/>
  <c r="BX52" i="21"/>
  <c r="CY117" i="21"/>
  <c r="DA117" i="21" s="1"/>
  <c r="CX117" i="21"/>
  <c r="CY81" i="21"/>
  <c r="DA81" i="21" s="1"/>
  <c r="CX81" i="21"/>
  <c r="CY57" i="21"/>
  <c r="DA57" i="21" s="1"/>
  <c r="CX57" i="21"/>
  <c r="CY49" i="21"/>
  <c r="DA49" i="21" s="1"/>
  <c r="CX49" i="21"/>
  <c r="CY25" i="21"/>
  <c r="DA25" i="21" s="1"/>
  <c r="CX25" i="21"/>
  <c r="CY17" i="21"/>
  <c r="DA17" i="21" s="1"/>
  <c r="CX17" i="21"/>
  <c r="BY84" i="21"/>
  <c r="CA84" i="21" s="1"/>
  <c r="CX120" i="21"/>
  <c r="CY120" i="21"/>
  <c r="DA120" i="21" s="1"/>
  <c r="CY119" i="21"/>
  <c r="DA119" i="21" s="1"/>
  <c r="CX119" i="21"/>
  <c r="CX87" i="21"/>
  <c r="CY87" i="21"/>
  <c r="DA87" i="21" s="1"/>
  <c r="CX39" i="21"/>
  <c r="CY39" i="21"/>
  <c r="DA39" i="21" s="1"/>
  <c r="CX118" i="21"/>
  <c r="CY118" i="21"/>
  <c r="DA118" i="21" s="1"/>
  <c r="CY110" i="21"/>
  <c r="DA110" i="21" s="1"/>
  <c r="CX110" i="21"/>
  <c r="CY74" i="21"/>
  <c r="DA74" i="21" s="1"/>
  <c r="CX74" i="21"/>
  <c r="CY92" i="21"/>
  <c r="DA92" i="21" s="1"/>
  <c r="CX92" i="21"/>
  <c r="CY40" i="21"/>
  <c r="DA40" i="21" s="1"/>
  <c r="CX40" i="21"/>
  <c r="BY124" i="21"/>
  <c r="CA124" i="21" s="1"/>
  <c r="CY121" i="21"/>
  <c r="DA121" i="21" s="1"/>
  <c r="CX121" i="21"/>
  <c r="CY93" i="21"/>
  <c r="DA93" i="21" s="1"/>
  <c r="CX93" i="21"/>
  <c r="CY61" i="21"/>
  <c r="DA61" i="21" s="1"/>
  <c r="CX61" i="21"/>
  <c r="CY29" i="21"/>
  <c r="DA29" i="21" s="1"/>
  <c r="CX29" i="21"/>
  <c r="CS109" i="21"/>
  <c r="CW109" i="21" s="1"/>
  <c r="CR109" i="21"/>
  <c r="CV109" i="21" s="1"/>
  <c r="CQ109" i="21"/>
  <c r="AT23" i="21"/>
  <c r="Y23" i="21"/>
  <c r="T23" i="21"/>
  <c r="AA61" i="21"/>
  <c r="AV61" i="21"/>
  <c r="AB23" i="21"/>
  <c r="AC114" i="21"/>
  <c r="AB114" i="21"/>
  <c r="AC128" i="21"/>
  <c r="AB128" i="21"/>
  <c r="AC48" i="21"/>
  <c r="AB48" i="21"/>
  <c r="AC132" i="21"/>
  <c r="AB132" i="21"/>
  <c r="AB123" i="21"/>
  <c r="AC123" i="21"/>
  <c r="AC82" i="21"/>
  <c r="AC52" i="21"/>
  <c r="AB52" i="21"/>
  <c r="AC110" i="21"/>
  <c r="AB110" i="21"/>
  <c r="AC50" i="21"/>
  <c r="AB50" i="21"/>
  <c r="AB51" i="21"/>
  <c r="AC51" i="21"/>
  <c r="AC62" i="21"/>
  <c r="AB62" i="21"/>
  <c r="AB55" i="21"/>
  <c r="AC55" i="21"/>
  <c r="AC74" i="21"/>
  <c r="AB74" i="21"/>
  <c r="AC34" i="21"/>
  <c r="AB34" i="21"/>
  <c r="AC14" i="21"/>
  <c r="AB14" i="21"/>
  <c r="AB41" i="21"/>
  <c r="AC41" i="21"/>
  <c r="AB37" i="21"/>
  <c r="AC37" i="21"/>
  <c r="AC86" i="21"/>
  <c r="AB86" i="21"/>
  <c r="AC96" i="21"/>
  <c r="AB96" i="21"/>
  <c r="AC80" i="21"/>
  <c r="AB80" i="21"/>
  <c r="AC64" i="21"/>
  <c r="AB64" i="21"/>
  <c r="AB17" i="21"/>
  <c r="AC17" i="21"/>
  <c r="AB95" i="21"/>
  <c r="AC95" i="21"/>
  <c r="AB79" i="21"/>
  <c r="AC79" i="21"/>
  <c r="AB63" i="21"/>
  <c r="AC63" i="21"/>
  <c r="AB29" i="21"/>
  <c r="AC29" i="21"/>
  <c r="AC44" i="21"/>
  <c r="AB44" i="21"/>
  <c r="AC12" i="21"/>
  <c r="AB12" i="21"/>
  <c r="AC22" i="21"/>
  <c r="AB22" i="21"/>
  <c r="AC94" i="21"/>
  <c r="AB94" i="21"/>
  <c r="AC100" i="21"/>
  <c r="AB100" i="21"/>
  <c r="AB83" i="21"/>
  <c r="AC83" i="21"/>
  <c r="AC46" i="21"/>
  <c r="AB46" i="21"/>
  <c r="AC30" i="21"/>
  <c r="AB30" i="21"/>
  <c r="AB25" i="21"/>
  <c r="AC25" i="21"/>
  <c r="AB21" i="21"/>
  <c r="AC21" i="21"/>
  <c r="AC78" i="21"/>
  <c r="AB78" i="21"/>
  <c r="AC28" i="21"/>
  <c r="AB28" i="21"/>
  <c r="AB13" i="21"/>
  <c r="AC13" i="21"/>
  <c r="AB73" i="21"/>
  <c r="AC73" i="21"/>
  <c r="AB113" i="21"/>
  <c r="AC113" i="21"/>
  <c r="AB89" i="21"/>
  <c r="AC89" i="21"/>
  <c r="AB69" i="21"/>
  <c r="AC69" i="21"/>
  <c r="AB101" i="21"/>
  <c r="AC101" i="21"/>
  <c r="AC88" i="21"/>
  <c r="AB88" i="21"/>
  <c r="AC72" i="21"/>
  <c r="AB72" i="21"/>
  <c r="AC56" i="21"/>
  <c r="AB56" i="21"/>
  <c r="AB49" i="21"/>
  <c r="AC49" i="21"/>
  <c r="AB35" i="21"/>
  <c r="AC35" i="21"/>
  <c r="AB77" i="21"/>
  <c r="AC77" i="21"/>
  <c r="AC10" i="21"/>
  <c r="AB10" i="21"/>
  <c r="AC84" i="21"/>
  <c r="AB84" i="21"/>
  <c r="AC98" i="21"/>
  <c r="AB98" i="21"/>
  <c r="AB99" i="21"/>
  <c r="AC99" i="21"/>
  <c r="AB61" i="21"/>
  <c r="AC118" i="21"/>
  <c r="AB118" i="21"/>
  <c r="AC112" i="21"/>
  <c r="AB112" i="21"/>
  <c r="AC32" i="21"/>
  <c r="AB32" i="21"/>
  <c r="AC124" i="21"/>
  <c r="AB124" i="21"/>
  <c r="AB91" i="21"/>
  <c r="AC91" i="21"/>
  <c r="AB131" i="21"/>
  <c r="AC131" i="21"/>
  <c r="AB125" i="21"/>
  <c r="AC125" i="21"/>
  <c r="AC108" i="21"/>
  <c r="AB108" i="21"/>
  <c r="AB75" i="21"/>
  <c r="AC75" i="21"/>
  <c r="AB45" i="21"/>
  <c r="AC45" i="21"/>
  <c r="AC42" i="21"/>
  <c r="AB42" i="21"/>
  <c r="AC70" i="21"/>
  <c r="AB70" i="21"/>
  <c r="AB87" i="21"/>
  <c r="AC87" i="21"/>
  <c r="AC54" i="21"/>
  <c r="AB54" i="21"/>
  <c r="AB97" i="21"/>
  <c r="AC97" i="21"/>
  <c r="AC81" i="21"/>
  <c r="AB111" i="21"/>
  <c r="AC111" i="21"/>
  <c r="AB43" i="21"/>
  <c r="AC43" i="21"/>
  <c r="AB27" i="21"/>
  <c r="AC27" i="21"/>
  <c r="AB19" i="21"/>
  <c r="AC19" i="21"/>
  <c r="AB93" i="21"/>
  <c r="AC93" i="21"/>
  <c r="AB47" i="21"/>
  <c r="AC47" i="21"/>
  <c r="AB105" i="21"/>
  <c r="AC105" i="21"/>
  <c r="AB85" i="21"/>
  <c r="AC85" i="21"/>
  <c r="AC92" i="21"/>
  <c r="AB92" i="21"/>
  <c r="AC76" i="21"/>
  <c r="AB76" i="21"/>
  <c r="AC60" i="21"/>
  <c r="AB60" i="21"/>
  <c r="AB65" i="21"/>
  <c r="AC65" i="21"/>
  <c r="AB107" i="21"/>
  <c r="AC107" i="21"/>
  <c r="AB39" i="21"/>
  <c r="AC39" i="21"/>
  <c r="AC38" i="21"/>
  <c r="AB38" i="21"/>
  <c r="AC36" i="21"/>
  <c r="AB36" i="21"/>
  <c r="AC20" i="21"/>
  <c r="AB20" i="21"/>
  <c r="AB67" i="21"/>
  <c r="AC67" i="21"/>
  <c r="AC18" i="21"/>
  <c r="AB18" i="21"/>
  <c r="AC23" i="21"/>
  <c r="AB133" i="21"/>
  <c r="AC133" i="21"/>
  <c r="AC16" i="21"/>
  <c r="AB16" i="21"/>
  <c r="AB127" i="21"/>
  <c r="AC127" i="21"/>
  <c r="AC126" i="21"/>
  <c r="AB126" i="21"/>
  <c r="AB59" i="21"/>
  <c r="AC59" i="21"/>
  <c r="AB121" i="21"/>
  <c r="AC121" i="21"/>
  <c r="AC66" i="21"/>
  <c r="AB66" i="21"/>
  <c r="AC58" i="21"/>
  <c r="AB58" i="21"/>
  <c r="AC90" i="21"/>
  <c r="AB90" i="21"/>
  <c r="AC26" i="21"/>
  <c r="AB26" i="21"/>
  <c r="AC102" i="21"/>
  <c r="AB102" i="21"/>
  <c r="AB103" i="21"/>
  <c r="AC103" i="21"/>
  <c r="AB71" i="21"/>
  <c r="AC71" i="21"/>
  <c r="AB15" i="21"/>
  <c r="AC15" i="21"/>
  <c r="AC61" i="21"/>
  <c r="AC122" i="21"/>
  <c r="AB122" i="21"/>
  <c r="AC134" i="21"/>
  <c r="AB134" i="21"/>
  <c r="AC116" i="21"/>
  <c r="AB116" i="21"/>
  <c r="AC68" i="21"/>
  <c r="AB68" i="21"/>
  <c r="AB115" i="21"/>
  <c r="AC115" i="21"/>
  <c r="AC130" i="21"/>
  <c r="AB130" i="21"/>
  <c r="AC120" i="21"/>
  <c r="AB120" i="21"/>
  <c r="AC40" i="21"/>
  <c r="AB40" i="21"/>
  <c r="AC24" i="21"/>
  <c r="AB24" i="21"/>
  <c r="AB129" i="21"/>
  <c r="AC129" i="21"/>
  <c r="AB117" i="21"/>
  <c r="AC117" i="21"/>
  <c r="AB135" i="21"/>
  <c r="AC135" i="21"/>
  <c r="AB119" i="21"/>
  <c r="AC119" i="21"/>
  <c r="AB11" i="21"/>
  <c r="AC11" i="21"/>
  <c r="AB57" i="21"/>
  <c r="AC57" i="21"/>
  <c r="AB31" i="21"/>
  <c r="AC31" i="21"/>
  <c r="Z126" i="21"/>
  <c r="Z54" i="21"/>
  <c r="Z128" i="21"/>
  <c r="Z32" i="21"/>
  <c r="Z44" i="21"/>
  <c r="V61" i="21"/>
  <c r="Z46" i="21"/>
  <c r="Z30" i="21"/>
  <c r="Z78" i="21"/>
  <c r="Z84" i="21"/>
  <c r="Z64" i="21"/>
  <c r="Z97" i="21"/>
  <c r="Z133" i="21"/>
  <c r="Z118" i="21"/>
  <c r="Z86" i="21"/>
  <c r="Z127" i="21"/>
  <c r="Z124" i="21"/>
  <c r="Z12" i="21"/>
  <c r="Z121" i="21"/>
  <c r="Z131" i="21"/>
  <c r="Z125" i="21"/>
  <c r="Z96" i="21"/>
  <c r="Z27" i="21"/>
  <c r="Z19" i="21"/>
  <c r="Z83" i="21"/>
  <c r="Z59" i="21"/>
  <c r="Z93" i="21"/>
  <c r="Z76" i="21"/>
  <c r="Z65" i="21"/>
  <c r="Z75" i="21"/>
  <c r="Z58" i="21"/>
  <c r="Z116" i="21"/>
  <c r="Z68" i="21"/>
  <c r="Z90" i="21"/>
  <c r="Z62" i="21"/>
  <c r="Z102" i="21"/>
  <c r="Z70" i="21"/>
  <c r="Z74" i="21"/>
  <c r="Z14" i="21"/>
  <c r="Z16" i="21"/>
  <c r="Z52" i="21"/>
  <c r="Z28" i="21"/>
  <c r="Z34" i="21"/>
  <c r="Z108" i="21"/>
  <c r="Z45" i="21"/>
  <c r="Z10" i="21"/>
  <c r="Z38" i="21"/>
  <c r="Z36" i="21"/>
  <c r="Z20" i="21"/>
  <c r="Z98" i="21"/>
  <c r="Z41" i="21"/>
  <c r="Z37" i="21"/>
  <c r="Z80" i="21"/>
  <c r="Z79" i="21"/>
  <c r="V114" i="21"/>
  <c r="AA114" i="21"/>
  <c r="V128" i="21"/>
  <c r="AA128" i="21"/>
  <c r="V74" i="21"/>
  <c r="AA74" i="21"/>
  <c r="V54" i="21"/>
  <c r="AA54" i="21"/>
  <c r="V34" i="21"/>
  <c r="AA34" i="21"/>
  <c r="V14" i="21"/>
  <c r="AA14" i="21"/>
  <c r="V86" i="21"/>
  <c r="AA86" i="21"/>
  <c r="Z17" i="21"/>
  <c r="V81" i="21"/>
  <c r="AA81" i="21"/>
  <c r="V111" i="21"/>
  <c r="AA111" i="21"/>
  <c r="Z95" i="21"/>
  <c r="Z63" i="21"/>
  <c r="Z43" i="21"/>
  <c r="Z29" i="21"/>
  <c r="V44" i="21"/>
  <c r="AA44" i="21"/>
  <c r="V12" i="21"/>
  <c r="AA12" i="21"/>
  <c r="V93" i="21"/>
  <c r="AA93" i="21"/>
  <c r="Z47" i="21"/>
  <c r="V22" i="21"/>
  <c r="AA22" i="21"/>
  <c r="V94" i="21"/>
  <c r="AA94" i="21"/>
  <c r="V100" i="21"/>
  <c r="AA100" i="21"/>
  <c r="V46" i="21"/>
  <c r="AA46" i="21"/>
  <c r="V30" i="21"/>
  <c r="AA30" i="21"/>
  <c r="Z105" i="21"/>
  <c r="Z25" i="21"/>
  <c r="V85" i="21"/>
  <c r="AA85" i="21"/>
  <c r="Z21" i="21"/>
  <c r="V78" i="21"/>
  <c r="AA78" i="21"/>
  <c r="V92" i="21"/>
  <c r="AA92" i="21"/>
  <c r="V76" i="21"/>
  <c r="AA76" i="21"/>
  <c r="V60" i="21"/>
  <c r="AA60" i="21"/>
  <c r="V28" i="21"/>
  <c r="AA28" i="21"/>
  <c r="V65" i="21"/>
  <c r="AA65" i="21"/>
  <c r="V107" i="21"/>
  <c r="AA107" i="21"/>
  <c r="Z39" i="21"/>
  <c r="Z13" i="21"/>
  <c r="V122" i="21"/>
  <c r="AA122" i="21"/>
  <c r="V73" i="21"/>
  <c r="AA73" i="21"/>
  <c r="V134" i="21"/>
  <c r="AA134" i="21"/>
  <c r="V116" i="21"/>
  <c r="AA116" i="21"/>
  <c r="V68" i="21"/>
  <c r="AA68" i="21"/>
  <c r="V113" i="21"/>
  <c r="AA113" i="21"/>
  <c r="V115" i="21"/>
  <c r="AA115" i="21"/>
  <c r="V89" i="21"/>
  <c r="AA89" i="21"/>
  <c r="V130" i="21"/>
  <c r="AA130" i="21"/>
  <c r="Z69" i="21"/>
  <c r="Z101" i="21"/>
  <c r="V120" i="21"/>
  <c r="AA120" i="21"/>
  <c r="Z88" i="21"/>
  <c r="Z72" i="21"/>
  <c r="Z56" i="21"/>
  <c r="V40" i="21"/>
  <c r="AA40" i="21"/>
  <c r="V24" i="21"/>
  <c r="AA24" i="21"/>
  <c r="V129" i="21"/>
  <c r="AA129" i="21"/>
  <c r="Z49" i="21"/>
  <c r="V117" i="21"/>
  <c r="AA117" i="21"/>
  <c r="V135" i="21"/>
  <c r="AA135" i="21"/>
  <c r="V119" i="21"/>
  <c r="AA119" i="21"/>
  <c r="V35" i="21"/>
  <c r="AA35" i="21"/>
  <c r="Z11" i="21"/>
  <c r="Z77" i="21"/>
  <c r="Z23" i="21"/>
  <c r="Z61" i="21"/>
  <c r="V32" i="21"/>
  <c r="AA32" i="21"/>
  <c r="V97" i="21"/>
  <c r="AA97" i="21"/>
  <c r="V127" i="21"/>
  <c r="AA127" i="21"/>
  <c r="V43" i="21"/>
  <c r="AA43" i="21"/>
  <c r="V27" i="21"/>
  <c r="AA27" i="21"/>
  <c r="V132" i="21"/>
  <c r="AA132" i="21"/>
  <c r="V124" i="21"/>
  <c r="AA124" i="21"/>
  <c r="V126" i="21"/>
  <c r="AA126" i="21"/>
  <c r="V123" i="21"/>
  <c r="AA123" i="21"/>
  <c r="Z91" i="21"/>
  <c r="V19" i="21"/>
  <c r="AA19" i="21"/>
  <c r="V47" i="21"/>
  <c r="AA47" i="21"/>
  <c r="V82" i="21"/>
  <c r="AA82" i="21"/>
  <c r="V121" i="21"/>
  <c r="AA121" i="21"/>
  <c r="V52" i="21"/>
  <c r="AA52" i="21"/>
  <c r="V131" i="21"/>
  <c r="AA131" i="21"/>
  <c r="V125" i="21"/>
  <c r="AA125" i="21"/>
  <c r="V106" i="21"/>
  <c r="AA106" i="21"/>
  <c r="V66" i="21"/>
  <c r="AA66" i="21"/>
  <c r="V105" i="21"/>
  <c r="AA105" i="21"/>
  <c r="Z85" i="21"/>
  <c r="V110" i="21"/>
  <c r="AA110" i="21"/>
  <c r="Z92" i="21"/>
  <c r="Z60" i="21"/>
  <c r="V50" i="21"/>
  <c r="AA50" i="21"/>
  <c r="V39" i="21"/>
  <c r="AA39" i="21"/>
  <c r="Z122" i="21"/>
  <c r="Z134" i="21"/>
  <c r="Z115" i="21"/>
  <c r="V51" i="21"/>
  <c r="AA51" i="21"/>
  <c r="V45" i="21"/>
  <c r="AA45" i="21"/>
  <c r="Z42" i="21"/>
  <c r="Z26" i="21"/>
  <c r="Z130" i="21"/>
  <c r="Z120" i="21"/>
  <c r="Z40" i="21"/>
  <c r="Z24" i="21"/>
  <c r="Z129" i="21"/>
  <c r="Z117" i="21"/>
  <c r="Z135" i="21"/>
  <c r="Z119" i="21"/>
  <c r="V103" i="21"/>
  <c r="AA103" i="21"/>
  <c r="V87" i="21"/>
  <c r="AA87" i="21"/>
  <c r="V71" i="21"/>
  <c r="AA71" i="21"/>
  <c r="V55" i="21"/>
  <c r="AA55" i="21"/>
  <c r="V38" i="21"/>
  <c r="AA38" i="21"/>
  <c r="V53" i="21"/>
  <c r="AA53" i="21"/>
  <c r="Z57" i="21"/>
  <c r="V36" i="21"/>
  <c r="AA36" i="21"/>
  <c r="V20" i="21"/>
  <c r="AA20" i="21"/>
  <c r="Z67" i="21"/>
  <c r="Z31" i="21"/>
  <c r="V18" i="21"/>
  <c r="AA18" i="21"/>
  <c r="V15" i="21"/>
  <c r="AA15" i="21"/>
  <c r="Z15" i="21"/>
  <c r="V48" i="21"/>
  <c r="AA48" i="21"/>
  <c r="V16" i="21"/>
  <c r="AA16" i="21"/>
  <c r="Z81" i="21"/>
  <c r="V41" i="21"/>
  <c r="AA41" i="21"/>
  <c r="V37" i="21"/>
  <c r="AA37" i="21"/>
  <c r="V112" i="21"/>
  <c r="AA112" i="21"/>
  <c r="V96" i="21"/>
  <c r="AA96" i="21"/>
  <c r="V80" i="21"/>
  <c r="AA80" i="21"/>
  <c r="V64" i="21"/>
  <c r="AA64" i="21"/>
  <c r="Z48" i="21"/>
  <c r="V17" i="21"/>
  <c r="AA17" i="21"/>
  <c r="V95" i="21"/>
  <c r="AA95" i="21"/>
  <c r="V79" i="21"/>
  <c r="AA79" i="21"/>
  <c r="V63" i="21"/>
  <c r="AA63" i="21"/>
  <c r="V29" i="21"/>
  <c r="AA29" i="21"/>
  <c r="Z132" i="21"/>
  <c r="Z123" i="21"/>
  <c r="V91" i="21"/>
  <c r="AA91" i="21"/>
  <c r="V59" i="21"/>
  <c r="AA59" i="21"/>
  <c r="Z82" i="21"/>
  <c r="Z22" i="21"/>
  <c r="Z94" i="21"/>
  <c r="Z100" i="21"/>
  <c r="V83" i="21"/>
  <c r="AA83" i="21"/>
  <c r="Z66" i="21"/>
  <c r="V25" i="21"/>
  <c r="AA25" i="21"/>
  <c r="V21" i="21"/>
  <c r="AA21" i="21"/>
  <c r="V108" i="21"/>
  <c r="AA108" i="21"/>
  <c r="Z50" i="21"/>
  <c r="V75" i="21"/>
  <c r="AA75" i="21"/>
  <c r="V13" i="21"/>
  <c r="AA13" i="21"/>
  <c r="Z113" i="21"/>
  <c r="V11" i="21"/>
  <c r="AA11" i="21"/>
  <c r="V10" i="21"/>
  <c r="AA10" i="21"/>
  <c r="Z53" i="21"/>
  <c r="V57" i="21"/>
  <c r="AA57" i="21"/>
  <c r="V84" i="21"/>
  <c r="AA84" i="21"/>
  <c r="V98" i="21"/>
  <c r="AA98" i="21"/>
  <c r="Z99" i="21"/>
  <c r="V31" i="21"/>
  <c r="AA31" i="21"/>
  <c r="V133" i="21"/>
  <c r="AA133" i="21"/>
  <c r="V118" i="21"/>
  <c r="AA118" i="21"/>
  <c r="Z114" i="21"/>
  <c r="Z112" i="21"/>
  <c r="Z111" i="21"/>
  <c r="Z110" i="21"/>
  <c r="Z107" i="21"/>
  <c r="V58" i="21"/>
  <c r="AA58" i="21"/>
  <c r="Z73" i="21"/>
  <c r="Z51" i="21"/>
  <c r="V90" i="21"/>
  <c r="AA90" i="21"/>
  <c r="V62" i="21"/>
  <c r="AA62" i="21"/>
  <c r="V42" i="21"/>
  <c r="AA42" i="21"/>
  <c r="V26" i="21"/>
  <c r="AA26" i="21"/>
  <c r="Z89" i="21"/>
  <c r="V69" i="21"/>
  <c r="AA69" i="21"/>
  <c r="V101" i="21"/>
  <c r="AA101" i="21"/>
  <c r="V102" i="21"/>
  <c r="AA102" i="21"/>
  <c r="V70" i="21"/>
  <c r="AA70" i="21"/>
  <c r="V88" i="21"/>
  <c r="AA88" i="21"/>
  <c r="V72" i="21"/>
  <c r="AA72" i="21"/>
  <c r="V56" i="21"/>
  <c r="AA56" i="21"/>
  <c r="V49" i="21"/>
  <c r="AA49" i="21"/>
  <c r="Z103" i="21"/>
  <c r="Z87" i="21"/>
  <c r="Z71" i="21"/>
  <c r="Z55" i="21"/>
  <c r="Z35" i="21"/>
  <c r="V77" i="21"/>
  <c r="V99" i="21"/>
  <c r="AA99" i="21"/>
  <c r="V67" i="21"/>
  <c r="AA67" i="21"/>
  <c r="Z18" i="21"/>
  <c r="V23" i="21"/>
  <c r="AA23" i="21"/>
  <c r="AO9" i="21"/>
  <c r="AQ9" i="21"/>
  <c r="AV9" i="21" s="1"/>
  <c r="AP9" i="21"/>
  <c r="AU9" i="21" s="1"/>
  <c r="DH33" i="21"/>
  <c r="CT33" i="21" s="1"/>
  <c r="DI33" i="21"/>
  <c r="CU33" i="21" s="1"/>
  <c r="DH34" i="21"/>
  <c r="CT34" i="21" s="1"/>
  <c r="DI34" i="21"/>
  <c r="CU34" i="21" s="1"/>
  <c r="DH35" i="21"/>
  <c r="CT35" i="21" s="1"/>
  <c r="DI35" i="21"/>
  <c r="CU35" i="21" s="1"/>
  <c r="DH36" i="21"/>
  <c r="CT36" i="21" s="1"/>
  <c r="DI36" i="21"/>
  <c r="CU36" i="21" s="1"/>
  <c r="DH37" i="21"/>
  <c r="CT37" i="21" s="1"/>
  <c r="DI37" i="21"/>
  <c r="CU37" i="21" s="1"/>
  <c r="DH38" i="21"/>
  <c r="CT38" i="21" s="1"/>
  <c r="DI38" i="21"/>
  <c r="CU38" i="21" s="1"/>
  <c r="DH39" i="21"/>
  <c r="CT39" i="21" s="1"/>
  <c r="DI39" i="21"/>
  <c r="CU39" i="21" s="1"/>
  <c r="DH40" i="21"/>
  <c r="CT40" i="21" s="1"/>
  <c r="DI40" i="21"/>
  <c r="CU40" i="21" s="1"/>
  <c r="DH41" i="21"/>
  <c r="CT41" i="21" s="1"/>
  <c r="DI41" i="21"/>
  <c r="CU41" i="21" s="1"/>
  <c r="DH42" i="21"/>
  <c r="CT42" i="21" s="1"/>
  <c r="DI42" i="21"/>
  <c r="CU42" i="21" s="1"/>
  <c r="DH43" i="21"/>
  <c r="CT43" i="21" s="1"/>
  <c r="DI43" i="21"/>
  <c r="CU43" i="21" s="1"/>
  <c r="DH44" i="21"/>
  <c r="CT44" i="21" s="1"/>
  <c r="DI44" i="21"/>
  <c r="CU44" i="21" s="1"/>
  <c r="DH45" i="21"/>
  <c r="CT45" i="21" s="1"/>
  <c r="DI45" i="21"/>
  <c r="CU45" i="21" s="1"/>
  <c r="DH46" i="21"/>
  <c r="CT46" i="21" s="1"/>
  <c r="DI46" i="21"/>
  <c r="CU46" i="21" s="1"/>
  <c r="DH47" i="21"/>
  <c r="CT47" i="21" s="1"/>
  <c r="DI47" i="21"/>
  <c r="CU47" i="21" s="1"/>
  <c r="DH48" i="21"/>
  <c r="CT48" i="21" s="1"/>
  <c r="DI48" i="21"/>
  <c r="CU48" i="21" s="1"/>
  <c r="DH49" i="21"/>
  <c r="CT49" i="21" s="1"/>
  <c r="DI49" i="21"/>
  <c r="CU49" i="21" s="1"/>
  <c r="DH50" i="21"/>
  <c r="CT50" i="21" s="1"/>
  <c r="DI50" i="21"/>
  <c r="CU50" i="21" s="1"/>
  <c r="DH51" i="21"/>
  <c r="CT51" i="21" s="1"/>
  <c r="DI51" i="21"/>
  <c r="CU51" i="21" s="1"/>
  <c r="DH52" i="21"/>
  <c r="CT52" i="21" s="1"/>
  <c r="DI52" i="21"/>
  <c r="CU52" i="21" s="1"/>
  <c r="DH53" i="21"/>
  <c r="CT53" i="21" s="1"/>
  <c r="DI53" i="21"/>
  <c r="CU53" i="21" s="1"/>
  <c r="DH54" i="21"/>
  <c r="CT54" i="21" s="1"/>
  <c r="DI54" i="21"/>
  <c r="CU54" i="21" s="1"/>
  <c r="DH55" i="21"/>
  <c r="CT55" i="21" s="1"/>
  <c r="DI55" i="21"/>
  <c r="CU55" i="21" s="1"/>
  <c r="DH56" i="21"/>
  <c r="CT56" i="21" s="1"/>
  <c r="DI56" i="21"/>
  <c r="CU56" i="21" s="1"/>
  <c r="DH57" i="21"/>
  <c r="CT57" i="21" s="1"/>
  <c r="DI57" i="21"/>
  <c r="CU57" i="21" s="1"/>
  <c r="DH58" i="21"/>
  <c r="CT58" i="21" s="1"/>
  <c r="DI58" i="21"/>
  <c r="CU58" i="21" s="1"/>
  <c r="DH59" i="21"/>
  <c r="CT59" i="21" s="1"/>
  <c r="DI59" i="21"/>
  <c r="CU59" i="21" s="1"/>
  <c r="DH60" i="21"/>
  <c r="CT60" i="21" s="1"/>
  <c r="DI60" i="21"/>
  <c r="CU60" i="21" s="1"/>
  <c r="DH61" i="21"/>
  <c r="CT61" i="21" s="1"/>
  <c r="DI61" i="21"/>
  <c r="CU61" i="21" s="1"/>
  <c r="DH62" i="21"/>
  <c r="CT62" i="21" s="1"/>
  <c r="DI62" i="21"/>
  <c r="CU62" i="21" s="1"/>
  <c r="DH63" i="21"/>
  <c r="CT63" i="21" s="1"/>
  <c r="DI63" i="21"/>
  <c r="CU63" i="21" s="1"/>
  <c r="DH64" i="21"/>
  <c r="CT64" i="21" s="1"/>
  <c r="DI64" i="21"/>
  <c r="CU64" i="21" s="1"/>
  <c r="DH65" i="21"/>
  <c r="CT65" i="21" s="1"/>
  <c r="DI65" i="21"/>
  <c r="CU65" i="21" s="1"/>
  <c r="DH66" i="21"/>
  <c r="CT66" i="21" s="1"/>
  <c r="DI66" i="21"/>
  <c r="CU66" i="21" s="1"/>
  <c r="DH67" i="21"/>
  <c r="CT67" i="21" s="1"/>
  <c r="DI67" i="21"/>
  <c r="CU67" i="21" s="1"/>
  <c r="DH68" i="21"/>
  <c r="CT68" i="21" s="1"/>
  <c r="DI68" i="21"/>
  <c r="CU68" i="21" s="1"/>
  <c r="DH69" i="21"/>
  <c r="CT69" i="21" s="1"/>
  <c r="DI69" i="21"/>
  <c r="CU69" i="21" s="1"/>
  <c r="DH70" i="21"/>
  <c r="CT70" i="21" s="1"/>
  <c r="DI70" i="21"/>
  <c r="CU70" i="21" s="1"/>
  <c r="DH71" i="21"/>
  <c r="CT71" i="21" s="1"/>
  <c r="DI71" i="21"/>
  <c r="CU71" i="21" s="1"/>
  <c r="DH72" i="21"/>
  <c r="CT72" i="21" s="1"/>
  <c r="DI72" i="21"/>
  <c r="CU72" i="21" s="1"/>
  <c r="DH73" i="21"/>
  <c r="CT73" i="21" s="1"/>
  <c r="DI73" i="21"/>
  <c r="CU73" i="21" s="1"/>
  <c r="DH74" i="21"/>
  <c r="CT74" i="21" s="1"/>
  <c r="DI74" i="21"/>
  <c r="CU74" i="21" s="1"/>
  <c r="DH75" i="21"/>
  <c r="CT75" i="21" s="1"/>
  <c r="DI75" i="21"/>
  <c r="CU75" i="21" s="1"/>
  <c r="DH76" i="21"/>
  <c r="CT76" i="21" s="1"/>
  <c r="DI76" i="21"/>
  <c r="CU76" i="21" s="1"/>
  <c r="DH77" i="21"/>
  <c r="CT77" i="21" s="1"/>
  <c r="DI77" i="21"/>
  <c r="CU77" i="21" s="1"/>
  <c r="DH78" i="21"/>
  <c r="CT78" i="21" s="1"/>
  <c r="DI78" i="21"/>
  <c r="CU78" i="21" s="1"/>
  <c r="DH79" i="21"/>
  <c r="CT79" i="21" s="1"/>
  <c r="DI79" i="21"/>
  <c r="CU79" i="21" s="1"/>
  <c r="DH89" i="21"/>
  <c r="CT89" i="21" s="1"/>
  <c r="DI89" i="21"/>
  <c r="CU89" i="21" s="1"/>
  <c r="DH90" i="21"/>
  <c r="CT90" i="21" s="1"/>
  <c r="DI90" i="21"/>
  <c r="CU90" i="21" s="1"/>
  <c r="DH91" i="21"/>
  <c r="CT91" i="21" s="1"/>
  <c r="DI91" i="21"/>
  <c r="CU91" i="21" s="1"/>
  <c r="DH92" i="21"/>
  <c r="CT92" i="21" s="1"/>
  <c r="DI92" i="21"/>
  <c r="CU92" i="21" s="1"/>
  <c r="DH93" i="21"/>
  <c r="CT93" i="21" s="1"/>
  <c r="DI93" i="21"/>
  <c r="CU93" i="21" s="1"/>
  <c r="DH94" i="21"/>
  <c r="CT94" i="21" s="1"/>
  <c r="DI94" i="21"/>
  <c r="CU94" i="21" s="1"/>
  <c r="DH95" i="21"/>
  <c r="CT95" i="21" s="1"/>
  <c r="DI95" i="21"/>
  <c r="CU95" i="21" s="1"/>
  <c r="DH96" i="21"/>
  <c r="CT96" i="21" s="1"/>
  <c r="DI96" i="21"/>
  <c r="CU96" i="21" s="1"/>
  <c r="DH97" i="21"/>
  <c r="CT97" i="21" s="1"/>
  <c r="DI97" i="21"/>
  <c r="CU97" i="21" s="1"/>
  <c r="DH98" i="21"/>
  <c r="CT98" i="21" s="1"/>
  <c r="DI98" i="21"/>
  <c r="CU98" i="21" s="1"/>
  <c r="DH99" i="21"/>
  <c r="CT99" i="21" s="1"/>
  <c r="DI99" i="21"/>
  <c r="CU99" i="21" s="1"/>
  <c r="DH100" i="21"/>
  <c r="CT100" i="21" s="1"/>
  <c r="DI100" i="21"/>
  <c r="CU100" i="21" s="1"/>
  <c r="DH101" i="21"/>
  <c r="CT101" i="21" s="1"/>
  <c r="DI101" i="21"/>
  <c r="CU101" i="21" s="1"/>
  <c r="DH102" i="21"/>
  <c r="CT102" i="21" s="1"/>
  <c r="DI102" i="21"/>
  <c r="CU102" i="21" s="1"/>
  <c r="DH103" i="21"/>
  <c r="CT103" i="21" s="1"/>
  <c r="DI103" i="21"/>
  <c r="CU103" i="21" s="1"/>
  <c r="CT105" i="21"/>
  <c r="CU105" i="21"/>
  <c r="CT107" i="21"/>
  <c r="CU107" i="21"/>
  <c r="CT108" i="21"/>
  <c r="CU108" i="21"/>
  <c r="CT110" i="21"/>
  <c r="CU110" i="21"/>
  <c r="CT111" i="21"/>
  <c r="CU111" i="21"/>
  <c r="CH33" i="21"/>
  <c r="BT33" i="21" s="1"/>
  <c r="CI33" i="21"/>
  <c r="BU33" i="21" s="1"/>
  <c r="CH34" i="21"/>
  <c r="BT34" i="21" s="1"/>
  <c r="CI34" i="21"/>
  <c r="BU34" i="21" s="1"/>
  <c r="CH35" i="21"/>
  <c r="BT35" i="21" s="1"/>
  <c r="CI35" i="21"/>
  <c r="BU35" i="21" s="1"/>
  <c r="CH36" i="21"/>
  <c r="BT36" i="21" s="1"/>
  <c r="CI36" i="21"/>
  <c r="BU36" i="21" s="1"/>
  <c r="CH37" i="21"/>
  <c r="BT37" i="21" s="1"/>
  <c r="CI37" i="21"/>
  <c r="BU37" i="21" s="1"/>
  <c r="CH38" i="21"/>
  <c r="BT38" i="21" s="1"/>
  <c r="CI38" i="21"/>
  <c r="BU38" i="21" s="1"/>
  <c r="CH39" i="21"/>
  <c r="BT39" i="21" s="1"/>
  <c r="CI39" i="21"/>
  <c r="BU39" i="21" s="1"/>
  <c r="CH40" i="21"/>
  <c r="BT40" i="21" s="1"/>
  <c r="CI40" i="21"/>
  <c r="BU40" i="21" s="1"/>
  <c r="CH41" i="21"/>
  <c r="BT41" i="21" s="1"/>
  <c r="CI41" i="21"/>
  <c r="BU41" i="21" s="1"/>
  <c r="CH42" i="21"/>
  <c r="BT42" i="21" s="1"/>
  <c r="CI42" i="21"/>
  <c r="BU42" i="21" s="1"/>
  <c r="CH43" i="21"/>
  <c r="BT43" i="21" s="1"/>
  <c r="CI43" i="21"/>
  <c r="BU43" i="21" s="1"/>
  <c r="CH44" i="21"/>
  <c r="BT44" i="21" s="1"/>
  <c r="CI44" i="21"/>
  <c r="BU44" i="21" s="1"/>
  <c r="CH45" i="21"/>
  <c r="BT45" i="21" s="1"/>
  <c r="CI45" i="21"/>
  <c r="BU45" i="21" s="1"/>
  <c r="CH46" i="21"/>
  <c r="BT46" i="21" s="1"/>
  <c r="CI46" i="21"/>
  <c r="BU46" i="21" s="1"/>
  <c r="CH47" i="21"/>
  <c r="BT47" i="21" s="1"/>
  <c r="CI47" i="21"/>
  <c r="BU47" i="21" s="1"/>
  <c r="CH48" i="21"/>
  <c r="BT48" i="21" s="1"/>
  <c r="CI48" i="21"/>
  <c r="BU48" i="21" s="1"/>
  <c r="CH49" i="21"/>
  <c r="BT49" i="21" s="1"/>
  <c r="CI49" i="21"/>
  <c r="BU49" i="21" s="1"/>
  <c r="CH50" i="21"/>
  <c r="BT50" i="21" s="1"/>
  <c r="CI50" i="21"/>
  <c r="BU50" i="21" s="1"/>
  <c r="CH51" i="21"/>
  <c r="BT51" i="21" s="1"/>
  <c r="CI51" i="21"/>
  <c r="BU51" i="21" s="1"/>
  <c r="CH52" i="21"/>
  <c r="BT52" i="21" s="1"/>
  <c r="CI52" i="21"/>
  <c r="BU52" i="21" s="1"/>
  <c r="CH53" i="21"/>
  <c r="BT53" i="21" s="1"/>
  <c r="CI53" i="21"/>
  <c r="BU53" i="21" s="1"/>
  <c r="CH54" i="21"/>
  <c r="BT54" i="21" s="1"/>
  <c r="CI54" i="21"/>
  <c r="BU54" i="21" s="1"/>
  <c r="CH55" i="21"/>
  <c r="BT55" i="21" s="1"/>
  <c r="CI55" i="21"/>
  <c r="BU55" i="21" s="1"/>
  <c r="CH56" i="21"/>
  <c r="BT56" i="21" s="1"/>
  <c r="CI56" i="21"/>
  <c r="BU56" i="21" s="1"/>
  <c r="CH57" i="21"/>
  <c r="BT57" i="21" s="1"/>
  <c r="CI57" i="21"/>
  <c r="BU57" i="21" s="1"/>
  <c r="CH58" i="21"/>
  <c r="BT58" i="21" s="1"/>
  <c r="CI58" i="21"/>
  <c r="BU58" i="21" s="1"/>
  <c r="CH59" i="21"/>
  <c r="BT59" i="21" s="1"/>
  <c r="CI59" i="21"/>
  <c r="BU59" i="21" s="1"/>
  <c r="CH60" i="21"/>
  <c r="BT60" i="21" s="1"/>
  <c r="CI60" i="21"/>
  <c r="BU60" i="21" s="1"/>
  <c r="CH61" i="21"/>
  <c r="BT61" i="21" s="1"/>
  <c r="CI61" i="21"/>
  <c r="BU61" i="21" s="1"/>
  <c r="CH62" i="21"/>
  <c r="BT62" i="21" s="1"/>
  <c r="CI62" i="21"/>
  <c r="BU62" i="21" s="1"/>
  <c r="CH63" i="21"/>
  <c r="BT63" i="21" s="1"/>
  <c r="CI63" i="21"/>
  <c r="BU63" i="21" s="1"/>
  <c r="CH64" i="21"/>
  <c r="BT64" i="21" s="1"/>
  <c r="CI64" i="21"/>
  <c r="BU64" i="21" s="1"/>
  <c r="CH65" i="21"/>
  <c r="BT65" i="21" s="1"/>
  <c r="CI65" i="21"/>
  <c r="BU65" i="21" s="1"/>
  <c r="CH66" i="21"/>
  <c r="BT66" i="21" s="1"/>
  <c r="CI66" i="21"/>
  <c r="BU66" i="21" s="1"/>
  <c r="CH67" i="21"/>
  <c r="BT67" i="21" s="1"/>
  <c r="CI67" i="21"/>
  <c r="BU67" i="21" s="1"/>
  <c r="CH68" i="21"/>
  <c r="BT68" i="21" s="1"/>
  <c r="CI68" i="21"/>
  <c r="BU68" i="21" s="1"/>
  <c r="CH69" i="21"/>
  <c r="BT69" i="21" s="1"/>
  <c r="CI69" i="21"/>
  <c r="BU69" i="21" s="1"/>
  <c r="CH70" i="21"/>
  <c r="BT70" i="21" s="1"/>
  <c r="CI70" i="21"/>
  <c r="BU70" i="21" s="1"/>
  <c r="CH71" i="21"/>
  <c r="BT71" i="21" s="1"/>
  <c r="CI71" i="21"/>
  <c r="BU71" i="21" s="1"/>
  <c r="CH72" i="21"/>
  <c r="BT72" i="21" s="1"/>
  <c r="CI72" i="21"/>
  <c r="BU72" i="21" s="1"/>
  <c r="CH73" i="21"/>
  <c r="BT73" i="21" s="1"/>
  <c r="CI73" i="21"/>
  <c r="BU73" i="21" s="1"/>
  <c r="CH74" i="21"/>
  <c r="BT74" i="21" s="1"/>
  <c r="CI74" i="21"/>
  <c r="BU74" i="21" s="1"/>
  <c r="CH75" i="21"/>
  <c r="BT75" i="21" s="1"/>
  <c r="CI75" i="21"/>
  <c r="BU75" i="21" s="1"/>
  <c r="CH76" i="21"/>
  <c r="BT76" i="21" s="1"/>
  <c r="CI76" i="21"/>
  <c r="BU76" i="21" s="1"/>
  <c r="CH77" i="21"/>
  <c r="BT77" i="21" s="1"/>
  <c r="CI77" i="21"/>
  <c r="BU77" i="21" s="1"/>
  <c r="CH78" i="21"/>
  <c r="BT78" i="21" s="1"/>
  <c r="CI78" i="21"/>
  <c r="BU78" i="21" s="1"/>
  <c r="CH79" i="21"/>
  <c r="BT79" i="21" s="1"/>
  <c r="CI79" i="21"/>
  <c r="BU79" i="21" s="1"/>
  <c r="CH89" i="21"/>
  <c r="BT89" i="21" s="1"/>
  <c r="CI89" i="21"/>
  <c r="BU89" i="21" s="1"/>
  <c r="CH90" i="21"/>
  <c r="BT90" i="21" s="1"/>
  <c r="CI90" i="21"/>
  <c r="BU90" i="21" s="1"/>
  <c r="CH91" i="21"/>
  <c r="BT91" i="21" s="1"/>
  <c r="CI91" i="21"/>
  <c r="BU91" i="21" s="1"/>
  <c r="CH92" i="21"/>
  <c r="BT92" i="21" s="1"/>
  <c r="CI92" i="21"/>
  <c r="BU92" i="21" s="1"/>
  <c r="CH93" i="21"/>
  <c r="BT93" i="21" s="1"/>
  <c r="CI93" i="21"/>
  <c r="BU93" i="21" s="1"/>
  <c r="CH94" i="21"/>
  <c r="BT94" i="21" s="1"/>
  <c r="CI94" i="21"/>
  <c r="BU94" i="21" s="1"/>
  <c r="CH95" i="21"/>
  <c r="BT95" i="21" s="1"/>
  <c r="CI95" i="21"/>
  <c r="BU95" i="21" s="1"/>
  <c r="CH96" i="21"/>
  <c r="BT96" i="21" s="1"/>
  <c r="CI96" i="21"/>
  <c r="BU96" i="21" s="1"/>
  <c r="CH97" i="21"/>
  <c r="BT97" i="21" s="1"/>
  <c r="CI97" i="21"/>
  <c r="BU97" i="21" s="1"/>
  <c r="CH98" i="21"/>
  <c r="BT98" i="21" s="1"/>
  <c r="CI98" i="21"/>
  <c r="BU98" i="21" s="1"/>
  <c r="CH99" i="21"/>
  <c r="BT99" i="21" s="1"/>
  <c r="CI99" i="21"/>
  <c r="BU99" i="21" s="1"/>
  <c r="CH100" i="21"/>
  <c r="BT100" i="21" s="1"/>
  <c r="CI100" i="21"/>
  <c r="BU100" i="21" s="1"/>
  <c r="CH101" i="21"/>
  <c r="BT101" i="21" s="1"/>
  <c r="CI101" i="21"/>
  <c r="BU101" i="21" s="1"/>
  <c r="BT102" i="21"/>
  <c r="BU102" i="21"/>
  <c r="BT103" i="21"/>
  <c r="BU103" i="21"/>
  <c r="BT105" i="21"/>
  <c r="BU105" i="21"/>
  <c r="BT107" i="21"/>
  <c r="BU107" i="21"/>
  <c r="BT108" i="21"/>
  <c r="BU108" i="21"/>
  <c r="BT110" i="21"/>
  <c r="BU110" i="21"/>
  <c r="BT111" i="21"/>
  <c r="BU111" i="21"/>
  <c r="AS111" i="21"/>
  <c r="AR111" i="21"/>
  <c r="AS110" i="21"/>
  <c r="AR110" i="21"/>
  <c r="AS108" i="21"/>
  <c r="AR108" i="21"/>
  <c r="AS107" i="21"/>
  <c r="AR107" i="21"/>
  <c r="BI105" i="21"/>
  <c r="AS105" i="21" s="1"/>
  <c r="BH105" i="21"/>
  <c r="AR105" i="21" s="1"/>
  <c r="BI103" i="21"/>
  <c r="AS103" i="21" s="1"/>
  <c r="BH103" i="21"/>
  <c r="AR103" i="21" s="1"/>
  <c r="BI102" i="21"/>
  <c r="AS102" i="21" s="1"/>
  <c r="BH102" i="21"/>
  <c r="AR102" i="21" s="1"/>
  <c r="BI101" i="21"/>
  <c r="AS101" i="21" s="1"/>
  <c r="BH101" i="21"/>
  <c r="AR101" i="21" s="1"/>
  <c r="BI100" i="21"/>
  <c r="AS100" i="21" s="1"/>
  <c r="BH100" i="21"/>
  <c r="AR100" i="21" s="1"/>
  <c r="BI99" i="21"/>
  <c r="AS99" i="21" s="1"/>
  <c r="BH99" i="21"/>
  <c r="AR99" i="21" s="1"/>
  <c r="BI98" i="21"/>
  <c r="AS98" i="21" s="1"/>
  <c r="BH98" i="21"/>
  <c r="AR98" i="21" s="1"/>
  <c r="BI97" i="21"/>
  <c r="AS97" i="21" s="1"/>
  <c r="BH97" i="21"/>
  <c r="AR97" i="21" s="1"/>
  <c r="BI96" i="21"/>
  <c r="AS96" i="21" s="1"/>
  <c r="BH96" i="21"/>
  <c r="AR96" i="21" s="1"/>
  <c r="BI95" i="21"/>
  <c r="AS95" i="21" s="1"/>
  <c r="BH95" i="21"/>
  <c r="AR95" i="21" s="1"/>
  <c r="BI94" i="21"/>
  <c r="AS94" i="21" s="1"/>
  <c r="BH94" i="21"/>
  <c r="AR94" i="21" s="1"/>
  <c r="BI93" i="21"/>
  <c r="AS93" i="21" s="1"/>
  <c r="BH93" i="21"/>
  <c r="AR93" i="21" s="1"/>
  <c r="BI92" i="21"/>
  <c r="AS92" i="21" s="1"/>
  <c r="BH92" i="21"/>
  <c r="AR92" i="21" s="1"/>
  <c r="BI91" i="21"/>
  <c r="AS91" i="21" s="1"/>
  <c r="BH91" i="21"/>
  <c r="AR91" i="21" s="1"/>
  <c r="BI90" i="21"/>
  <c r="AS90" i="21" s="1"/>
  <c r="BH90" i="21"/>
  <c r="AR90" i="21" s="1"/>
  <c r="BI89" i="21"/>
  <c r="AS89" i="21" s="1"/>
  <c r="BH89" i="21"/>
  <c r="AR89" i="21" s="1"/>
  <c r="BI79" i="21"/>
  <c r="AS79" i="21" s="1"/>
  <c r="BH79" i="21"/>
  <c r="AR79" i="21" s="1"/>
  <c r="BI78" i="21"/>
  <c r="AS78" i="21" s="1"/>
  <c r="BH78" i="21"/>
  <c r="AR78" i="21" s="1"/>
  <c r="BI77" i="21"/>
  <c r="AS77" i="21" s="1"/>
  <c r="BH77" i="21"/>
  <c r="AR77" i="21" s="1"/>
  <c r="BI76" i="21"/>
  <c r="AS76" i="21" s="1"/>
  <c r="BH76" i="21"/>
  <c r="AR76" i="21" s="1"/>
  <c r="BI75" i="21"/>
  <c r="AS75" i="21" s="1"/>
  <c r="BH75" i="21"/>
  <c r="AR75" i="21" s="1"/>
  <c r="BI74" i="21"/>
  <c r="AS74" i="21" s="1"/>
  <c r="BH74" i="21"/>
  <c r="AR74" i="21" s="1"/>
  <c r="BI73" i="21"/>
  <c r="AS73" i="21" s="1"/>
  <c r="BH73" i="21"/>
  <c r="AR73" i="21" s="1"/>
  <c r="BI72" i="21"/>
  <c r="AS72" i="21" s="1"/>
  <c r="BH72" i="21"/>
  <c r="AR72" i="21" s="1"/>
  <c r="BI71" i="21"/>
  <c r="AS71" i="21" s="1"/>
  <c r="BH71" i="21"/>
  <c r="AR71" i="21" s="1"/>
  <c r="BI70" i="21"/>
  <c r="AS70" i="21" s="1"/>
  <c r="BH70" i="21"/>
  <c r="AR70" i="21" s="1"/>
  <c r="BI69" i="21"/>
  <c r="AS69" i="21" s="1"/>
  <c r="BH69" i="21"/>
  <c r="AR69" i="21" s="1"/>
  <c r="BI68" i="21"/>
  <c r="AS68" i="21" s="1"/>
  <c r="BH68" i="21"/>
  <c r="AR68" i="21" s="1"/>
  <c r="BI67" i="21"/>
  <c r="AS67" i="21" s="1"/>
  <c r="BH67" i="21"/>
  <c r="AR67" i="21" s="1"/>
  <c r="BI66" i="21"/>
  <c r="AS66" i="21" s="1"/>
  <c r="BH66" i="21"/>
  <c r="AR66" i="21" s="1"/>
  <c r="BI65" i="21"/>
  <c r="AS65" i="21" s="1"/>
  <c r="BH65" i="21"/>
  <c r="AR65" i="21" s="1"/>
  <c r="BI64" i="21"/>
  <c r="AS64" i="21" s="1"/>
  <c r="BH64" i="21"/>
  <c r="AR64" i="21" s="1"/>
  <c r="BI63" i="21"/>
  <c r="AS63" i="21" s="1"/>
  <c r="BH63" i="21"/>
  <c r="AR63" i="21" s="1"/>
  <c r="BI62" i="21"/>
  <c r="AS62" i="21" s="1"/>
  <c r="BH62" i="21"/>
  <c r="AR62" i="21" s="1"/>
  <c r="BI61" i="21"/>
  <c r="AS61" i="21" s="1"/>
  <c r="BH61" i="21"/>
  <c r="AR61" i="21" s="1"/>
  <c r="BI60" i="21"/>
  <c r="AS60" i="21" s="1"/>
  <c r="BH60" i="21"/>
  <c r="AR60" i="21" s="1"/>
  <c r="BI59" i="21"/>
  <c r="AS59" i="21" s="1"/>
  <c r="BH59" i="21"/>
  <c r="AR59" i="21" s="1"/>
  <c r="BI58" i="21"/>
  <c r="AS58" i="21" s="1"/>
  <c r="BH58" i="21"/>
  <c r="AR58" i="21" s="1"/>
  <c r="BI57" i="21"/>
  <c r="AS57" i="21" s="1"/>
  <c r="BH57" i="21"/>
  <c r="AR57" i="21" s="1"/>
  <c r="BI56" i="21"/>
  <c r="AS56" i="21" s="1"/>
  <c r="BH56" i="21"/>
  <c r="AR56" i="21" s="1"/>
  <c r="BI55" i="21"/>
  <c r="AS55" i="21" s="1"/>
  <c r="BH55" i="21"/>
  <c r="AR55" i="21" s="1"/>
  <c r="BI54" i="21"/>
  <c r="AS54" i="21" s="1"/>
  <c r="BH54" i="21"/>
  <c r="AR54" i="21" s="1"/>
  <c r="BI53" i="21"/>
  <c r="AS53" i="21" s="1"/>
  <c r="BH53" i="21"/>
  <c r="AR53" i="21" s="1"/>
  <c r="BI52" i="21"/>
  <c r="AS52" i="21" s="1"/>
  <c r="BH52" i="21"/>
  <c r="AR52" i="21" s="1"/>
  <c r="BI51" i="21"/>
  <c r="AS51" i="21" s="1"/>
  <c r="BH51" i="21"/>
  <c r="AR51" i="21" s="1"/>
  <c r="BI50" i="21"/>
  <c r="AS50" i="21" s="1"/>
  <c r="BH50" i="21"/>
  <c r="AR50" i="21" s="1"/>
  <c r="BI49" i="21"/>
  <c r="AS49" i="21" s="1"/>
  <c r="BH49" i="21"/>
  <c r="AR49" i="21" s="1"/>
  <c r="BI48" i="21"/>
  <c r="AS48" i="21" s="1"/>
  <c r="BH48" i="21"/>
  <c r="AR48" i="21" s="1"/>
  <c r="BI47" i="21"/>
  <c r="AS47" i="21" s="1"/>
  <c r="BH47" i="21"/>
  <c r="AR47" i="21" s="1"/>
  <c r="BI46" i="21"/>
  <c r="AS46" i="21" s="1"/>
  <c r="BH46" i="21"/>
  <c r="AR46" i="21" s="1"/>
  <c r="BI45" i="21"/>
  <c r="AS45" i="21" s="1"/>
  <c r="BH45" i="21"/>
  <c r="AR45" i="21" s="1"/>
  <c r="BI44" i="21"/>
  <c r="AS44" i="21" s="1"/>
  <c r="BH44" i="21"/>
  <c r="AR44" i="21" s="1"/>
  <c r="BI43" i="21"/>
  <c r="AS43" i="21" s="1"/>
  <c r="BH43" i="21"/>
  <c r="AR43" i="21" s="1"/>
  <c r="BI42" i="21"/>
  <c r="AS42" i="21" s="1"/>
  <c r="BH42" i="21"/>
  <c r="AR42" i="21" s="1"/>
  <c r="BI41" i="21"/>
  <c r="AS41" i="21" s="1"/>
  <c r="BH41" i="21"/>
  <c r="AR41" i="21" s="1"/>
  <c r="BI40" i="21"/>
  <c r="AS40" i="21" s="1"/>
  <c r="BH40" i="21"/>
  <c r="AR40" i="21" s="1"/>
  <c r="BI39" i="21"/>
  <c r="AS39" i="21" s="1"/>
  <c r="BH39" i="21"/>
  <c r="AR39" i="21" s="1"/>
  <c r="BI38" i="21"/>
  <c r="AS38" i="21" s="1"/>
  <c r="BH38" i="21"/>
  <c r="AR38" i="21" s="1"/>
  <c r="BI37" i="21"/>
  <c r="AS37" i="21" s="1"/>
  <c r="BH37" i="21"/>
  <c r="AR37" i="21" s="1"/>
  <c r="BI36" i="21"/>
  <c r="AS36" i="21" s="1"/>
  <c r="BH36" i="21"/>
  <c r="AR36" i="21" s="1"/>
  <c r="BI35" i="21"/>
  <c r="AS35" i="21" s="1"/>
  <c r="BH35" i="21"/>
  <c r="AR35" i="21" s="1"/>
  <c r="BI34" i="21"/>
  <c r="AS34" i="21" s="1"/>
  <c r="BH34" i="21"/>
  <c r="AR34" i="21" s="1"/>
  <c r="BI33" i="21"/>
  <c r="AS33" i="21" s="1"/>
  <c r="BH33" i="21"/>
  <c r="AR33" i="21" s="1"/>
  <c r="CY24" i="21" l="1"/>
  <c r="DA24" i="21" s="1"/>
  <c r="AY69" i="21"/>
  <c r="CX24" i="21"/>
  <c r="C92" i="36"/>
  <c r="C55" i="36"/>
  <c r="C82" i="36"/>
  <c r="C72" i="36"/>
  <c r="E54" i="36"/>
  <c r="E81" i="36"/>
  <c r="E71" i="36"/>
  <c r="D72" i="36"/>
  <c r="D82" i="36"/>
  <c r="D54" i="36"/>
  <c r="D81" i="36"/>
  <c r="D71" i="36"/>
  <c r="E72" i="36"/>
  <c r="E82" i="36"/>
  <c r="C54" i="36"/>
  <c r="C63" i="36" s="1"/>
  <c r="C71" i="36"/>
  <c r="C73" i="36" s="1"/>
  <c r="E92" i="36"/>
  <c r="D92" i="36"/>
  <c r="F80" i="36"/>
  <c r="F70" i="36"/>
  <c r="BY24" i="21"/>
  <c r="CA24" i="21" s="1"/>
  <c r="AY112" i="21"/>
  <c r="BX24" i="21"/>
  <c r="AY97" i="21"/>
  <c r="AY17" i="21"/>
  <c r="AY20" i="21"/>
  <c r="AY45" i="21"/>
  <c r="AY41" i="21"/>
  <c r="AY105" i="21"/>
  <c r="AY19" i="21"/>
  <c r="AY21" i="21"/>
  <c r="AY38" i="21"/>
  <c r="AY65" i="21"/>
  <c r="AY103" i="21"/>
  <c r="AY82" i="21"/>
  <c r="AY35" i="21"/>
  <c r="AY76" i="21"/>
  <c r="AY83" i="21"/>
  <c r="AY36" i="21"/>
  <c r="AY29" i="21"/>
  <c r="AY94" i="21"/>
  <c r="AY71" i="21"/>
  <c r="AY54" i="21"/>
  <c r="AY62" i="21"/>
  <c r="AY28" i="21"/>
  <c r="AY107" i="21"/>
  <c r="AY64" i="21"/>
  <c r="AY99" i="21"/>
  <c r="AY115" i="21"/>
  <c r="AY18" i="21"/>
  <c r="AY43" i="21"/>
  <c r="AY81" i="21"/>
  <c r="AY98" i="21"/>
  <c r="AY10" i="21"/>
  <c r="AY27" i="21"/>
  <c r="AY70" i="21"/>
  <c r="AY108" i="21"/>
  <c r="AY124" i="21"/>
  <c r="AY114" i="21"/>
  <c r="AY134" i="21"/>
  <c r="AY47" i="21"/>
  <c r="AY25" i="21"/>
  <c r="AY127" i="21"/>
  <c r="AY49" i="21"/>
  <c r="AY100" i="21"/>
  <c r="AY72" i="21"/>
  <c r="AY102" i="21"/>
  <c r="AY90" i="21"/>
  <c r="AY110" i="21"/>
  <c r="AY125" i="21"/>
  <c r="AY52" i="21"/>
  <c r="AY132" i="21"/>
  <c r="AY63" i="21"/>
  <c r="AY128" i="21"/>
  <c r="AY133" i="21"/>
  <c r="AY95" i="21"/>
  <c r="AY37" i="21"/>
  <c r="AY53" i="21"/>
  <c r="AY120" i="21"/>
  <c r="AY68" i="21"/>
  <c r="AY86" i="21"/>
  <c r="AY39" i="21"/>
  <c r="AY56" i="21"/>
  <c r="AY101" i="21"/>
  <c r="AY89" i="21"/>
  <c r="AY55" i="21"/>
  <c r="AY66" i="21"/>
  <c r="AY32" i="21"/>
  <c r="AY11" i="21"/>
  <c r="AY135" i="21"/>
  <c r="AY85" i="21"/>
  <c r="AY30" i="21"/>
  <c r="AY12" i="21"/>
  <c r="AY84" i="21"/>
  <c r="AY77" i="21"/>
  <c r="AY34" i="21"/>
  <c r="AY93" i="21"/>
  <c r="AY42" i="21"/>
  <c r="AY13" i="21"/>
  <c r="AY50" i="21"/>
  <c r="AY126" i="21"/>
  <c r="AY15" i="21"/>
  <c r="AY24" i="21"/>
  <c r="AY79" i="21"/>
  <c r="AY67" i="21"/>
  <c r="AY111" i="21"/>
  <c r="AY22" i="21"/>
  <c r="AY51" i="21"/>
  <c r="AY121" i="21"/>
  <c r="AY118" i="21"/>
  <c r="AY130" i="21"/>
  <c r="AY116" i="21"/>
  <c r="AY122" i="21"/>
  <c r="AY14" i="21"/>
  <c r="AY91" i="21"/>
  <c r="AY48" i="21"/>
  <c r="AY31" i="21"/>
  <c r="AY117" i="21"/>
  <c r="AY46" i="21"/>
  <c r="AY131" i="21"/>
  <c r="AY80" i="21"/>
  <c r="AY40" i="21"/>
  <c r="AY96" i="21"/>
  <c r="AY60" i="21"/>
  <c r="AY113" i="21"/>
  <c r="AY44" i="21"/>
  <c r="AY58" i="21"/>
  <c r="AY16" i="21"/>
  <c r="AY119" i="21"/>
  <c r="AY74" i="21"/>
  <c r="AY23" i="21"/>
  <c r="AY88" i="21"/>
  <c r="AY73" i="21"/>
  <c r="AY78" i="21"/>
  <c r="AY87" i="21"/>
  <c r="AY26" i="21"/>
  <c r="AY75" i="21"/>
  <c r="AY123" i="21"/>
  <c r="AY57" i="21"/>
  <c r="AY129" i="21"/>
  <c r="AD26" i="21"/>
  <c r="AE26" i="21"/>
  <c r="AD85" i="21"/>
  <c r="AE85" i="21"/>
  <c r="AE94" i="21"/>
  <c r="AD94" i="21"/>
  <c r="AE81" i="21"/>
  <c r="AD81" i="21"/>
  <c r="AE22" i="21"/>
  <c r="AD22" i="21"/>
  <c r="AD116" i="21"/>
  <c r="AE116" i="21"/>
  <c r="AE38" i="21"/>
  <c r="AD38" i="21"/>
  <c r="AD92" i="21"/>
  <c r="AE92" i="21"/>
  <c r="AE54" i="21"/>
  <c r="AD54" i="21"/>
  <c r="AE126" i="21"/>
  <c r="AD126" i="21"/>
  <c r="AD103" i="21"/>
  <c r="AE103" i="21"/>
  <c r="AE56" i="21"/>
  <c r="AD56" i="21"/>
  <c r="AE67" i="21"/>
  <c r="AD67" i="21"/>
  <c r="AD119" i="21"/>
  <c r="AE119" i="21"/>
  <c r="AE72" i="21"/>
  <c r="AD72" i="21"/>
  <c r="AD42" i="21"/>
  <c r="AE42" i="21"/>
  <c r="AD45" i="21"/>
  <c r="AE45" i="21"/>
  <c r="AE107" i="21"/>
  <c r="AD107" i="21"/>
  <c r="D45" i="36"/>
  <c r="AE99" i="21"/>
  <c r="AD99" i="21"/>
  <c r="AW59" i="21"/>
  <c r="AD25" i="21"/>
  <c r="AE25" i="21"/>
  <c r="AD82" i="21"/>
  <c r="AE82" i="21"/>
  <c r="AD17" i="21"/>
  <c r="AE17" i="21"/>
  <c r="AE91" i="21"/>
  <c r="AD91" i="21"/>
  <c r="AD39" i="21"/>
  <c r="AE39" i="21"/>
  <c r="AE123" i="21"/>
  <c r="AD123" i="21"/>
  <c r="AE27" i="21"/>
  <c r="AD27" i="21"/>
  <c r="AD58" i="21"/>
  <c r="AE58" i="21"/>
  <c r="AD61" i="21"/>
  <c r="AE61" i="21"/>
  <c r="AD12" i="21"/>
  <c r="AE12" i="21"/>
  <c r="AD77" i="21"/>
  <c r="AE77" i="21"/>
  <c r="AD117" i="21"/>
  <c r="AE117" i="21"/>
  <c r="AE120" i="21"/>
  <c r="AD120" i="21"/>
  <c r="AE115" i="21"/>
  <c r="AD115" i="21"/>
  <c r="AD20" i="21"/>
  <c r="AE20" i="21"/>
  <c r="AD47" i="21"/>
  <c r="AE47" i="21"/>
  <c r="AE48" i="21"/>
  <c r="AD48" i="21"/>
  <c r="AD10" i="21"/>
  <c r="AE10" i="21"/>
  <c r="AD95" i="21"/>
  <c r="AE95" i="21"/>
  <c r="AE30" i="21"/>
  <c r="AD30" i="21"/>
  <c r="AE96" i="21"/>
  <c r="AD96" i="21"/>
  <c r="AD68" i="21"/>
  <c r="AE68" i="21"/>
  <c r="AE75" i="21"/>
  <c r="AD75" i="21"/>
  <c r="AD108" i="21"/>
  <c r="AE108" i="21"/>
  <c r="AD133" i="21"/>
  <c r="AE133" i="21"/>
  <c r="AE78" i="21"/>
  <c r="AD78" i="21"/>
  <c r="AE102" i="21"/>
  <c r="AD102" i="21"/>
  <c r="AD124" i="21"/>
  <c r="AE124" i="21"/>
  <c r="AD15" i="21"/>
  <c r="AE15" i="21"/>
  <c r="AE35" i="21"/>
  <c r="AD35" i="21"/>
  <c r="AE49" i="21"/>
  <c r="AD49" i="21"/>
  <c r="AD101" i="21"/>
  <c r="AE101" i="21"/>
  <c r="AE11" i="21"/>
  <c r="AD11" i="21"/>
  <c r="AD84" i="21"/>
  <c r="AE84" i="21"/>
  <c r="AE43" i="21"/>
  <c r="AD43" i="21"/>
  <c r="AE80" i="21"/>
  <c r="AD80" i="21"/>
  <c r="AD66" i="21"/>
  <c r="AE66" i="21"/>
  <c r="AD37" i="21"/>
  <c r="AE37" i="21"/>
  <c r="AE62" i="21"/>
  <c r="AD62" i="21"/>
  <c r="AD122" i="21"/>
  <c r="AE122" i="21"/>
  <c r="AD36" i="21"/>
  <c r="AE36" i="21"/>
  <c r="AD60" i="21"/>
  <c r="AE60" i="21"/>
  <c r="AD74" i="21"/>
  <c r="AE74" i="21"/>
  <c r="AE46" i="21"/>
  <c r="AD46" i="21"/>
  <c r="AD79" i="21"/>
  <c r="AE79" i="21"/>
  <c r="CA109" i="21"/>
  <c r="AD63" i="21"/>
  <c r="AE63" i="21"/>
  <c r="AE88" i="21"/>
  <c r="AD88" i="21"/>
  <c r="AE51" i="21"/>
  <c r="AD51" i="21"/>
  <c r="AD98" i="21"/>
  <c r="AE98" i="21"/>
  <c r="AE65" i="21"/>
  <c r="AD65" i="21"/>
  <c r="AE105" i="21"/>
  <c r="AD105" i="21"/>
  <c r="AE97" i="21"/>
  <c r="AD97" i="21"/>
  <c r="AD50" i="21"/>
  <c r="AE50" i="21"/>
  <c r="AE16" i="21"/>
  <c r="AD16" i="21"/>
  <c r="AD34" i="21"/>
  <c r="AE34" i="21"/>
  <c r="AE59" i="21"/>
  <c r="AD59" i="21"/>
  <c r="AD55" i="21"/>
  <c r="AE55" i="21"/>
  <c r="AE129" i="21"/>
  <c r="AD129" i="21"/>
  <c r="AD69" i="21"/>
  <c r="AE69" i="21"/>
  <c r="AE57" i="21"/>
  <c r="AD57" i="21"/>
  <c r="AD23" i="21"/>
  <c r="AE23" i="21"/>
  <c r="AE128" i="21"/>
  <c r="AD128" i="21"/>
  <c r="AY106" i="21"/>
  <c r="AD114" i="21"/>
  <c r="AE114" i="21"/>
  <c r="AE112" i="21"/>
  <c r="AD112" i="21"/>
  <c r="AY109" i="21"/>
  <c r="AD100" i="21"/>
  <c r="AE100" i="21"/>
  <c r="AE64" i="21"/>
  <c r="AD64" i="21"/>
  <c r="AE134" i="21"/>
  <c r="AD134" i="21"/>
  <c r="AE14" i="21"/>
  <c r="AD14" i="21"/>
  <c r="AY104" i="21"/>
  <c r="AD135" i="21"/>
  <c r="AE135" i="21"/>
  <c r="AD132" i="21"/>
  <c r="AE132" i="21"/>
  <c r="AE32" i="21"/>
  <c r="AD32" i="21"/>
  <c r="AE113" i="21"/>
  <c r="AD113" i="21"/>
  <c r="AD28" i="21"/>
  <c r="AE28" i="21"/>
  <c r="AE70" i="21"/>
  <c r="AD70" i="21"/>
  <c r="AD71" i="21"/>
  <c r="AE71" i="21"/>
  <c r="AE24" i="21"/>
  <c r="AD24" i="21"/>
  <c r="AD130" i="21"/>
  <c r="AE130" i="21"/>
  <c r="AE73" i="21"/>
  <c r="AD73" i="21"/>
  <c r="AD18" i="21"/>
  <c r="AE18" i="21"/>
  <c r="AY61" i="21"/>
  <c r="AE118" i="21"/>
  <c r="AD118" i="21"/>
  <c r="AE83" i="21"/>
  <c r="AD83" i="21"/>
  <c r="AE121" i="21"/>
  <c r="AD121" i="21"/>
  <c r="AD44" i="21"/>
  <c r="AE44" i="21"/>
  <c r="AE41" i="21"/>
  <c r="AD41" i="21"/>
  <c r="AD125" i="21"/>
  <c r="AE125" i="21"/>
  <c r="AE131" i="21"/>
  <c r="AD131" i="21"/>
  <c r="AD93" i="21"/>
  <c r="AE93" i="21"/>
  <c r="AY59" i="21"/>
  <c r="AD90" i="21"/>
  <c r="AE90" i="21"/>
  <c r="AD87" i="21"/>
  <c r="AE87" i="21"/>
  <c r="AE40" i="21"/>
  <c r="AD40" i="21"/>
  <c r="AE89" i="21"/>
  <c r="AD89" i="21"/>
  <c r="AE110" i="21"/>
  <c r="AD110" i="21"/>
  <c r="AD111" i="21"/>
  <c r="AE111" i="21"/>
  <c r="AD31" i="21"/>
  <c r="AE31" i="21"/>
  <c r="AD13" i="21"/>
  <c r="AE13" i="21"/>
  <c r="AD21" i="21"/>
  <c r="AE21" i="21"/>
  <c r="AD127" i="21"/>
  <c r="AE127" i="21"/>
  <c r="AD52" i="21"/>
  <c r="AE52" i="21"/>
  <c r="AD29" i="21"/>
  <c r="AE29" i="21"/>
  <c r="AD76" i="21"/>
  <c r="AE76" i="21"/>
  <c r="AE86" i="21"/>
  <c r="AD86" i="21"/>
  <c r="AE19" i="21"/>
  <c r="AD19" i="21"/>
  <c r="AT9" i="21"/>
  <c r="AY9" i="21" s="1"/>
  <c r="C46" i="36"/>
  <c r="BX33" i="21"/>
  <c r="S53" i="21"/>
  <c r="AX28" i="21"/>
  <c r="S104" i="21"/>
  <c r="BX53" i="21"/>
  <c r="BY53" i="21"/>
  <c r="CA53" i="21" s="1"/>
  <c r="CV53" i="21"/>
  <c r="Y53" i="21"/>
  <c r="BY33" i="21"/>
  <c r="CA33" i="21" s="1"/>
  <c r="Y33" i="21"/>
  <c r="AE33" i="21" s="1"/>
  <c r="AA33" i="21"/>
  <c r="AC53" i="21"/>
  <c r="AW105" i="21"/>
  <c r="V33" i="21"/>
  <c r="AB53" i="21"/>
  <c r="T33" i="21"/>
  <c r="T53" i="21"/>
  <c r="AB33" i="21"/>
  <c r="AA104" i="21"/>
  <c r="U33" i="21"/>
  <c r="AC33" i="21"/>
  <c r="AU33" i="21"/>
  <c r="AX33" i="21" s="1"/>
  <c r="Z33" i="21"/>
  <c r="AW101" i="21"/>
  <c r="AW89" i="21"/>
  <c r="AW18" i="21"/>
  <c r="AW35" i="21"/>
  <c r="AW78" i="21"/>
  <c r="AX62" i="21"/>
  <c r="AW126" i="21"/>
  <c r="AX23" i="21"/>
  <c r="AW36" i="21"/>
  <c r="AX65" i="21"/>
  <c r="AX19" i="21"/>
  <c r="AW16" i="21"/>
  <c r="AW41" i="21"/>
  <c r="AW15" i="21"/>
  <c r="AW98" i="21"/>
  <c r="AX64" i="21"/>
  <c r="AW109" i="21"/>
  <c r="AW51" i="21"/>
  <c r="AX112" i="21"/>
  <c r="AX119" i="21"/>
  <c r="AW57" i="21"/>
  <c r="AW112" i="21"/>
  <c r="AX134" i="21"/>
  <c r="AW29" i="21"/>
  <c r="AX109" i="21"/>
  <c r="AX123" i="21"/>
  <c r="AW12" i="21"/>
  <c r="AW97" i="21"/>
  <c r="AX14" i="21"/>
  <c r="AW94" i="21"/>
  <c r="AW30" i="21"/>
  <c r="AX45" i="21"/>
  <c r="AX27" i="21"/>
  <c r="AX37" i="21"/>
  <c r="AW119" i="21"/>
  <c r="BX109" i="21"/>
  <c r="AX73" i="21"/>
  <c r="AX108" i="21"/>
  <c r="AX99" i="21"/>
  <c r="AX121" i="21"/>
  <c r="AW127" i="21"/>
  <c r="AX68" i="21"/>
  <c r="AX29" i="21"/>
  <c r="AW14" i="21"/>
  <c r="AW90" i="21"/>
  <c r="AW123" i="21"/>
  <c r="AW44" i="21"/>
  <c r="AW27" i="21"/>
  <c r="AX83" i="21"/>
  <c r="AW63" i="21"/>
  <c r="AX10" i="21"/>
  <c r="AW49" i="21"/>
  <c r="AW24" i="21"/>
  <c r="AX72" i="21"/>
  <c r="AX100" i="21"/>
  <c r="AW56" i="21"/>
  <c r="AX42" i="21"/>
  <c r="AX50" i="21"/>
  <c r="AW21" i="21"/>
  <c r="AX126" i="21"/>
  <c r="AX117" i="21"/>
  <c r="V109" i="21"/>
  <c r="AW19" i="21"/>
  <c r="AW10" i="21"/>
  <c r="AW85" i="21"/>
  <c r="AW64" i="21"/>
  <c r="AX56" i="21"/>
  <c r="AW117" i="21"/>
  <c r="AW111" i="21"/>
  <c r="AW115" i="21"/>
  <c r="AX106" i="21"/>
  <c r="AW72" i="21"/>
  <c r="AW134" i="21"/>
  <c r="AX43" i="21"/>
  <c r="AX81" i="21"/>
  <c r="AX88" i="21"/>
  <c r="AX70" i="21"/>
  <c r="AX114" i="21"/>
  <c r="AX18" i="21"/>
  <c r="AX96" i="21"/>
  <c r="R9" i="21"/>
  <c r="BS9" i="21"/>
  <c r="BW9" i="21" s="1"/>
  <c r="D55" i="36" s="1"/>
  <c r="AX59" i="21"/>
  <c r="AX78" i="21"/>
  <c r="AW86" i="21"/>
  <c r="V104" i="21"/>
  <c r="AW65" i="21"/>
  <c r="AW43" i="21"/>
  <c r="AW96" i="21"/>
  <c r="AX49" i="21"/>
  <c r="AW88" i="21"/>
  <c r="AW73" i="21"/>
  <c r="AW50" i="21"/>
  <c r="AW93" i="21"/>
  <c r="AX101" i="21"/>
  <c r="AW42" i="21"/>
  <c r="AX58" i="21"/>
  <c r="AW17" i="21"/>
  <c r="AW26" i="21"/>
  <c r="AX51" i="21"/>
  <c r="AX131" i="21"/>
  <c r="AW121" i="21"/>
  <c r="AX118" i="21"/>
  <c r="AX57" i="21"/>
  <c r="AX11" i="21"/>
  <c r="AW55" i="21"/>
  <c r="AW135" i="21"/>
  <c r="AW120" i="21"/>
  <c r="AW116" i="21"/>
  <c r="AW122" i="21"/>
  <c r="AW79" i="21"/>
  <c r="BY104" i="21"/>
  <c r="CA104" i="21" s="1"/>
  <c r="Z104" i="21"/>
  <c r="AX104" i="21"/>
  <c r="S109" i="21"/>
  <c r="AX125" i="21"/>
  <c r="AW22" i="21"/>
  <c r="AX12" i="21"/>
  <c r="AW124" i="21"/>
  <c r="AW32" i="21"/>
  <c r="AX54" i="21"/>
  <c r="AW114" i="21"/>
  <c r="AW61" i="21"/>
  <c r="AW130" i="21"/>
  <c r="AX13" i="21"/>
  <c r="AX21" i="21"/>
  <c r="AW110" i="21"/>
  <c r="AX80" i="21"/>
  <c r="AX135" i="21"/>
  <c r="AX61" i="21"/>
  <c r="AW131" i="21"/>
  <c r="AX124" i="21"/>
  <c r="AW75" i="21"/>
  <c r="Z106" i="21"/>
  <c r="AX97" i="21"/>
  <c r="AX17" i="21"/>
  <c r="AX89" i="21"/>
  <c r="AX22" i="21"/>
  <c r="AW54" i="21"/>
  <c r="AX120" i="21"/>
  <c r="AX26" i="21"/>
  <c r="AW58" i="21"/>
  <c r="AW125" i="21"/>
  <c r="AX32" i="21"/>
  <c r="AW118" i="21"/>
  <c r="AX46" i="21"/>
  <c r="AW28" i="21"/>
  <c r="AX76" i="21"/>
  <c r="AX30" i="21"/>
  <c r="AX44" i="21"/>
  <c r="AW77" i="21"/>
  <c r="AX102" i="21"/>
  <c r="AX90" i="21"/>
  <c r="AW39" i="21"/>
  <c r="AW25" i="21"/>
  <c r="AX52" i="21"/>
  <c r="AX47" i="21"/>
  <c r="AW91" i="21"/>
  <c r="AX132" i="21"/>
  <c r="AX128" i="21"/>
  <c r="AW37" i="21"/>
  <c r="AX31" i="21"/>
  <c r="AX20" i="21"/>
  <c r="AX84" i="21"/>
  <c r="AW38" i="21"/>
  <c r="AX87" i="21"/>
  <c r="AX111" i="21"/>
  <c r="AB104" i="21"/>
  <c r="AX79" i="21"/>
  <c r="AX127" i="21"/>
  <c r="AW34" i="21"/>
  <c r="AX74" i="21"/>
  <c r="T104" i="21"/>
  <c r="BR9" i="21"/>
  <c r="BV9" i="21" s="1"/>
  <c r="AX48" i="21"/>
  <c r="AA109" i="21"/>
  <c r="AW20" i="21"/>
  <c r="AW47" i="21"/>
  <c r="AW31" i="21"/>
  <c r="AX130" i="21"/>
  <c r="AW99" i="21"/>
  <c r="AW13" i="21"/>
  <c r="AX122" i="21"/>
  <c r="AW87" i="21"/>
  <c r="AW45" i="21"/>
  <c r="AX110" i="21"/>
  <c r="AX91" i="21"/>
  <c r="AX116" i="21"/>
  <c r="Y109" i="21"/>
  <c r="AW133" i="21"/>
  <c r="AC104" i="21"/>
  <c r="AX38" i="21"/>
  <c r="AX34" i="21"/>
  <c r="AW84" i="21"/>
  <c r="AX77" i="21"/>
  <c r="AX25" i="21"/>
  <c r="AW83" i="21"/>
  <c r="AX24" i="21"/>
  <c r="AW102" i="21"/>
  <c r="AW11" i="21"/>
  <c r="AW113" i="21"/>
  <c r="AX39" i="21"/>
  <c r="AW76" i="21"/>
  <c r="BY106" i="21"/>
  <c r="CA106" i="21" s="1"/>
  <c r="AX94" i="21"/>
  <c r="Y104" i="21"/>
  <c r="AX55" i="21"/>
  <c r="AW70" i="21"/>
  <c r="AW62" i="21"/>
  <c r="AX66" i="21"/>
  <c r="AW95" i="21"/>
  <c r="AB106" i="21"/>
  <c r="AX95" i="21"/>
  <c r="AW67" i="21"/>
  <c r="AX40" i="21"/>
  <c r="AW69" i="21"/>
  <c r="AX60" i="21"/>
  <c r="AX92" i="21"/>
  <c r="AX85" i="21"/>
  <c r="AW100" i="21"/>
  <c r="S106" i="21"/>
  <c r="AX98" i="21"/>
  <c r="AW53" i="21"/>
  <c r="AX35" i="21"/>
  <c r="AW71" i="21"/>
  <c r="AW103" i="21"/>
  <c r="AW129" i="21"/>
  <c r="AX115" i="21"/>
  <c r="AW107" i="21"/>
  <c r="AX86" i="21"/>
  <c r="U106" i="21"/>
  <c r="Z109" i="21"/>
  <c r="AC106" i="21"/>
  <c r="AX107" i="21"/>
  <c r="AW60" i="21"/>
  <c r="AW92" i="21"/>
  <c r="AX105" i="21"/>
  <c r="AX93" i="21"/>
  <c r="AW46" i="21"/>
  <c r="AX15" i="21"/>
  <c r="AX71" i="21"/>
  <c r="AX103" i="21"/>
  <c r="AX75" i="21"/>
  <c r="AW108" i="21"/>
  <c r="AX16" i="21"/>
  <c r="AW48" i="21"/>
  <c r="AW128" i="21"/>
  <c r="AX133" i="21"/>
  <c r="AW40" i="21"/>
  <c r="AX67" i="21"/>
  <c r="AX36" i="21"/>
  <c r="AW52" i="21"/>
  <c r="Y106" i="21"/>
  <c r="AC109" i="21"/>
  <c r="AX63" i="21"/>
  <c r="AX41" i="21"/>
  <c r="AW74" i="21"/>
  <c r="AX53" i="21"/>
  <c r="AX129" i="21"/>
  <c r="AW68" i="21"/>
  <c r="AW104" i="21"/>
  <c r="AX69" i="21"/>
  <c r="AX113" i="21"/>
  <c r="AW80" i="21"/>
  <c r="AW106" i="21"/>
  <c r="AW132" i="21"/>
  <c r="AW66" i="21"/>
  <c r="BX104" i="21"/>
  <c r="AB109" i="21"/>
  <c r="CR9" i="21"/>
  <c r="CV9" i="21" s="1"/>
  <c r="CQ9" i="21"/>
  <c r="CS9" i="21"/>
  <c r="E47" i="36" s="1"/>
  <c r="CY109" i="21"/>
  <c r="DA109" i="21" s="1"/>
  <c r="CX109" i="21"/>
  <c r="CY106" i="21"/>
  <c r="DA106" i="21" s="1"/>
  <c r="CX106" i="21"/>
  <c r="CY104" i="21"/>
  <c r="DA104" i="21" s="1"/>
  <c r="CX104" i="21"/>
  <c r="T109" i="21"/>
  <c r="T106" i="21"/>
  <c r="U104" i="21"/>
  <c r="AW23" i="21"/>
  <c r="AX82" i="21"/>
  <c r="U109" i="21"/>
  <c r="V9" i="21"/>
  <c r="AA9" i="21"/>
  <c r="X35" i="21"/>
  <c r="X41" i="21"/>
  <c r="X51" i="21"/>
  <c r="X57" i="21"/>
  <c r="X65" i="21"/>
  <c r="X71" i="21"/>
  <c r="X77" i="21"/>
  <c r="X90" i="21"/>
  <c r="X94" i="21"/>
  <c r="X96" i="21"/>
  <c r="X98" i="21"/>
  <c r="X100" i="21"/>
  <c r="X108" i="21"/>
  <c r="X37" i="21"/>
  <c r="X43" i="21"/>
  <c r="X47" i="21"/>
  <c r="X53" i="21"/>
  <c r="X61" i="21"/>
  <c r="X67" i="21"/>
  <c r="X79" i="21"/>
  <c r="X33" i="21"/>
  <c r="X39" i="21"/>
  <c r="X45" i="21"/>
  <c r="X49" i="21"/>
  <c r="X55" i="21"/>
  <c r="X59" i="21"/>
  <c r="X63" i="21"/>
  <c r="X69" i="21"/>
  <c r="X73" i="21"/>
  <c r="X75" i="21"/>
  <c r="X92" i="21"/>
  <c r="X34" i="21"/>
  <c r="X36" i="21"/>
  <c r="X38" i="21"/>
  <c r="X40" i="21"/>
  <c r="X42" i="21"/>
  <c r="X44" i="21"/>
  <c r="X46" i="21"/>
  <c r="X48" i="21"/>
  <c r="X50" i="21"/>
  <c r="X52" i="21"/>
  <c r="X54" i="21"/>
  <c r="X56" i="21"/>
  <c r="X58" i="21"/>
  <c r="X60" i="21"/>
  <c r="X62" i="21"/>
  <c r="X64" i="21"/>
  <c r="X66" i="21"/>
  <c r="X68" i="21"/>
  <c r="X70" i="21"/>
  <c r="X72" i="21"/>
  <c r="X74" i="21"/>
  <c r="X76" i="21"/>
  <c r="X78" i="21"/>
  <c r="X89" i="21"/>
  <c r="X91" i="21"/>
  <c r="X93" i="21"/>
  <c r="X95" i="21"/>
  <c r="X97" i="21"/>
  <c r="X99" i="21"/>
  <c r="X101" i="21"/>
  <c r="X107" i="21"/>
  <c r="X110" i="21"/>
  <c r="W105" i="21"/>
  <c r="W102" i="21"/>
  <c r="W41" i="21"/>
  <c r="W47" i="21"/>
  <c r="W49" i="21"/>
  <c r="W51" i="21"/>
  <c r="W53" i="21"/>
  <c r="W55" i="21"/>
  <c r="W57" i="21"/>
  <c r="W59" i="21"/>
  <c r="W61" i="21"/>
  <c r="W63" i="21"/>
  <c r="W65" i="21"/>
  <c r="W67" i="21"/>
  <c r="W69" i="21"/>
  <c r="W71" i="21"/>
  <c r="W73" i="21"/>
  <c r="W75" i="21"/>
  <c r="W77" i="21"/>
  <c r="W79" i="21"/>
  <c r="W90" i="21"/>
  <c r="W92" i="21"/>
  <c r="W94" i="21"/>
  <c r="W96" i="21"/>
  <c r="W98" i="21"/>
  <c r="W100" i="21"/>
  <c r="X103" i="21"/>
  <c r="W33" i="21"/>
  <c r="W39" i="21"/>
  <c r="W45" i="21"/>
  <c r="W103" i="21"/>
  <c r="W35" i="21"/>
  <c r="W37" i="21"/>
  <c r="W43" i="21"/>
  <c r="W34" i="21"/>
  <c r="W36" i="21"/>
  <c r="W38" i="21"/>
  <c r="W40" i="21"/>
  <c r="W42" i="21"/>
  <c r="W44" i="21"/>
  <c r="W46" i="21"/>
  <c r="W48" i="21"/>
  <c r="W50" i="21"/>
  <c r="W52" i="21"/>
  <c r="W54" i="21"/>
  <c r="W56" i="21"/>
  <c r="W58" i="21"/>
  <c r="W60" i="21"/>
  <c r="W62" i="21"/>
  <c r="W64" i="21"/>
  <c r="W66" i="21"/>
  <c r="W68" i="21"/>
  <c r="W70" i="21"/>
  <c r="W72" i="21"/>
  <c r="W74" i="21"/>
  <c r="W76" i="21"/>
  <c r="W78" i="21"/>
  <c r="W89" i="21"/>
  <c r="W91" i="21"/>
  <c r="W93" i="21"/>
  <c r="W95" i="21"/>
  <c r="W97" i="21"/>
  <c r="W99" i="21"/>
  <c r="W101" i="21"/>
  <c r="X105" i="21"/>
  <c r="X102" i="21"/>
  <c r="W107" i="21"/>
  <c r="W108" i="21"/>
  <c r="W110" i="21"/>
  <c r="W111" i="21"/>
  <c r="X111" i="21"/>
  <c r="F92" i="36" l="1"/>
  <c r="E94" i="36"/>
  <c r="C56" i="36"/>
  <c r="C64" i="36"/>
  <c r="D93" i="36"/>
  <c r="D94" i="36"/>
  <c r="E93" i="36"/>
  <c r="C93" i="36"/>
  <c r="C95" i="36"/>
  <c r="C94" i="36"/>
  <c r="F72" i="36"/>
  <c r="F82" i="36"/>
  <c r="F81" i="36"/>
  <c r="C84" i="36"/>
  <c r="C83" i="36"/>
  <c r="E74" i="36"/>
  <c r="E73" i="36"/>
  <c r="E95" i="36"/>
  <c r="F71" i="36"/>
  <c r="C74" i="36"/>
  <c r="E84" i="36"/>
  <c r="E83" i="36"/>
  <c r="D74" i="36"/>
  <c r="D73" i="36"/>
  <c r="D95" i="36"/>
  <c r="D83" i="36"/>
  <c r="D84" i="36"/>
  <c r="AX9" i="21"/>
  <c r="AW9" i="21"/>
  <c r="C57" i="36"/>
  <c r="AD33" i="21"/>
  <c r="S9" i="21"/>
  <c r="AD106" i="21"/>
  <c r="AE106" i="21"/>
  <c r="AE104" i="21"/>
  <c r="AD104" i="21"/>
  <c r="AD109" i="21"/>
  <c r="AE109" i="21"/>
  <c r="AD53" i="21"/>
  <c r="AE53" i="21"/>
  <c r="AY33" i="21"/>
  <c r="Y9" i="21"/>
  <c r="D64" i="36"/>
  <c r="D56" i="36"/>
  <c r="D57" i="36"/>
  <c r="D63" i="36"/>
  <c r="C48" i="36"/>
  <c r="C49" i="36"/>
  <c r="E45" i="36"/>
  <c r="F45" i="36" s="1"/>
  <c r="E46" i="36"/>
  <c r="D47" i="36"/>
  <c r="D46" i="36"/>
  <c r="CX53" i="21"/>
  <c r="CY53" i="21"/>
  <c r="DA53" i="21" s="1"/>
  <c r="AW33" i="21"/>
  <c r="Z9" i="21"/>
  <c r="U9" i="21"/>
  <c r="T9" i="21"/>
  <c r="AB9" i="21"/>
  <c r="AC9" i="21"/>
  <c r="CW9" i="21"/>
  <c r="BY9" i="21"/>
  <c r="CA9" i="21" s="1"/>
  <c r="BX9" i="21"/>
  <c r="BD82" i="21"/>
  <c r="BD81" i="21"/>
  <c r="F95" i="36" l="1"/>
  <c r="F73" i="36"/>
  <c r="F83" i="36"/>
  <c r="F53" i="36"/>
  <c r="C103" i="36" s="1"/>
  <c r="AD9" i="21"/>
  <c r="AE9" i="21"/>
  <c r="D48" i="36"/>
  <c r="D49" i="36"/>
  <c r="E48" i="36"/>
  <c r="E49" i="36"/>
  <c r="F54" i="36"/>
  <c r="F46" i="36"/>
  <c r="E55" i="36"/>
  <c r="F55" i="36" s="1"/>
  <c r="F47" i="36"/>
  <c r="CY9" i="21"/>
  <c r="DA9" i="21" s="1"/>
  <c r="CX9" i="21"/>
  <c r="AB81" i="21"/>
  <c r="AW81" i="21"/>
  <c r="AB82" i="21"/>
  <c r="AW82" i="21"/>
  <c r="DH23" i="21"/>
  <c r="CT23" i="21" s="1"/>
  <c r="DI23" i="21"/>
  <c r="CU23" i="21" s="1"/>
  <c r="DH32" i="21"/>
  <c r="CT32" i="21" s="1"/>
  <c r="DI32" i="21"/>
  <c r="CU32" i="21" s="1"/>
  <c r="DH16" i="21"/>
  <c r="CT16" i="21" s="1"/>
  <c r="DI16" i="21"/>
  <c r="CU16" i="21" s="1"/>
  <c r="CU121" i="21"/>
  <c r="DH24" i="21"/>
  <c r="CT24" i="21" s="1"/>
  <c r="DI24" i="21"/>
  <c r="CU24" i="21" s="1"/>
  <c r="CU120" i="21"/>
  <c r="AR113" i="21"/>
  <c r="AS113" i="21"/>
  <c r="AS126" i="21"/>
  <c r="AR126" i="21"/>
  <c r="BH31" i="21"/>
  <c r="AR31" i="21" s="1"/>
  <c r="BI31" i="21"/>
  <c r="AS31" i="21" s="1"/>
  <c r="AR117" i="21"/>
  <c r="AS117" i="21"/>
  <c r="AS118" i="21"/>
  <c r="AR118" i="21"/>
  <c r="BI27" i="21"/>
  <c r="AS27" i="21" s="1"/>
  <c r="BH27" i="21"/>
  <c r="AR27" i="21" s="1"/>
  <c r="AR129" i="21"/>
  <c r="AS129" i="21"/>
  <c r="BH29" i="21"/>
  <c r="AR29" i="21" s="1"/>
  <c r="BI29" i="21"/>
  <c r="AS29" i="21" s="1"/>
  <c r="AR125" i="21"/>
  <c r="AS125" i="21"/>
  <c r="AR131" i="21"/>
  <c r="AS112" i="21"/>
  <c r="AS114" i="21"/>
  <c r="AS133" i="21"/>
  <c r="AR116" i="21"/>
  <c r="BI23" i="21"/>
  <c r="AS23" i="21" s="1"/>
  <c r="CT135" i="21"/>
  <c r="AR124" i="21"/>
  <c r="BH28" i="21"/>
  <c r="AR28" i="21" s="1"/>
  <c r="AR119" i="21"/>
  <c r="AR127" i="21"/>
  <c r="BH30" i="21"/>
  <c r="AR30" i="21" s="1"/>
  <c r="AR115" i="21"/>
  <c r="AS130" i="21"/>
  <c r="DI25" i="21"/>
  <c r="CU25" i="21" s="1"/>
  <c r="CT134" i="21"/>
  <c r="DH13" i="21"/>
  <c r="CT13" i="21" s="1"/>
  <c r="DH26" i="21"/>
  <c r="CT26" i="21" s="1"/>
  <c r="CT120" i="21"/>
  <c r="CI20" i="21"/>
  <c r="BU20" i="21" s="1"/>
  <c r="CT121" i="21"/>
  <c r="CT123" i="21"/>
  <c r="CI14" i="21"/>
  <c r="BU14" i="21" s="1"/>
  <c r="AS132" i="21"/>
  <c r="J37" i="27" l="1"/>
  <c r="K45" i="27"/>
  <c r="J45" i="27"/>
  <c r="L37" i="27"/>
  <c r="L45" i="27"/>
  <c r="M45" i="27"/>
  <c r="P37" i="27"/>
  <c r="F64" i="36"/>
  <c r="E64" i="36"/>
  <c r="C108" i="36"/>
  <c r="C110" i="36" s="1"/>
  <c r="E56" i="36"/>
  <c r="F56" i="36" s="1"/>
  <c r="E63" i="36"/>
  <c r="F63" i="36" s="1"/>
  <c r="E57" i="36"/>
  <c r="F57" i="36" s="1"/>
  <c r="CT133" i="21"/>
  <c r="CU133" i="21"/>
  <c r="CT113" i="21"/>
  <c r="CU113" i="21"/>
  <c r="CT124" i="21"/>
  <c r="CU124" i="21"/>
  <c r="DH19" i="21"/>
  <c r="CT19" i="21" s="1"/>
  <c r="DI19" i="21"/>
  <c r="CU19" i="21" s="1"/>
  <c r="CT127" i="21"/>
  <c r="CU127" i="21"/>
  <c r="DI17" i="21"/>
  <c r="CU17" i="21" s="1"/>
  <c r="DH17" i="21"/>
  <c r="CT17" i="21" s="1"/>
  <c r="DH20" i="21"/>
  <c r="CT20" i="21" s="1"/>
  <c r="DI20" i="21"/>
  <c r="CU20" i="21" s="1"/>
  <c r="CT114" i="21"/>
  <c r="CU114" i="21"/>
  <c r="CU135" i="21"/>
  <c r="CT115" i="21"/>
  <c r="CU115" i="21"/>
  <c r="DI11" i="21"/>
  <c r="CU11" i="21" s="1"/>
  <c r="DH11" i="21"/>
  <c r="CT11" i="21" s="1"/>
  <c r="DH10" i="21"/>
  <c r="CT10" i="21" s="1"/>
  <c r="DI10" i="21"/>
  <c r="CU10" i="21" s="1"/>
  <c r="AR133" i="21"/>
  <c r="AS115" i="21"/>
  <c r="CT128" i="21"/>
  <c r="CU128" i="21"/>
  <c r="CT125" i="21"/>
  <c r="CU125" i="21"/>
  <c r="DH28" i="21"/>
  <c r="CT28" i="21" s="1"/>
  <c r="DI28" i="21"/>
  <c r="CU28" i="21" s="1"/>
  <c r="CT116" i="21"/>
  <c r="CU116" i="21"/>
  <c r="DH27" i="21"/>
  <c r="CT27" i="21" s="1"/>
  <c r="DI27" i="21"/>
  <c r="CU27" i="21" s="1"/>
  <c r="DH14" i="21"/>
  <c r="CT14" i="21" s="1"/>
  <c r="DI14" i="21"/>
  <c r="CU14" i="21" s="1"/>
  <c r="CT119" i="21"/>
  <c r="CU119" i="21"/>
  <c r="DH18" i="21"/>
  <c r="CT18" i="21" s="1"/>
  <c r="DI18" i="21"/>
  <c r="CU18" i="21" s="1"/>
  <c r="CT126" i="21"/>
  <c r="CU126" i="21"/>
  <c r="DH12" i="21"/>
  <c r="CT12" i="21" s="1"/>
  <c r="DI12" i="21"/>
  <c r="CU12" i="21" s="1"/>
  <c r="CU132" i="21"/>
  <c r="CT132" i="21"/>
  <c r="CU118" i="21"/>
  <c r="CT118" i="21"/>
  <c r="DI21" i="21"/>
  <c r="CU21" i="21" s="1"/>
  <c r="DH21" i="21"/>
  <c r="CT21" i="21" s="1"/>
  <c r="BI30" i="21"/>
  <c r="AS30" i="21" s="1"/>
  <c r="AR130" i="21"/>
  <c r="CU123" i="21"/>
  <c r="DH25" i="21"/>
  <c r="CT25" i="21" s="1"/>
  <c r="CU134" i="21"/>
  <c r="DI26" i="21"/>
  <c r="CU26" i="21" s="1"/>
  <c r="DI13" i="21"/>
  <c r="CU13" i="21" s="1"/>
  <c r="CT112" i="21"/>
  <c r="CU112" i="21"/>
  <c r="CT130" i="21"/>
  <c r="CU130" i="21"/>
  <c r="CT117" i="21"/>
  <c r="CU117" i="21"/>
  <c r="DI15" i="21"/>
  <c r="CU15" i="21" s="1"/>
  <c r="DH15" i="21"/>
  <c r="CT15" i="21" s="1"/>
  <c r="AR112" i="21"/>
  <c r="DH31" i="21"/>
  <c r="CT31" i="21" s="1"/>
  <c r="DI31" i="21"/>
  <c r="CU31" i="21" s="1"/>
  <c r="CT129" i="21"/>
  <c r="CU129" i="21"/>
  <c r="DH30" i="21"/>
  <c r="CT30" i="21" s="1"/>
  <c r="DI30" i="21"/>
  <c r="CU30" i="21" s="1"/>
  <c r="DI29" i="21"/>
  <c r="CU29" i="21" s="1"/>
  <c r="DH29" i="21"/>
  <c r="CT29" i="21" s="1"/>
  <c r="DH22" i="21"/>
  <c r="CT22" i="21" s="1"/>
  <c r="DI22" i="21"/>
  <c r="CU22" i="21" s="1"/>
  <c r="CT122" i="21"/>
  <c r="CU122" i="21"/>
  <c r="CT131" i="21"/>
  <c r="CU131" i="21"/>
  <c r="AS119" i="21"/>
  <c r="DI9" i="21"/>
  <c r="CU9" i="21" s="1"/>
  <c r="BT129" i="21"/>
  <c r="BU129" i="21"/>
  <c r="BT117" i="21"/>
  <c r="BU117" i="21"/>
  <c r="CH28" i="21"/>
  <c r="BT28" i="21" s="1"/>
  <c r="CI28" i="21"/>
  <c r="BU28" i="21" s="1"/>
  <c r="BH10" i="21"/>
  <c r="AR10" i="21" s="1"/>
  <c r="BI10" i="21"/>
  <c r="AS10" i="21" s="1"/>
  <c r="BT116" i="21"/>
  <c r="BU116" i="21"/>
  <c r="CH27" i="21"/>
  <c r="BT27" i="21" s="1"/>
  <c r="CI27" i="21"/>
  <c r="BU27" i="21" s="1"/>
  <c r="CH15" i="21"/>
  <c r="BT15" i="21" s="1"/>
  <c r="CI15" i="21"/>
  <c r="BU15" i="21" s="1"/>
  <c r="BT135" i="21"/>
  <c r="BU135" i="21"/>
  <c r="BT123" i="21"/>
  <c r="BU123" i="21"/>
  <c r="CH21" i="21"/>
  <c r="BT21" i="21" s="1"/>
  <c r="CI21" i="21"/>
  <c r="BU21" i="21" s="1"/>
  <c r="BT118" i="21"/>
  <c r="BU118" i="21"/>
  <c r="CH11" i="21"/>
  <c r="BT11" i="21" s="1"/>
  <c r="CI11" i="21"/>
  <c r="BU11" i="21" s="1"/>
  <c r="BT130" i="21"/>
  <c r="BU130" i="21"/>
  <c r="BH12" i="21"/>
  <c r="AR12" i="21" s="1"/>
  <c r="BI12" i="21"/>
  <c r="AS12" i="21" s="1"/>
  <c r="CH31" i="21"/>
  <c r="BT31" i="21" s="1"/>
  <c r="CI31" i="21"/>
  <c r="BU31" i="21" s="1"/>
  <c r="CH17" i="21"/>
  <c r="BT17" i="21" s="1"/>
  <c r="CI17" i="21"/>
  <c r="BU17" i="21" s="1"/>
  <c r="BH24" i="21"/>
  <c r="AR24" i="21" s="1"/>
  <c r="BI24" i="21"/>
  <c r="AS24" i="21" s="1"/>
  <c r="AS122" i="21"/>
  <c r="AR122" i="21"/>
  <c r="BI25" i="21"/>
  <c r="AS25" i="21" s="1"/>
  <c r="BH25" i="21"/>
  <c r="AR25" i="21" s="1"/>
  <c r="AR132" i="21"/>
  <c r="BU122" i="21"/>
  <c r="BT125" i="21"/>
  <c r="BU125" i="21"/>
  <c r="X125" i="21" s="1"/>
  <c r="CH24" i="21"/>
  <c r="BT24" i="21" s="1"/>
  <c r="CI24" i="21"/>
  <c r="BU24" i="21" s="1"/>
  <c r="BI19" i="21"/>
  <c r="AS19" i="21" s="1"/>
  <c r="BH19" i="21"/>
  <c r="AR19" i="21" s="1"/>
  <c r="BT119" i="21"/>
  <c r="BU119" i="21"/>
  <c r="CH30" i="21"/>
  <c r="BT30" i="21" s="1"/>
  <c r="CI30" i="21"/>
  <c r="BU30" i="21" s="1"/>
  <c r="CH18" i="21"/>
  <c r="BT18" i="21" s="1"/>
  <c r="CI18" i="21"/>
  <c r="BU18" i="21" s="1"/>
  <c r="CH22" i="21"/>
  <c r="BT22" i="21" s="1"/>
  <c r="CI22" i="21"/>
  <c r="BU22" i="21" s="1"/>
  <c r="BT128" i="21"/>
  <c r="BU128" i="21"/>
  <c r="BH14" i="21"/>
  <c r="AR14" i="21" s="1"/>
  <c r="BI14" i="21"/>
  <c r="AS14" i="21" s="1"/>
  <c r="AR123" i="21"/>
  <c r="AS123" i="21"/>
  <c r="BH20" i="21"/>
  <c r="AR20" i="21" s="1"/>
  <c r="BI20" i="21"/>
  <c r="AS20" i="21" s="1"/>
  <c r="CH13" i="21"/>
  <c r="BT13" i="21" s="1"/>
  <c r="CI13" i="21"/>
  <c r="BU13" i="21" s="1"/>
  <c r="BT134" i="21"/>
  <c r="BU134" i="21"/>
  <c r="AS135" i="21"/>
  <c r="AR135" i="21"/>
  <c r="BT122" i="21"/>
  <c r="CH20" i="21"/>
  <c r="BT20" i="21" s="1"/>
  <c r="CH14" i="21"/>
  <c r="BT14" i="21" s="1"/>
  <c r="BT133" i="21"/>
  <c r="BU133" i="21"/>
  <c r="BT113" i="21"/>
  <c r="BU113" i="21"/>
  <c r="CH16" i="21"/>
  <c r="BT16" i="21" s="1"/>
  <c r="CI16" i="21"/>
  <c r="BU16" i="21" s="1"/>
  <c r="BT124" i="21"/>
  <c r="BU124" i="21"/>
  <c r="BT112" i="21"/>
  <c r="BU112" i="21"/>
  <c r="BI15" i="21"/>
  <c r="AS15" i="21" s="1"/>
  <c r="BH15" i="21"/>
  <c r="AR15" i="21" s="1"/>
  <c r="BT127" i="21"/>
  <c r="BU127" i="21"/>
  <c r="CH26" i="21"/>
  <c r="BT26" i="21" s="1"/>
  <c r="CI26" i="21"/>
  <c r="BU26" i="21" s="1"/>
  <c r="BH18" i="21"/>
  <c r="AR18" i="21" s="1"/>
  <c r="BI18" i="21"/>
  <c r="AS18" i="21" s="1"/>
  <c r="BI17" i="21"/>
  <c r="AS17" i="21" s="1"/>
  <c r="BH17" i="21"/>
  <c r="AR17" i="21" s="1"/>
  <c r="CH32" i="21"/>
  <c r="BT32" i="21" s="1"/>
  <c r="CI32" i="21"/>
  <c r="BU32" i="21" s="1"/>
  <c r="BT132" i="21"/>
  <c r="BU132" i="21"/>
  <c r="AS128" i="21"/>
  <c r="AR128" i="21"/>
  <c r="BT126" i="21"/>
  <c r="BU126" i="21"/>
  <c r="AR121" i="21"/>
  <c r="AS121" i="21"/>
  <c r="AS120" i="21"/>
  <c r="AR120" i="21"/>
  <c r="BT120" i="21"/>
  <c r="BU120" i="21"/>
  <c r="BH13" i="21"/>
  <c r="AR13" i="21" s="1"/>
  <c r="BI13" i="21"/>
  <c r="AS13" i="21" s="1"/>
  <c r="AS134" i="21"/>
  <c r="AR134" i="21"/>
  <c r="BI9" i="21"/>
  <c r="AS9" i="21" s="1"/>
  <c r="AS124" i="21"/>
  <c r="CI12" i="21"/>
  <c r="BU12" i="21" s="1"/>
  <c r="AS131" i="21"/>
  <c r="BI28" i="21"/>
  <c r="AS28" i="21" s="1"/>
  <c r="CI10" i="21"/>
  <c r="BU10" i="21" s="1"/>
  <c r="AS127" i="21"/>
  <c r="AS116" i="21"/>
  <c r="AR114" i="21"/>
  <c r="BH23" i="21"/>
  <c r="AR23" i="21" s="1"/>
  <c r="CI9" i="21"/>
  <c r="BT121" i="21"/>
  <c r="BU121" i="21"/>
  <c r="BH16" i="21"/>
  <c r="AR16" i="21" s="1"/>
  <c r="BI16" i="21"/>
  <c r="AS16" i="21" s="1"/>
  <c r="CH19" i="21"/>
  <c r="BT19" i="21" s="1"/>
  <c r="CI19" i="21"/>
  <c r="BU19" i="21" s="1"/>
  <c r="BT115" i="21"/>
  <c r="W115" i="21" s="1"/>
  <c r="BU115" i="21"/>
  <c r="BI32" i="21"/>
  <c r="AS32" i="21" s="1"/>
  <c r="BH32" i="21"/>
  <c r="AR32" i="21" s="1"/>
  <c r="BH22" i="21"/>
  <c r="AR22" i="21" s="1"/>
  <c r="BI22" i="21"/>
  <c r="AS22" i="21" s="1"/>
  <c r="BI11" i="21"/>
  <c r="AS11" i="21" s="1"/>
  <c r="BH11" i="21"/>
  <c r="AR11" i="21" s="1"/>
  <c r="CH29" i="21"/>
  <c r="BT29" i="21" s="1"/>
  <c r="CI29" i="21"/>
  <c r="BU29" i="21" s="1"/>
  <c r="BH21" i="21"/>
  <c r="AR21" i="21" s="1"/>
  <c r="BI21" i="21"/>
  <c r="AS21" i="21" s="1"/>
  <c r="CH25" i="21"/>
  <c r="BT25" i="21" s="1"/>
  <c r="CI25" i="21"/>
  <c r="BU25" i="21" s="1"/>
  <c r="BT114" i="21"/>
  <c r="BU114" i="21"/>
  <c r="BH26" i="21"/>
  <c r="AR26" i="21" s="1"/>
  <c r="BI26" i="21"/>
  <c r="AS26" i="21" s="1"/>
  <c r="CH23" i="21"/>
  <c r="BT23" i="21" s="1"/>
  <c r="CI23" i="21"/>
  <c r="BU23" i="21" s="1"/>
  <c r="X23" i="21" s="1"/>
  <c r="BT131" i="21"/>
  <c r="BU131" i="21"/>
  <c r="CH12" i="21"/>
  <c r="BT12" i="21" s="1"/>
  <c r="CH10" i="21"/>
  <c r="BT10" i="21" s="1"/>
  <c r="D99" i="37" l="1"/>
  <c r="E98" i="37"/>
  <c r="D98" i="37"/>
  <c r="P49" i="27"/>
  <c r="W124" i="21"/>
  <c r="F93" i="36"/>
  <c r="C104" i="36" s="1"/>
  <c r="F94" i="36"/>
  <c r="C105" i="36" s="1"/>
  <c r="W30" i="21"/>
  <c r="X32" i="21"/>
  <c r="W119" i="21"/>
  <c r="X15" i="21"/>
  <c r="X14" i="21"/>
  <c r="W134" i="21"/>
  <c r="X31" i="21"/>
  <c r="W31" i="21"/>
  <c r="X124" i="21"/>
  <c r="X112" i="21"/>
  <c r="F48" i="36"/>
  <c r="X132" i="21"/>
  <c r="W127" i="21"/>
  <c r="W118" i="21"/>
  <c r="W26" i="21"/>
  <c r="W126" i="21"/>
  <c r="X20" i="21"/>
  <c r="X126" i="21"/>
  <c r="BU9" i="21"/>
  <c r="W22" i="21"/>
  <c r="W15" i="21"/>
  <c r="W131" i="21"/>
  <c r="X22" i="21"/>
  <c r="W27" i="21"/>
  <c r="X116" i="21"/>
  <c r="X133" i="21"/>
  <c r="W28" i="21"/>
  <c r="W21" i="21"/>
  <c r="W128" i="21"/>
  <c r="X26" i="21"/>
  <c r="X29" i="21"/>
  <c r="X16" i="21"/>
  <c r="X128" i="21"/>
  <c r="W18" i="21"/>
  <c r="W135" i="21"/>
  <c r="X123" i="21"/>
  <c r="X27" i="21"/>
  <c r="X117" i="21"/>
  <c r="W11" i="21"/>
  <c r="X28" i="21"/>
  <c r="W13" i="21"/>
  <c r="W113" i="21"/>
  <c r="X130" i="21"/>
  <c r="W129" i="21"/>
  <c r="W29" i="21"/>
  <c r="W16" i="21"/>
  <c r="X13" i="21"/>
  <c r="W17" i="21"/>
  <c r="X135" i="21"/>
  <c r="W32" i="21"/>
  <c r="X17" i="21"/>
  <c r="X24" i="21"/>
  <c r="X21" i="21"/>
  <c r="X11" i="21"/>
  <c r="X18" i="21"/>
  <c r="W23" i="21"/>
  <c r="W12" i="21"/>
  <c r="W10" i="21"/>
  <c r="W19" i="21"/>
  <c r="W25" i="21"/>
  <c r="X131" i="21"/>
  <c r="X121" i="21"/>
  <c r="W20" i="21"/>
  <c r="W14" i="21"/>
  <c r="X19" i="21"/>
  <c r="X25" i="21"/>
  <c r="W24" i="21"/>
  <c r="X115" i="21"/>
  <c r="X134" i="21"/>
  <c r="X12" i="21"/>
  <c r="X10" i="21"/>
  <c r="X30" i="21"/>
  <c r="X113" i="21"/>
  <c r="W117" i="21"/>
  <c r="X114" i="21"/>
  <c r="X118" i="21"/>
  <c r="X129" i="21"/>
  <c r="W125" i="21"/>
  <c r="W116" i="21"/>
  <c r="W121" i="21"/>
  <c r="W122" i="21"/>
  <c r="W112" i="21"/>
  <c r="W133" i="21"/>
  <c r="W130" i="21"/>
  <c r="W120" i="21"/>
  <c r="W123" i="21"/>
  <c r="W132" i="21"/>
  <c r="X122" i="21"/>
  <c r="X119" i="21"/>
  <c r="X127" i="21"/>
  <c r="W114" i="21"/>
  <c r="X120" i="21"/>
  <c r="DI82" i="21"/>
  <c r="CU82" i="21" s="1"/>
  <c r="DH82" i="21"/>
  <c r="CT82" i="21" s="1"/>
  <c r="DH81" i="21"/>
  <c r="CT81" i="21" s="1"/>
  <c r="DI81" i="21"/>
  <c r="CU81" i="21" s="1"/>
  <c r="DH80" i="21"/>
  <c r="CT80" i="21" s="1"/>
  <c r="DI80" i="21"/>
  <c r="CU80" i="21" s="1"/>
  <c r="CH82" i="21"/>
  <c r="BT82" i="21" s="1"/>
  <c r="CI82" i="21"/>
  <c r="BU82" i="21" s="1"/>
  <c r="BI82" i="21"/>
  <c r="AS82" i="21" s="1"/>
  <c r="BH82" i="21"/>
  <c r="AR82" i="21" s="1"/>
  <c r="CH81" i="21"/>
  <c r="BT81" i="21" s="1"/>
  <c r="BH81" i="21"/>
  <c r="AR81" i="21" s="1"/>
  <c r="CI81" i="21"/>
  <c r="BU81" i="21" s="1"/>
  <c r="BI81" i="21"/>
  <c r="AS81" i="21" s="1"/>
  <c r="BI80" i="21"/>
  <c r="AS80" i="21" s="1"/>
  <c r="CH80" i="21"/>
  <c r="BT80" i="21" s="1"/>
  <c r="BH80" i="21"/>
  <c r="AR80" i="21" s="1"/>
  <c r="CI80" i="21"/>
  <c r="BU80" i="21" s="1"/>
  <c r="F98" i="37" l="1"/>
  <c r="C109" i="37" s="1"/>
  <c r="F99" i="37"/>
  <c r="C110" i="37" s="1"/>
  <c r="F101" i="37"/>
  <c r="C114" i="37" s="1"/>
  <c r="C115" i="37" s="1"/>
  <c r="C106" i="36"/>
  <c r="X9" i="21"/>
  <c r="F49" i="36"/>
  <c r="W80" i="21"/>
  <c r="X82" i="21"/>
  <c r="X81" i="21"/>
  <c r="W82" i="21"/>
  <c r="X80" i="21"/>
  <c r="W81" i="21"/>
  <c r="DH86" i="21"/>
  <c r="CT86" i="21" s="1"/>
  <c r="DI86" i="21"/>
  <c r="CU86" i="21" s="1"/>
  <c r="DH87" i="21"/>
  <c r="CT87" i="21" s="1"/>
  <c r="DI87" i="21"/>
  <c r="CU87" i="21" s="1"/>
  <c r="DH83" i="21"/>
  <c r="CT83" i="21" s="1"/>
  <c r="DI83" i="21"/>
  <c r="CU83" i="21" s="1"/>
  <c r="DH88" i="21"/>
  <c r="CT88" i="21" s="1"/>
  <c r="DI88" i="21"/>
  <c r="CU88" i="21" s="1"/>
  <c r="DH85" i="21"/>
  <c r="CT85" i="21" s="1"/>
  <c r="DI85" i="21"/>
  <c r="CU85" i="21" s="1"/>
  <c r="DH84" i="21"/>
  <c r="CT84" i="21" s="1"/>
  <c r="DI84" i="21"/>
  <c r="CU84" i="21" s="1"/>
  <c r="CH85" i="21"/>
  <c r="BT85" i="21" s="1"/>
  <c r="BH85" i="21"/>
  <c r="AR85" i="21" s="1"/>
  <c r="CI85" i="21"/>
  <c r="BU85" i="21" s="1"/>
  <c r="BI85" i="21"/>
  <c r="AS85" i="21" s="1"/>
  <c r="CH87" i="21"/>
  <c r="BT87" i="21" s="1"/>
  <c r="BH87" i="21"/>
  <c r="AR87" i="21" s="1"/>
  <c r="CI87" i="21"/>
  <c r="BU87" i="21" s="1"/>
  <c r="BI87" i="21"/>
  <c r="AS87" i="21" s="1"/>
  <c r="BH84" i="21"/>
  <c r="AR84" i="21" s="1"/>
  <c r="CH84" i="21"/>
  <c r="BT84" i="21" s="1"/>
  <c r="CI84" i="21"/>
  <c r="BU84" i="21" s="1"/>
  <c r="BI84" i="21"/>
  <c r="AS84" i="21" s="1"/>
  <c r="CH83" i="21"/>
  <c r="BT83" i="21" s="1"/>
  <c r="BH83" i="21"/>
  <c r="AR83" i="21" s="1"/>
  <c r="CI83" i="21"/>
  <c r="BU83" i="21" s="1"/>
  <c r="BI83" i="21"/>
  <c r="AS83" i="21" s="1"/>
  <c r="CH86" i="21"/>
  <c r="BT86" i="21" s="1"/>
  <c r="BI86" i="21"/>
  <c r="AS86" i="21" s="1"/>
  <c r="CI86" i="21"/>
  <c r="BU86" i="21" s="1"/>
  <c r="BH86" i="21"/>
  <c r="AR86" i="21" s="1"/>
  <c r="BI88" i="21"/>
  <c r="AS88" i="21" s="1"/>
  <c r="CH88" i="21"/>
  <c r="BT88" i="21" s="1"/>
  <c r="BH88" i="21"/>
  <c r="AR88" i="21" s="1"/>
  <c r="CI88" i="21"/>
  <c r="BU88" i="21" s="1"/>
  <c r="C111" i="37" l="1"/>
  <c r="X84" i="21"/>
  <c r="X87" i="21"/>
  <c r="W83" i="21"/>
  <c r="W85" i="21"/>
  <c r="X86" i="21"/>
  <c r="W87" i="21"/>
  <c r="X88" i="21"/>
  <c r="X83" i="21"/>
  <c r="X85" i="21"/>
  <c r="W84" i="21"/>
  <c r="W86" i="21"/>
  <c r="W88" i="21"/>
  <c r="F74" i="36" l="1"/>
  <c r="F84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Sternlund Simon, PLkvtvu</author>
    <author>Tollstoy Amanda, PLee</author>
  </authors>
  <commentList>
    <comment ref="C24" authorId="0" shapeId="0" xr:uid="{A3441299-443B-4352-B3D3-39F66F175D72}">
      <text>
        <r>
          <rPr>
            <sz val="9"/>
            <color indexed="81"/>
            <rFont val="Tahoma"/>
            <family val="2"/>
          </rPr>
          <t xml:space="preserve">Omräkningshjälp från ÅDT fordon till ÅDT axelpar finns i fliken </t>
        </r>
        <r>
          <rPr>
            <i/>
            <sz val="9"/>
            <color indexed="81"/>
            <rFont val="Tahoma"/>
            <family val="2"/>
          </rPr>
          <t>Faktorer</t>
        </r>
      </text>
    </comment>
    <comment ref="C25" authorId="0" shapeId="0" xr:uid="{A978C046-84CE-4FFD-A1A2-3EBFCDE08801}">
      <text>
        <r>
          <rPr>
            <sz val="9"/>
            <color indexed="81"/>
            <rFont val="Tahoma"/>
            <family val="2"/>
          </rPr>
          <t>Vid beräkning över kalkylperioden ska ÅDT anges i 2019 års nivå; välj därför 2019</t>
        </r>
      </text>
    </comment>
    <comment ref="C28" authorId="0" shapeId="0" xr:uid="{AA4D5350-6F5A-4907-B7A9-67CC90B5DBFF}">
      <text>
        <r>
          <rPr>
            <sz val="9"/>
            <color indexed="81"/>
            <rFont val="Tahoma"/>
            <family val="2"/>
          </rPr>
          <t>För att beräkna 60-årig kalkylperiod ange 2088</t>
        </r>
      </text>
    </comment>
    <comment ref="AB36" authorId="1" shapeId="0" xr:uid="{626AC95C-94CF-457D-88C9-309926E11F70}">
      <text>
        <r>
          <rPr>
            <b/>
            <sz val="9"/>
            <color indexed="81"/>
            <rFont val="Tahoma"/>
            <family val="2"/>
          </rPr>
          <t>Tollstoy Amanda, PLee:</t>
        </r>
        <r>
          <rPr>
            <sz val="9"/>
            <color indexed="81"/>
            <rFont val="Tahoma"/>
            <family val="2"/>
          </rPr>
          <t xml:space="preserve">
ändrat från 17 till 38 men samma värde där så påverkar inte resultaten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Sternlund Simon, PLkvtvu</author>
  </authors>
  <commentList>
    <comment ref="C22" authorId="0" shapeId="0" xr:uid="{EAA54FE6-62FA-46F2-BEE0-F4516B66C437}">
      <text>
        <r>
          <rPr>
            <sz val="9"/>
            <color indexed="81"/>
            <rFont val="Tahoma"/>
            <family val="2"/>
          </rPr>
          <t xml:space="preserve">Omräkningshjälp från ÅDT fordon till ÅDT axelpar finns i fliken </t>
        </r>
        <r>
          <rPr>
            <i/>
            <sz val="9"/>
            <color indexed="81"/>
            <rFont val="Tahoma"/>
            <family val="2"/>
          </rPr>
          <t>Faktorer</t>
        </r>
      </text>
    </comment>
    <comment ref="C23" authorId="0" shapeId="0" xr:uid="{80CF47F0-A740-4FD3-AE93-A49E0BDDC2B0}">
      <text>
        <r>
          <rPr>
            <sz val="9"/>
            <color indexed="81"/>
            <rFont val="Tahoma"/>
            <family val="2"/>
          </rPr>
          <t>Ange summan av korsningens inkommande ÅDT på primärvägens två vägben, se Figur 1.</t>
        </r>
      </text>
    </comment>
    <comment ref="C24" authorId="0" shapeId="0" xr:uid="{EDCA91D2-C5A3-425B-8CF2-9C1A223833C8}">
      <text>
        <r>
          <rPr>
            <sz val="9"/>
            <color indexed="81"/>
            <rFont val="Tahoma"/>
            <family val="2"/>
          </rPr>
          <t>Ange inkommande ÅDT på ena sekundärvägbenet (endast en riktning)</t>
        </r>
      </text>
    </comment>
    <comment ref="C25" authorId="0" shapeId="0" xr:uid="{BDF7AFD3-D838-4D8B-AFC6-26B6E1702FA5}">
      <text>
        <r>
          <rPr>
            <sz val="9"/>
            <color indexed="81"/>
            <rFont val="Tahoma"/>
            <family val="2"/>
          </rPr>
          <t>Ange inkommande ÅDT på det andra sekundärvägbenet (endast en riktning)</t>
        </r>
      </text>
    </comment>
    <comment ref="C28" authorId="0" shapeId="0" xr:uid="{87EF154A-1978-49E0-80A6-B2185542E86E}">
      <text>
        <r>
          <rPr>
            <sz val="9"/>
            <color indexed="81"/>
            <rFont val="Tahoma"/>
            <family val="2"/>
          </rPr>
          <t>Vid beräkning över kalkylperioden ska ÅDT anges i 2019 års nivå; välj därför 2019</t>
        </r>
      </text>
    </comment>
    <comment ref="C30" authorId="0" shapeId="0" xr:uid="{87EE076E-FC00-4DE1-8AB5-47D4EF578F7F}">
      <text>
        <r>
          <rPr>
            <sz val="9"/>
            <color indexed="81"/>
            <rFont val="Tahoma"/>
            <family val="2"/>
          </rPr>
          <t>För att beräkna 60-årig kalkylperiod ange 2088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Sternlund Simon, PLkvtv</author>
  </authors>
  <commentList>
    <comment ref="AR13" authorId="0" shapeId="0" xr:uid="{00000000-0006-0000-0400-000001000000}">
      <text>
        <r>
          <rPr>
            <sz val="9"/>
            <color indexed="81"/>
            <rFont val="Tahoma"/>
            <family val="2"/>
          </rPr>
          <t>Väghållare används som proxy för landsbygd (1,7) / tätort (1,5)</t>
        </r>
      </text>
    </comment>
  </commentList>
</comments>
</file>

<file path=xl/sharedStrings.xml><?xml version="1.0" encoding="utf-8"?>
<sst xmlns="http://schemas.openxmlformats.org/spreadsheetml/2006/main" count="3705" uniqueCount="369">
  <si>
    <t>D</t>
  </si>
  <si>
    <t>SS</t>
  </si>
  <si>
    <t>LS</t>
  </si>
  <si>
    <t>EG</t>
  </si>
  <si>
    <t>C</t>
  </si>
  <si>
    <t>M</t>
  </si>
  <si>
    <t>Y</t>
  </si>
  <si>
    <t>MF-C/M</t>
  </si>
  <si>
    <t>MF-F</t>
  </si>
  <si>
    <t>SF</t>
  </si>
  <si>
    <t>GIF</t>
  </si>
  <si>
    <t>City</t>
  </si>
  <si>
    <t>A</t>
  </si>
  <si>
    <t>B</t>
  </si>
  <si>
    <t>DF</t>
  </si>
  <si>
    <t>Kommentar</t>
  </si>
  <si>
    <t>Alla</t>
  </si>
  <si>
    <t>Systemvärden</t>
  </si>
  <si>
    <t>Index</t>
  </si>
  <si>
    <t>Väghållare</t>
  </si>
  <si>
    <t>Miljötyp</t>
  </si>
  <si>
    <t>SSF</t>
  </si>
  <si>
    <t>LSF</t>
  </si>
  <si>
    <t>EGp</t>
  </si>
  <si>
    <t>Tätort</t>
  </si>
  <si>
    <t>Tangent</t>
  </si>
  <si>
    <t>Statlig</t>
  </si>
  <si>
    <t>8-10</t>
  </si>
  <si>
    <t>Landsbygd</t>
  </si>
  <si>
    <t>13-14</t>
  </si>
  <si>
    <t>12,5-13</t>
  </si>
  <si>
    <t>Målad 2+1</t>
  </si>
  <si>
    <t>&gt;16</t>
  </si>
  <si>
    <t>&gt;18</t>
  </si>
  <si>
    <t>&gt;20,5</t>
  </si>
  <si>
    <t>Vägtyp</t>
  </si>
  <si>
    <t>Kommunal</t>
  </si>
  <si>
    <t>Trafikmiljö</t>
  </si>
  <si>
    <t>MAS</t>
  </si>
  <si>
    <t>AS</t>
  </si>
  <si>
    <t>Vanlig väg</t>
  </si>
  <si>
    <t>Vanlig väg mötesfri</t>
  </si>
  <si>
    <t>4-fältsväg</t>
  </si>
  <si>
    <t>Motorväg</t>
  </si>
  <si>
    <t>&lt;32000</t>
  </si>
  <si>
    <t>&gt;32000</t>
  </si>
  <si>
    <t>Motortrafikled</t>
  </si>
  <si>
    <t>&gt;24,5</t>
  </si>
  <si>
    <t>&lt;24,5</t>
  </si>
  <si>
    <t>Trafikfunktion</t>
  </si>
  <si>
    <t>gles 1+1&lt;9 m</t>
  </si>
  <si>
    <t>gles 1+1&gt;=9</t>
  </si>
  <si>
    <t>2+1</t>
  </si>
  <si>
    <t>PO-kvot</t>
  </si>
  <si>
    <t>BF givet SS</t>
  </si>
  <si>
    <t>BF givet LS</t>
  </si>
  <si>
    <t>BF givet EG</t>
  </si>
  <si>
    <t>Bortfall</t>
  </si>
  <si>
    <t>RPMI</t>
  </si>
  <si>
    <t>Mötesfri motortrafikled</t>
  </si>
  <si>
    <t>4-6</t>
  </si>
  <si>
    <t>Korsningstyp</t>
  </si>
  <si>
    <t>EE</t>
  </si>
  <si>
    <t>ES</t>
  </si>
  <si>
    <t>F</t>
  </si>
  <si>
    <t>Liten korsning</t>
  </si>
  <si>
    <t>Refug sekundärväg</t>
  </si>
  <si>
    <t>Signal äldre</t>
  </si>
  <si>
    <t>Planskild</t>
  </si>
  <si>
    <t>Kantstensvänstersvängsficka</t>
  </si>
  <si>
    <t>Ck</t>
  </si>
  <si>
    <t>Cm</t>
  </si>
  <si>
    <t>enbart 0,9 km 2012</t>
  </si>
  <si>
    <t>enbart 0,3 km 2012</t>
  </si>
  <si>
    <t>enbart 1,1 km 2012</t>
  </si>
  <si>
    <t>12,2 km år 2012</t>
  </si>
  <si>
    <t>enbart 1,5 km 2012</t>
  </si>
  <si>
    <t>5,0 km år 2012</t>
  </si>
  <si>
    <t>enbart 0,5 km 2012</t>
  </si>
  <si>
    <t>enbart 1,8 km 2012</t>
  </si>
  <si>
    <t>52 km år 2012</t>
  </si>
  <si>
    <t>37,5 km år 2012</t>
  </si>
  <si>
    <t>14,5 km år 2012</t>
  </si>
  <si>
    <t>14,3 km år 2012</t>
  </si>
  <si>
    <t>Finns ej, enbart 0,7 km</t>
  </si>
  <si>
    <t>enbart 2,6 km 2012</t>
  </si>
  <si>
    <t>10,2 km år 2012</t>
  </si>
  <si>
    <t>6,3 km år 2012</t>
  </si>
  <si>
    <t>Ben</t>
  </si>
  <si>
    <t>b</t>
  </si>
  <si>
    <t>c</t>
  </si>
  <si>
    <t>4L</t>
  </si>
  <si>
    <t>Målad vänstersvängsficka</t>
  </si>
  <si>
    <t>Välj MML. Finns ej, enbart 0,2 km</t>
  </si>
  <si>
    <t>Välj MML. Finns ej, enbart 0,7 km</t>
  </si>
  <si>
    <t>Välj MML. Finns ej 2012, 0,0 km</t>
  </si>
  <si>
    <t>Bortfallsfaktor</t>
  </si>
  <si>
    <t>MF-MF inklusive MF singel</t>
  </si>
  <si>
    <t>POk %</t>
  </si>
  <si>
    <t>-</t>
  </si>
  <si>
    <t>MASk</t>
  </si>
  <si>
    <t>ASk</t>
  </si>
  <si>
    <t>MAS|SS</t>
  </si>
  <si>
    <t>AS|SS</t>
  </si>
  <si>
    <t>MAS|LS</t>
  </si>
  <si>
    <t>AS|LS</t>
  </si>
  <si>
    <t>HG</t>
  </si>
  <si>
    <t>ÅDT</t>
  </si>
  <si>
    <t>Bredd</t>
  </si>
  <si>
    <t>Körfält</t>
  </si>
  <si>
    <t>9-13</t>
  </si>
  <si>
    <t>6,7-7,9</t>
  </si>
  <si>
    <t>6,7-13</t>
  </si>
  <si>
    <t>8-13</t>
  </si>
  <si>
    <t>5,7-6,6</t>
  </si>
  <si>
    <t>10,1-11,5</t>
  </si>
  <si>
    <t>BF|SS</t>
  </si>
  <si>
    <t>BF|LS</t>
  </si>
  <si>
    <t>BF|EG</t>
  </si>
  <si>
    <t>a (10^-6)</t>
  </si>
  <si>
    <t>Typ</t>
  </si>
  <si>
    <t>40-60</t>
  </si>
  <si>
    <t>90-120</t>
  </si>
  <si>
    <t>90-110</t>
  </si>
  <si>
    <t>Olyckstyp</t>
  </si>
  <si>
    <t>70-90</t>
  </si>
  <si>
    <t>100-120</t>
  </si>
  <si>
    <t>100-110</t>
  </si>
  <si>
    <t>MML</t>
  </si>
  <si>
    <t>70-80</t>
  </si>
  <si>
    <t>90-100</t>
  </si>
  <si>
    <t>70-110</t>
  </si>
  <si>
    <t>70-100</t>
  </si>
  <si>
    <t>MAS|S</t>
  </si>
  <si>
    <t>AS|S</t>
  </si>
  <si>
    <t xml:space="preserve">Statlig </t>
  </si>
  <si>
    <t>Länk</t>
  </si>
  <si>
    <t>Länk/Korsning</t>
  </si>
  <si>
    <t>Korsning</t>
  </si>
  <si>
    <t>MF-MF inkl S</t>
  </si>
  <si>
    <t>MF-Vilt</t>
  </si>
  <si>
    <t>C singel</t>
  </si>
  <si>
    <t>F singel</t>
  </si>
  <si>
    <t>Vägmiljö</t>
  </si>
  <si>
    <t>40-80</t>
  </si>
  <si>
    <t>ÅDT (ap)</t>
  </si>
  <si>
    <t>PO</t>
  </si>
  <si>
    <t>DF%</t>
  </si>
  <si>
    <t>SSF%</t>
  </si>
  <si>
    <t>LSF%</t>
  </si>
  <si>
    <t>DSS/DSSLS</t>
  </si>
  <si>
    <t>Kvot</t>
  </si>
  <si>
    <t>DSS/TA</t>
  </si>
  <si>
    <t>AF</t>
  </si>
  <si>
    <t>Skadade (DSSLS)</t>
  </si>
  <si>
    <t>Medicinsk invaliditet</t>
  </si>
  <si>
    <t>Resultat för olyckor med MF delaktigt exkl vilt</t>
  </si>
  <si>
    <t>Riskvärdering</t>
  </si>
  <si>
    <t>Totalt</t>
  </si>
  <si>
    <t>70-80 km/h</t>
  </si>
  <si>
    <t>Siktklass</t>
  </si>
  <si>
    <t>&gt;=90 km/h</t>
  </si>
  <si>
    <t>10.1-11.5</t>
  </si>
  <si>
    <t>Välj i list</t>
  </si>
  <si>
    <t>&lt;5,7</t>
  </si>
  <si>
    <t>11,6-</t>
  </si>
  <si>
    <t>Antal per år</t>
  </si>
  <si>
    <t>Antal per år, exkl bortfall</t>
  </si>
  <si>
    <t>Antal per år, uppräknat för bortfall</t>
  </si>
  <si>
    <t>MF-MF inklusive MF singel exkl bortfall och vilt</t>
  </si>
  <si>
    <t>MF-F exkl bortfall</t>
  </si>
  <si>
    <t>MF-C/M exkl bortfall</t>
  </si>
  <si>
    <t>MV</t>
  </si>
  <si>
    <t>4F</t>
  </si>
  <si>
    <t>Statlig &amp; Tätort</t>
  </si>
  <si>
    <t>Statlig &amp; Landsbygd</t>
  </si>
  <si>
    <t>50-110</t>
  </si>
  <si>
    <t>80-110</t>
  </si>
  <si>
    <t>MLV</t>
  </si>
  <si>
    <t>Gles</t>
  </si>
  <si>
    <t>ML</t>
  </si>
  <si>
    <t>VV</t>
  </si>
  <si>
    <t>Mötesfri landsväg</t>
  </si>
  <si>
    <t>50-120</t>
  </si>
  <si>
    <t>Se MV</t>
  </si>
  <si>
    <t>Se 4F</t>
  </si>
  <si>
    <t>Se Bredd</t>
  </si>
  <si>
    <t>Kommunal &amp; Tätort &amp; VV</t>
  </si>
  <si>
    <t>Kommunal &amp; Tätort &amp; 4F</t>
  </si>
  <si>
    <t>Söker:</t>
  </si>
  <si>
    <t>Hittar:</t>
  </si>
  <si>
    <t>Används för beräkning - Ändra ej</t>
  </si>
  <si>
    <t>Letarad</t>
  </si>
  <si>
    <t>MV (Statlig &amp; Landsbygd)</t>
  </si>
  <si>
    <t>4F (Stat &amp; Lands)</t>
  </si>
  <si>
    <t>Materiell</t>
  </si>
  <si>
    <t>Systemeffekt/år, d</t>
  </si>
  <si>
    <t>Trafikökning/år, c</t>
  </si>
  <si>
    <t>Diskonteringsränta, r</t>
  </si>
  <si>
    <t>Ekonomi</t>
  </si>
  <si>
    <t>11.6-</t>
  </si>
  <si>
    <t>Vägbredd (m)</t>
  </si>
  <si>
    <t>&lt;5-7</t>
  </si>
  <si>
    <t>5.7-6.6</t>
  </si>
  <si>
    <t>6.7-7.9</t>
  </si>
  <si>
    <t>Antal per år uppräknat för bortfall</t>
  </si>
  <si>
    <t>Antal per år uppräknat</t>
  </si>
  <si>
    <t>Resultat</t>
  </si>
  <si>
    <t>Trafikfunk</t>
  </si>
  <si>
    <t>Kopplad</t>
  </si>
  <si>
    <t>Ej kopplad</t>
  </si>
  <si>
    <t>FAKTORER</t>
  </si>
  <si>
    <t>Längd (Km)</t>
  </si>
  <si>
    <t>TA (Mapkm)</t>
  </si>
  <si>
    <t>Fordonstyp</t>
  </si>
  <si>
    <t>Lastbil utan släp (Lbu)</t>
  </si>
  <si>
    <t>Lastbil med släp (Lbs)</t>
  </si>
  <si>
    <t>Antal axelpar</t>
  </si>
  <si>
    <t>Antal axlar</t>
  </si>
  <si>
    <t>Personbil (Pb)</t>
  </si>
  <si>
    <t>Filtrera fram den vägmiljö som du är intresserad av och avläs resultat i kolumnerna till höger</t>
  </si>
  <si>
    <t>Indata som bland annat ÅDT och väglängd anges i fliken "Beräkna - Länk"</t>
  </si>
  <si>
    <t>Ange tal</t>
  </si>
  <si>
    <t>INDATA</t>
  </si>
  <si>
    <t>RESULTAT</t>
  </si>
  <si>
    <t>DSSLS</t>
  </si>
  <si>
    <t>Gör val vid alla vägmiljövalsalternativ, uppifrån och ned, för att beräkning ska vara möjlig</t>
  </si>
  <si>
    <t>Alla kombinationer finns inte - Ta hjälp av tabellerna till höger för möjliga kombinationer</t>
  </si>
  <si>
    <t>Bredd (m)</t>
  </si>
  <si>
    <t>Bredd (m) (Statlig &amp; Landsbygd)</t>
  </si>
  <si>
    <t>Värdeökningsfaktor/år, b</t>
  </si>
  <si>
    <t>Vägmiljö primärväg</t>
  </si>
  <si>
    <t>Antal vägben</t>
  </si>
  <si>
    <t>MF-åtgärd</t>
  </si>
  <si>
    <t>Inkommande flöde cyklister/d</t>
  </si>
  <si>
    <t>Inkommande flöde fotgängare/d</t>
  </si>
  <si>
    <t>Slutår för samhällsekonomisk beräkning</t>
  </si>
  <si>
    <t>Trafikökningsfaktor per år</t>
  </si>
  <si>
    <t>Slutår för samhällsekonomisk kostnad</t>
  </si>
  <si>
    <t>Avser nivå år 2010</t>
  </si>
  <si>
    <t>Dödad (D)</t>
  </si>
  <si>
    <t>Svårt skadad (SS)</t>
  </si>
  <si>
    <t>Lindrigt skadad (LS)</t>
  </si>
  <si>
    <t>Mycket allvarligt skadad (MAS)</t>
  </si>
  <si>
    <t>Allvarligt skadad (AS)</t>
  </si>
  <si>
    <t>Systemeffekt per år, D</t>
  </si>
  <si>
    <t>Systemeffekt per år, SS</t>
  </si>
  <si>
    <t>Systemeffekt per år, LS</t>
  </si>
  <si>
    <t>Systemeffekt per år, MAS</t>
  </si>
  <si>
    <t>Systemeffekt per år, AS</t>
  </si>
  <si>
    <t>Generell korrigeringsfaktor</t>
  </si>
  <si>
    <t>Flöde</t>
  </si>
  <si>
    <t>Korrigering</t>
  </si>
  <si>
    <t>Faktor</t>
  </si>
  <si>
    <t>4S</t>
  </si>
  <si>
    <t>Centrum</t>
  </si>
  <si>
    <t>Mellan</t>
  </si>
  <si>
    <t>Ytter</t>
  </si>
  <si>
    <t>Genomfart/Infart</t>
  </si>
  <si>
    <t>Fotgängar-åtgärd</t>
  </si>
  <si>
    <t>MY</t>
  </si>
  <si>
    <t>Vägben</t>
  </si>
  <si>
    <t>A B Ck Cm F</t>
  </si>
  <si>
    <t>3 4L 4S</t>
  </si>
  <si>
    <t>A B Ck Cm D ES F</t>
  </si>
  <si>
    <t>Vägben (korsning)</t>
  </si>
  <si>
    <t>A B Ck Cm D EE ES</t>
  </si>
  <si>
    <t>A B Ck Cm D EE ES F</t>
  </si>
  <si>
    <t>Används för beräkning - Ändra ej - Dölj</t>
  </si>
  <si>
    <t>Hastighetsgräns</t>
  </si>
  <si>
    <t>Letaradkolumner</t>
  </si>
  <si>
    <t>Trafikflöde avser år</t>
  </si>
  <si>
    <t>Trafikökningsfaktor per år (all trafik)</t>
  </si>
  <si>
    <t>Utformning av korsning</t>
  </si>
  <si>
    <t>Faktor för åtgärd</t>
  </si>
  <si>
    <t>Normalvärden ovan gäller för tvåfältig landsbygdsväg för genomsnittlig vägutformning för plan- och profil och sikt. Vid hastighetsgräns 70 km/tim eller högre korrigeras olycksutfall för alla länkolyckstyper beroende på siktklass (se 2.2.1 Vägtyper – siktklass).</t>
  </si>
  <si>
    <t>Korrigering av olyckor beroende av siktklass för tvåfältsvägar över 60 km/h.</t>
  </si>
  <si>
    <t>VÄRDEMÄNGDER</t>
  </si>
  <si>
    <t>Risk för permanent medicinsk invaliditet (RPMI)</t>
  </si>
  <si>
    <t>MATRIS - NOD</t>
  </si>
  <si>
    <t>MF total (f/d)</t>
  </si>
  <si>
    <t>MF sekundär (f/d)</t>
  </si>
  <si>
    <t>Fotgängare per dygn</t>
  </si>
  <si>
    <t>Cyklister per dygn</t>
  </si>
  <si>
    <t>Axelpar / Fordon</t>
  </si>
  <si>
    <t>MATRIS - LÄNK</t>
  </si>
  <si>
    <t>BERÄKNA - LÄNK</t>
  </si>
  <si>
    <t>BERÄKNA - NOD</t>
  </si>
  <si>
    <t>Fliken "Värdemängder" förklarar forkortningar</t>
  </si>
  <si>
    <t>3 vägben</t>
  </si>
  <si>
    <t>4 vägben med likfördelad sekundärvägstrafik</t>
  </si>
  <si>
    <t>4 vägben med snedfördelad sekundärvägstrafik</t>
  </si>
  <si>
    <t>MF-MF inkl MF singel</t>
  </si>
  <si>
    <t>MF-Fotgängare</t>
  </si>
  <si>
    <t>Inkommande ÅDT</t>
  </si>
  <si>
    <t>Vanlig väg (2 körfält)</t>
  </si>
  <si>
    <t>Detta är alla RPMI-värden som finns med i TS-EVA</t>
  </si>
  <si>
    <t>3-&gt;4S</t>
  </si>
  <si>
    <t>Systemeffekter</t>
  </si>
  <si>
    <t>Väglängd (Km)</t>
  </si>
  <si>
    <t>MF-Cyklist/Mopedist</t>
  </si>
  <si>
    <t>Cykel/Moped-åtgärd</t>
  </si>
  <si>
    <t>Generell korrigering</t>
  </si>
  <si>
    <t>Signal modern och samordnad (LHOVRA)</t>
  </si>
  <si>
    <t>Cirkulationsplats</t>
  </si>
  <si>
    <t xml:space="preserve"> </t>
  </si>
  <si>
    <t>Olycksvärdering (kkr) 2014 (basår)</t>
  </si>
  <si>
    <t>kkr</t>
  </si>
  <si>
    <t>Resultat EG</t>
  </si>
  <si>
    <t>http://www.trafikverket.se/effektsamband</t>
  </si>
  <si>
    <t>http://www.trafikverket.se/tseva</t>
  </si>
  <si>
    <t>Begreppen beskrivs ytterligare i Effektkatalogen:</t>
  </si>
  <si>
    <t>Effektsamband för transportsystemet, Bygg om eller bygg nytt, Kapitel 2 Vägtyper, korsningar och förbättringsåtgärder</t>
  </si>
  <si>
    <t>Se Gällande förutsättningar och indata</t>
  </si>
  <si>
    <t>Ändra inte celler i denna flik. Ändring sker via flikarna "Beräkna - Länk" respektive "Beräkna - Nod"</t>
  </si>
  <si>
    <t>MF-MF, MF S</t>
  </si>
  <si>
    <t>Resultat BF</t>
  </si>
  <si>
    <t>Kolumntest</t>
  </si>
  <si>
    <t>Värde i kolumn</t>
  </si>
  <si>
    <t>EAS (1-AS)</t>
  </si>
  <si>
    <t>ASEK 6.1</t>
  </si>
  <si>
    <t>AS exkl. MAS</t>
  </si>
  <si>
    <t>AS exklusive MAS (AS-MAS)</t>
  </si>
  <si>
    <t>EAS</t>
  </si>
  <si>
    <t>EAS|SS</t>
  </si>
  <si>
    <t>EAS|LS</t>
  </si>
  <si>
    <t>Bortfallsfaktorer</t>
  </si>
  <si>
    <t>https://www.trafikverket.se/contentassets/4b1c1005597d47bda386d81dd3444b24/asek-6.1/09_trafiksakerhet_a61.pdf</t>
  </si>
  <si>
    <t>Ej allvarligt skadade (EAS)</t>
  </si>
  <si>
    <t>Egendomsskador (EG)</t>
  </si>
  <si>
    <t>Döljs</t>
  </si>
  <si>
    <t>Total trafiksäkerhet</t>
  </si>
  <si>
    <t>Totalt övriga kostnader</t>
  </si>
  <si>
    <t>*AS exklusive MAS används vid summering för att inte dubbelräkna MAS</t>
  </si>
  <si>
    <t>AS exklusive MAS (AS-MAS)*</t>
  </si>
  <si>
    <t>Betydelse av förkortningar</t>
  </si>
  <si>
    <t xml:space="preserve">Sambanden gäller både belagd väg och grusväg. De avser genomsnittlig standard för vägtypen. </t>
  </si>
  <si>
    <t>ASEK 7.0 (införs 15 juni 2020)</t>
  </si>
  <si>
    <t>Olycksvärdering (kkr) 2017 (basår)</t>
  </si>
  <si>
    <t>Källa:</t>
  </si>
  <si>
    <t>https://arbetsrum.sp.trafikverket.se/sites/20190517192744/home/ASEKrapporten/Forms/Alla%20dokument.aspx?RootFolder=%2Fsites%2F20190517192744%2Fhome%2FASEKrapporten%2FASEK%207%2E0%2FBilaga%20Sammanst%C3%A4llning%20kalkylv%C3%A4rden%20ASEK%207%2E0&amp;FolderCTID=0x012000FD3EAEF69E837B418685904E8419B5B7&amp;View=%7B06477C6F%2D3EFA%2D403D%2D872C%2D78B411BF92F2%7D</t>
  </si>
  <si>
    <t>Ändra inte celler i denna flik</t>
  </si>
  <si>
    <t>Möjliga kombinationer - Ändra inte</t>
  </si>
  <si>
    <t>Olycksvärdering (kkr) 2019 (basår)</t>
  </si>
  <si>
    <t>Vårdkostnad</t>
  </si>
  <si>
    <t>Riskvärdering + Produktionsbortfall</t>
  </si>
  <si>
    <t>&lt;=40</t>
  </si>
  <si>
    <t>50-60</t>
  </si>
  <si>
    <t>Modellvärden</t>
  </si>
  <si>
    <t>DAS/DSSLS</t>
  </si>
  <si>
    <t>Prognosår 1</t>
  </si>
  <si>
    <t>Prognosår 2</t>
  </si>
  <si>
    <t>Diskonteringsår</t>
  </si>
  <si>
    <r>
      <t>ÅDT (axelpar/dygn)</t>
    </r>
    <r>
      <rPr>
        <sz val="8"/>
        <color rgb="FFFFC000"/>
        <rFont val="Arial"/>
        <family val="2"/>
      </rPr>
      <t xml:space="preserve"> </t>
    </r>
  </si>
  <si>
    <t>Nettoräntefaktor 2028-2065 k = b*c*d/(1+r)</t>
  </si>
  <si>
    <t>Nuvärdesfaktor för 2028-2065</t>
  </si>
  <si>
    <t xml:space="preserve">Nuvärdesfaktor för 2028-2065 </t>
  </si>
  <si>
    <t>Trafik och år</t>
  </si>
  <si>
    <t>ÅDT avser år</t>
  </si>
  <si>
    <t>Inkommande ÅDT (ap/d) på primärväg</t>
  </si>
  <si>
    <t>Inkommande ÅDT (ap/d) sekundärväg 1</t>
  </si>
  <si>
    <t>Inkommande ÅDT (ap/d) sekundärväg 2</t>
  </si>
  <si>
    <t>Primärväg</t>
  </si>
  <si>
    <t>Sekundvärväg 1</t>
  </si>
  <si>
    <t>Sekundärväg 2</t>
  </si>
  <si>
    <t>Ink. ÅDT --&gt;</t>
  </si>
  <si>
    <t>&lt;-- Ink. ÅDT</t>
  </si>
  <si>
    <t>Fig 1. Inkommande ÅDT</t>
  </si>
  <si>
    <t>ASEK 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</si>
</sst>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0"/>
    <numFmt numFmtId="165" formatCode="0.0000"/>
    <numFmt numFmtId="166" formatCode="0.0"/>
    <numFmt numFmtId="167" formatCode="#,##0.000"/>
    <numFmt numFmtId="168" formatCode="0.00000"/>
    <numFmt numFmtId="169" formatCode="0.000000"/>
    <numFmt numFmtId="170" formatCode="0.0000000000"/>
    <numFmt numFmtId="171" formatCode="0.00000000"/>
    <numFmt numFmtId="172" formatCode="0.00000000000000"/>
    <numFmt numFmtId="173" formatCode="0.000000000000000000"/>
    <numFmt numFmtId="174" formatCode="0.0000000000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6" tint="-0.49998474074526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26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8"/>
      <color rgb="FFCCD4DE"/>
      <name val="Arial"/>
      <family val="2"/>
    </font>
    <font>
      <b/>
      <sz val="8"/>
      <color rgb="FFCCD4DE"/>
      <name val="Arial"/>
      <family val="2"/>
    </font>
    <font>
      <i/>
      <sz val="8"/>
      <color rgb="FFCCD4DE"/>
      <name val="Arial"/>
      <family val="2"/>
    </font>
    <font>
      <sz val="10"/>
      <color rgb="FFCCD4DE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ACB9CA"/>
      <name val="Arial"/>
      <family val="2"/>
    </font>
    <font>
      <sz val="8"/>
      <color rgb="FFACB9CA"/>
      <name val="Arial"/>
      <family val="2"/>
    </font>
    <font>
      <i/>
      <sz val="8"/>
      <color rgb="FFACB9CA"/>
      <name val="Arial"/>
      <family val="2"/>
    </font>
    <font>
      <b/>
      <sz val="10"/>
      <color theme="0"/>
      <name val="Arial"/>
      <family val="2"/>
    </font>
    <font>
      <u/>
      <sz val="8"/>
      <name val="Arial"/>
      <family val="2"/>
    </font>
    <font>
      <b/>
      <sz val="26"/>
      <color theme="0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i/>
      <sz val="10"/>
      <color theme="0" tint="-0.499984740745262"/>
      <name val="Arial"/>
      <family val="2"/>
    </font>
    <font>
      <i/>
      <sz val="10"/>
      <color theme="1" tint="0.499984740745262"/>
      <name val="Arial"/>
      <family val="2"/>
    </font>
    <font>
      <sz val="8"/>
      <color rgb="FFFFC000"/>
      <name val="Arial"/>
      <family val="2"/>
    </font>
    <font>
      <sz val="10"/>
      <color theme="9" tint="-0.249977111117893"/>
      <name val="Arial"/>
      <family val="2"/>
    </font>
    <font>
      <i/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333F4F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CCD4DE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425166"/>
        <bgColor indexed="64"/>
      </patternFill>
    </fill>
    <fill>
      <patternFill patternType="solid">
        <fgColor rgb="FFE3E8ED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596E8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8497B0"/>
      </left>
      <right style="thin">
        <color indexed="64"/>
      </right>
      <top style="thin">
        <color rgb="FF8497B0"/>
      </top>
      <bottom style="thin">
        <color indexed="64"/>
      </bottom>
      <diagonal/>
    </border>
    <border>
      <left style="thin">
        <color rgb="FF8497B0"/>
      </left>
      <right/>
      <top style="thin">
        <color rgb="FF8497B0"/>
      </top>
      <bottom/>
      <diagonal/>
    </border>
    <border>
      <left/>
      <right/>
      <top style="thin">
        <color rgb="FF8497B0"/>
      </top>
      <bottom/>
      <diagonal/>
    </border>
    <border>
      <left/>
      <right style="thin">
        <color indexed="64"/>
      </right>
      <top style="thin">
        <color rgb="FF8497B0"/>
      </top>
      <bottom/>
      <diagonal/>
    </border>
    <border>
      <left style="thin">
        <color rgb="FF8497B0"/>
      </left>
      <right/>
      <top/>
      <bottom/>
      <diagonal/>
    </border>
    <border>
      <left style="thin">
        <color rgb="FF8497B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8497B0"/>
      </top>
      <bottom style="thin">
        <color indexed="64"/>
      </bottom>
      <diagonal/>
    </border>
    <border>
      <left style="thin">
        <color rgb="FF8497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497B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rgb="FF8497B0"/>
      </top>
      <bottom/>
      <diagonal/>
    </border>
    <border>
      <left style="thin">
        <color rgb="FF8497B0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rgb="FF8497B0"/>
      </top>
      <bottom/>
      <diagonal/>
    </border>
    <border>
      <left style="thin">
        <color rgb="FF8497B0"/>
      </left>
      <right/>
      <top style="thin">
        <color rgb="FF8497B0"/>
      </top>
      <bottom style="thin">
        <color indexed="64"/>
      </bottom>
      <diagonal/>
    </border>
    <border>
      <left style="thin">
        <color rgb="FF8497B0"/>
      </left>
      <right style="thin">
        <color indexed="64"/>
      </right>
      <top style="thin">
        <color rgb="FF8497B0"/>
      </top>
      <bottom/>
      <diagonal/>
    </border>
    <border>
      <left/>
      <right style="thin">
        <color indexed="64"/>
      </right>
      <top style="thin">
        <color rgb="FF8497B0"/>
      </top>
      <bottom style="thin">
        <color indexed="64"/>
      </bottom>
      <diagonal/>
    </border>
    <border>
      <left style="thin">
        <color rgb="FF8497B0"/>
      </left>
      <right style="thin">
        <color indexed="64"/>
      </right>
      <top style="thin">
        <color indexed="64"/>
      </top>
      <bottom/>
      <diagonal/>
    </border>
    <border>
      <left style="thin">
        <color rgb="FF8497B0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rgb="FF8497B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8497B0"/>
      </top>
      <bottom style="thin">
        <color indexed="64"/>
      </bottom>
      <diagonal/>
    </border>
    <border>
      <left/>
      <right/>
      <top style="thin">
        <color rgb="FF8497B0"/>
      </top>
      <bottom style="thin">
        <color indexed="64"/>
      </bottom>
      <diagonal/>
    </border>
    <border>
      <left style="thin">
        <color rgb="FFE3E8ED"/>
      </left>
      <right style="thin">
        <color indexed="64"/>
      </right>
      <top style="thin">
        <color rgb="FFE3E8E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3E8ED"/>
      </top>
      <bottom style="thin">
        <color indexed="64"/>
      </bottom>
      <diagonal/>
    </border>
    <border>
      <left style="thin">
        <color rgb="FFE3E8E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E3E8ED"/>
      </top>
      <bottom style="thin">
        <color indexed="64"/>
      </bottom>
      <diagonal/>
    </border>
    <border>
      <left/>
      <right/>
      <top style="thin">
        <color rgb="FFE3E8ED"/>
      </top>
      <bottom style="thin">
        <color indexed="64"/>
      </bottom>
      <diagonal/>
    </border>
    <border>
      <left/>
      <right style="thin">
        <color indexed="64"/>
      </right>
      <top style="thin">
        <color rgb="FFE3E8ED"/>
      </top>
      <bottom style="thin">
        <color indexed="64"/>
      </bottom>
      <diagonal/>
    </border>
    <border>
      <left style="thin">
        <color indexed="64"/>
      </left>
      <right/>
      <top style="thin">
        <color rgb="FFE3E8ED"/>
      </top>
      <bottom/>
      <diagonal/>
    </border>
    <border>
      <left/>
      <right/>
      <top style="thin">
        <color rgb="FFE3E8ED"/>
      </top>
      <bottom/>
      <diagonal/>
    </border>
    <border>
      <left/>
      <right style="thin">
        <color indexed="64"/>
      </right>
      <top style="thin">
        <color rgb="FFE3E8ED"/>
      </top>
      <bottom/>
      <diagonal/>
    </border>
    <border>
      <left style="thin">
        <color rgb="FFE3E8ED"/>
      </left>
      <right/>
      <top style="thin">
        <color indexed="64"/>
      </top>
      <bottom/>
      <diagonal/>
    </border>
    <border>
      <left style="thin">
        <color rgb="FFE3E8ED"/>
      </left>
      <right/>
      <top style="thin">
        <color rgb="FFE3E8ED"/>
      </top>
      <bottom style="thin">
        <color indexed="64"/>
      </bottom>
      <diagonal/>
    </border>
    <border>
      <left style="thin">
        <color rgb="FFE3E8ED"/>
      </left>
      <right/>
      <top style="thin">
        <color indexed="64"/>
      </top>
      <bottom style="thin">
        <color rgb="FFE3E8ED"/>
      </bottom>
      <diagonal/>
    </border>
    <border>
      <left/>
      <right/>
      <top style="thin">
        <color indexed="64"/>
      </top>
      <bottom style="thin">
        <color rgb="FFE3E8ED"/>
      </bottom>
      <diagonal/>
    </border>
    <border>
      <left/>
      <right style="thin">
        <color indexed="64"/>
      </right>
      <top style="thin">
        <color indexed="64"/>
      </top>
      <bottom style="thin">
        <color rgb="FFE3E8ED"/>
      </bottom>
      <diagonal/>
    </border>
    <border>
      <left style="thin">
        <color indexed="64"/>
      </left>
      <right/>
      <top style="thin">
        <color indexed="64"/>
      </top>
      <bottom style="thin">
        <color rgb="FFE3E8E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8ED"/>
      </bottom>
      <diagonal/>
    </border>
  </borders>
  <cellStyleXfs count="19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</cellStyleXfs>
  <cellXfs count="60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Fill="1"/>
    <xf numFmtId="49" fontId="0" fillId="0" borderId="0" xfId="0" applyNumberFormat="1"/>
    <xf numFmtId="0" fontId="5" fillId="0" borderId="8" xfId="0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67" fontId="0" fillId="0" borderId="8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3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3" xfId="0" applyBorder="1"/>
    <xf numFmtId="0" fontId="3" fillId="0" borderId="8" xfId="0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8" xfId="0" applyNumberFormat="1" applyFont="1" applyFill="1" applyBorder="1" applyAlignment="1">
      <alignment horizontal="center"/>
    </xf>
    <xf numFmtId="166" fontId="3" fillId="0" borderId="8" xfId="0" applyNumberFormat="1" applyFont="1" applyFill="1" applyBorder="1" applyAlignment="1">
      <alignment horizontal="center"/>
    </xf>
    <xf numFmtId="166" fontId="3" fillId="0" borderId="8" xfId="1" applyNumberFormat="1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1" fontId="5" fillId="0" borderId="8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/>
    <xf numFmtId="0" fontId="11" fillId="2" borderId="8" xfId="0" applyFont="1" applyFill="1" applyBorder="1" applyAlignment="1">
      <alignment horizontal="center"/>
    </xf>
    <xf numFmtId="49" fontId="11" fillId="2" borderId="8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0" fontId="11" fillId="3" borderId="10" xfId="0" applyFont="1" applyFill="1" applyBorder="1"/>
    <xf numFmtId="0" fontId="11" fillId="3" borderId="9" xfId="0" applyFont="1" applyFill="1" applyBorder="1"/>
    <xf numFmtId="0" fontId="11" fillId="5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1" xfId="0" applyFont="1" applyFill="1" applyBorder="1"/>
    <xf numFmtId="0" fontId="0" fillId="4" borderId="5" xfId="0" applyFill="1" applyBorder="1"/>
    <xf numFmtId="0" fontId="0" fillId="4" borderId="2" xfId="0" applyFill="1" applyBorder="1"/>
    <xf numFmtId="0" fontId="11" fillId="4" borderId="6" xfId="0" applyFont="1" applyFill="1" applyBorder="1"/>
    <xf numFmtId="0" fontId="0" fillId="4" borderId="14" xfId="0" applyFill="1" applyBorder="1"/>
    <xf numFmtId="0" fontId="0" fillId="4" borderId="4" xfId="0" applyFill="1" applyBorder="1"/>
    <xf numFmtId="0" fontId="11" fillId="7" borderId="12" xfId="0" applyFont="1" applyFill="1" applyBorder="1" applyAlignment="1">
      <alignment horizontal="right"/>
    </xf>
    <xf numFmtId="0" fontId="11" fillId="7" borderId="13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1" fillId="7" borderId="11" xfId="0" applyFont="1" applyFill="1" applyBorder="1" applyAlignment="1">
      <alignment horizontal="right"/>
    </xf>
    <xf numFmtId="0" fontId="11" fillId="7" borderId="8" xfId="0" applyFont="1" applyFill="1" applyBorder="1" applyAlignment="1">
      <alignment horizontal="right"/>
    </xf>
    <xf numFmtId="0" fontId="11" fillId="0" borderId="8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3" fillId="0" borderId="0" xfId="0" applyNumberFormat="1" applyFont="1"/>
    <xf numFmtId="0" fontId="11" fillId="0" borderId="8" xfId="0" applyNumberFormat="1" applyFont="1" applyFill="1" applyBorder="1" applyAlignment="1">
      <alignment horizontal="center"/>
    </xf>
    <xf numFmtId="0" fontId="13" fillId="3" borderId="11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13" fillId="9" borderId="0" xfId="0" applyFont="1" applyFill="1" applyAlignment="1">
      <alignment horizontal="left"/>
    </xf>
    <xf numFmtId="0" fontId="11" fillId="9" borderId="0" xfId="0" applyFont="1" applyFill="1" applyAlignment="1">
      <alignment horizontal="center"/>
    </xf>
    <xf numFmtId="0" fontId="0" fillId="11" borderId="0" xfId="0" applyFill="1" applyBorder="1"/>
    <xf numFmtId="0" fontId="3" fillId="11" borderId="0" xfId="0" applyFont="1" applyFill="1"/>
    <xf numFmtId="0" fontId="0" fillId="9" borderId="0" xfId="0" applyFill="1" applyBorder="1"/>
    <xf numFmtId="2" fontId="3" fillId="0" borderId="8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5" fontId="3" fillId="0" borderId="8" xfId="1" applyNumberFormat="1" applyFont="1" applyFill="1" applyBorder="1" applyAlignment="1">
      <alignment horizontal="center"/>
    </xf>
    <xf numFmtId="168" fontId="3" fillId="0" borderId="8" xfId="1" applyNumberFormat="1" applyFont="1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0" fillId="9" borderId="2" xfId="0" applyFill="1" applyBorder="1"/>
    <xf numFmtId="165" fontId="3" fillId="0" borderId="8" xfId="0" applyNumberFormat="1" applyFont="1" applyFill="1" applyBorder="1" applyAlignment="1">
      <alignment horizontal="center"/>
    </xf>
    <xf numFmtId="168" fontId="3" fillId="0" borderId="8" xfId="0" applyNumberFormat="1" applyFont="1" applyFill="1" applyBorder="1" applyAlignment="1">
      <alignment horizontal="center"/>
    </xf>
    <xf numFmtId="169" fontId="3" fillId="0" borderId="8" xfId="0" applyNumberFormat="1" applyFont="1" applyFill="1" applyBorder="1" applyAlignment="1">
      <alignment horizontal="center"/>
    </xf>
    <xf numFmtId="0" fontId="13" fillId="3" borderId="11" xfId="0" applyFont="1" applyFill="1" applyBorder="1" applyAlignment="1">
      <alignment horizontal="left"/>
    </xf>
    <xf numFmtId="0" fontId="0" fillId="3" borderId="10" xfId="0" applyFill="1" applyBorder="1"/>
    <xf numFmtId="0" fontId="0" fillId="3" borderId="9" xfId="0" applyFill="1" applyBorder="1"/>
    <xf numFmtId="0" fontId="11" fillId="11" borderId="8" xfId="0" applyFont="1" applyFill="1" applyBorder="1"/>
    <xf numFmtId="0" fontId="3" fillId="11" borderId="0" xfId="0" applyFont="1" applyFill="1" applyBorder="1" applyAlignment="1">
      <alignment horizontal="center"/>
    </xf>
    <xf numFmtId="0" fontId="11" fillId="11" borderId="13" xfId="0" applyFont="1" applyFill="1" applyBorder="1" applyAlignment="1">
      <alignment horizontal="center"/>
    </xf>
    <xf numFmtId="0" fontId="0" fillId="11" borderId="4" xfId="0" applyFill="1" applyBorder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3" fillId="11" borderId="0" xfId="0" applyFont="1" applyFill="1" applyBorder="1"/>
    <xf numFmtId="0" fontId="11" fillId="11" borderId="1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8" xfId="1" applyNumberFormat="1" applyFont="1" applyFill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0" fillId="9" borderId="4" xfId="0" applyFill="1" applyBorder="1"/>
    <xf numFmtId="0" fontId="0" fillId="10" borderId="2" xfId="0" applyFill="1" applyBorder="1"/>
    <xf numFmtId="0" fontId="13" fillId="10" borderId="0" xfId="0" applyFont="1" applyFill="1" applyAlignment="1">
      <alignment horizontal="left"/>
    </xf>
    <xf numFmtId="0" fontId="13" fillId="10" borderId="0" xfId="0" applyFont="1" applyFill="1"/>
    <xf numFmtId="0" fontId="11" fillId="12" borderId="8" xfId="0" applyFont="1" applyFill="1" applyBorder="1" applyAlignment="1">
      <alignment horizontal="center"/>
    </xf>
    <xf numFmtId="0" fontId="0" fillId="10" borderId="4" xfId="0" applyFill="1" applyBorder="1"/>
    <xf numFmtId="2" fontId="0" fillId="0" borderId="0" xfId="0" applyNumberFormat="1" applyAlignment="1">
      <alignment horizontal="left"/>
    </xf>
    <xf numFmtId="0" fontId="3" fillId="13" borderId="3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/>
    </xf>
    <xf numFmtId="0" fontId="0" fillId="11" borderId="14" xfId="0" applyFill="1" applyBorder="1"/>
    <xf numFmtId="0" fontId="0" fillId="4" borderId="8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21" fillId="13" borderId="7" xfId="0" applyFont="1" applyFill="1" applyBorder="1" applyAlignment="1">
      <alignment horizontal="center"/>
    </xf>
    <xf numFmtId="0" fontId="21" fillId="13" borderId="1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21" fillId="13" borderId="5" xfId="0" applyFont="1" applyFill="1" applyBorder="1" applyAlignment="1">
      <alignment horizontal="center"/>
    </xf>
    <xf numFmtId="0" fontId="11" fillId="11" borderId="9" xfId="0" applyFont="1" applyFill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3" fillId="11" borderId="13" xfId="0" applyFont="1" applyFill="1" applyBorder="1" applyAlignment="1">
      <alignment horizontal="center"/>
    </xf>
    <xf numFmtId="0" fontId="13" fillId="11" borderId="13" xfId="0" applyFont="1" applyFill="1" applyBorder="1"/>
    <xf numFmtId="0" fontId="13" fillId="11" borderId="6" xfId="0" applyFont="1" applyFill="1" applyBorder="1"/>
    <xf numFmtId="0" fontId="11" fillId="11" borderId="14" xfId="0" applyFont="1" applyFill="1" applyBorder="1"/>
    <xf numFmtId="0" fontId="13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Fill="1" applyAlignment="1">
      <alignment horizontal="right"/>
    </xf>
    <xf numFmtId="0" fontId="3" fillId="13" borderId="1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7" borderId="14" xfId="0" applyFill="1" applyBorder="1"/>
    <xf numFmtId="0" fontId="0" fillId="11" borderId="8" xfId="0" applyFill="1" applyBorder="1"/>
    <xf numFmtId="0" fontId="11" fillId="7" borderId="1" xfId="0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0" fillId="0" borderId="10" xfId="0" applyFill="1" applyBorder="1"/>
    <xf numFmtId="0" fontId="13" fillId="0" borderId="10" xfId="0" applyFont="1" applyFill="1" applyBorder="1" applyAlignment="1">
      <alignment horizontal="left"/>
    </xf>
    <xf numFmtId="0" fontId="11" fillId="10" borderId="0" xfId="0" applyFont="1" applyFill="1"/>
    <xf numFmtId="0" fontId="0" fillId="6" borderId="0" xfId="0" applyFill="1"/>
    <xf numFmtId="0" fontId="0" fillId="6" borderId="0" xfId="0" applyFill="1" applyBorder="1"/>
    <xf numFmtId="0" fontId="11" fillId="10" borderId="0" xfId="0" applyFont="1" applyFill="1" applyAlignment="1">
      <alignment horizontal="center"/>
    </xf>
    <xf numFmtId="0" fontId="0" fillId="14" borderId="0" xfId="0" applyFill="1"/>
    <xf numFmtId="164" fontId="0" fillId="9" borderId="4" xfId="0" applyNumberFormat="1" applyFill="1" applyBorder="1"/>
    <xf numFmtId="49" fontId="11" fillId="0" borderId="0" xfId="0" applyNumberFormat="1" applyFont="1" applyBorder="1" applyAlignment="1">
      <alignment horizontal="center"/>
    </xf>
    <xf numFmtId="0" fontId="13" fillId="15" borderId="2" xfId="0" applyFont="1" applyFill="1" applyBorder="1"/>
    <xf numFmtId="0" fontId="0" fillId="15" borderId="0" xfId="0" applyFill="1" applyBorder="1"/>
    <xf numFmtId="0" fontId="0" fillId="15" borderId="0" xfId="0" applyFill="1"/>
    <xf numFmtId="0" fontId="0" fillId="15" borderId="4" xfId="0" applyFill="1" applyBorder="1"/>
    <xf numFmtId="0" fontId="13" fillId="14" borderId="0" xfId="0" applyFont="1" applyFill="1"/>
    <xf numFmtId="0" fontId="0" fillId="14" borderId="4" xfId="0" applyFill="1" applyBorder="1"/>
    <xf numFmtId="0" fontId="13" fillId="6" borderId="0" xfId="0" applyFont="1" applyFill="1"/>
    <xf numFmtId="0" fontId="0" fillId="9" borderId="0" xfId="0" applyFill="1" applyBorder="1" applyAlignment="1"/>
    <xf numFmtId="165" fontId="0" fillId="9" borderId="2" xfId="0" applyNumberFormat="1" applyFill="1" applyBorder="1"/>
    <xf numFmtId="0" fontId="13" fillId="6" borderId="0" xfId="0" applyFont="1" applyFill="1" applyBorder="1"/>
    <xf numFmtId="164" fontId="11" fillId="0" borderId="8" xfId="0" applyNumberFormat="1" applyFont="1" applyFill="1" applyBorder="1" applyAlignment="1">
      <alignment horizontal="center"/>
    </xf>
    <xf numFmtId="0" fontId="0" fillId="16" borderId="0" xfId="0" applyFill="1"/>
    <xf numFmtId="0" fontId="3" fillId="16" borderId="0" xfId="0" applyFont="1" applyFill="1"/>
    <xf numFmtId="0" fontId="19" fillId="16" borderId="0" xfId="0" applyFont="1" applyFill="1"/>
    <xf numFmtId="0" fontId="20" fillId="16" borderId="0" xfId="13" applyFont="1" applyFill="1"/>
    <xf numFmtId="0" fontId="24" fillId="16" borderId="0" xfId="13" applyFont="1" applyFill="1" applyAlignment="1">
      <alignment horizontal="right"/>
    </xf>
    <xf numFmtId="0" fontId="0" fillId="16" borderId="0" xfId="0" applyFill="1" applyBorder="1"/>
    <xf numFmtId="0" fontId="3" fillId="16" borderId="0" xfId="0" applyFont="1" applyFill="1" applyBorder="1" applyAlignment="1"/>
    <xf numFmtId="0" fontId="18" fillId="16" borderId="0" xfId="13" applyFill="1" applyBorder="1" applyAlignment="1">
      <alignment horizontal="left"/>
    </xf>
    <xf numFmtId="0" fontId="3" fillId="16" borderId="0" xfId="0" applyFont="1" applyFill="1" applyAlignment="1"/>
    <xf numFmtId="0" fontId="12" fillId="16" borderId="0" xfId="0" applyFont="1" applyFill="1"/>
    <xf numFmtId="0" fontId="0" fillId="16" borderId="0" xfId="0" applyFill="1" applyAlignment="1"/>
    <xf numFmtId="0" fontId="12" fillId="16" borderId="0" xfId="0" applyFont="1" applyFill="1" applyAlignment="1">
      <alignment horizontal="right"/>
    </xf>
    <xf numFmtId="0" fontId="27" fillId="16" borderId="0" xfId="0" applyFont="1" applyFill="1" applyAlignment="1">
      <alignment horizontal="right"/>
    </xf>
    <xf numFmtId="0" fontId="11" fillId="18" borderId="8" xfId="0" applyFont="1" applyFill="1" applyBorder="1" applyAlignment="1">
      <alignment horizontal="center"/>
    </xf>
    <xf numFmtId="0" fontId="11" fillId="16" borderId="0" xfId="0" applyFont="1" applyFill="1"/>
    <xf numFmtId="0" fontId="11" fillId="16" borderId="0" xfId="0" applyFont="1" applyFill="1" applyAlignment="1">
      <alignment horizontal="left"/>
    </xf>
    <xf numFmtId="0" fontId="11" fillId="16" borderId="0" xfId="0" applyFont="1" applyFill="1" applyBorder="1"/>
    <xf numFmtId="0" fontId="28" fillId="16" borderId="0" xfId="0" applyFont="1" applyFill="1"/>
    <xf numFmtId="1" fontId="25" fillId="16" borderId="0" xfId="0" applyNumberFormat="1" applyFont="1" applyFill="1" applyAlignment="1">
      <alignment horizontal="left"/>
    </xf>
    <xf numFmtId="0" fontId="11" fillId="16" borderId="0" xfId="0" applyFont="1" applyFill="1" applyBorder="1" applyAlignment="1">
      <alignment horizontal="center"/>
    </xf>
    <xf numFmtId="0" fontId="11" fillId="16" borderId="0" xfId="0" applyNumberFormat="1" applyFont="1" applyFill="1" applyBorder="1" applyAlignment="1">
      <alignment horizontal="center"/>
    </xf>
    <xf numFmtId="49" fontId="11" fillId="16" borderId="0" xfId="0" applyNumberFormat="1" applyFont="1" applyFill="1" applyBorder="1" applyAlignment="1">
      <alignment horizontal="center"/>
    </xf>
    <xf numFmtId="0" fontId="0" fillId="20" borderId="0" xfId="0" applyFill="1" applyBorder="1"/>
    <xf numFmtId="0" fontId="0" fillId="20" borderId="7" xfId="0" applyFill="1" applyBorder="1"/>
    <xf numFmtId="0" fontId="11" fillId="20" borderId="0" xfId="0" applyFont="1" applyFill="1" applyBorder="1"/>
    <xf numFmtId="0" fontId="11" fillId="20" borderId="7" xfId="0" applyFont="1" applyFill="1" applyBorder="1"/>
    <xf numFmtId="0" fontId="11" fillId="20" borderId="0" xfId="0" applyFont="1" applyFill="1" applyBorder="1" applyAlignment="1">
      <alignment horizontal="right"/>
    </xf>
    <xf numFmtId="0" fontId="0" fillId="20" borderId="0" xfId="0" applyFill="1"/>
    <xf numFmtId="49" fontId="11" fillId="20" borderId="0" xfId="0" applyNumberFormat="1" applyFont="1" applyFill="1" applyBorder="1" applyAlignment="1">
      <alignment horizontal="center"/>
    </xf>
    <xf numFmtId="0" fontId="11" fillId="20" borderId="7" xfId="0" applyFont="1" applyFill="1" applyBorder="1" applyAlignment="1">
      <alignment horizontal="center"/>
    </xf>
    <xf numFmtId="0" fontId="14" fillId="18" borderId="8" xfId="0" applyFont="1" applyFill="1" applyBorder="1" applyAlignment="1">
      <alignment horizontal="center"/>
    </xf>
    <xf numFmtId="49" fontId="11" fillId="18" borderId="8" xfId="0" applyNumberFormat="1" applyFont="1" applyFill="1" applyBorder="1" applyAlignment="1">
      <alignment horizontal="center"/>
    </xf>
    <xf numFmtId="49" fontId="14" fillId="18" borderId="8" xfId="0" applyNumberFormat="1" applyFont="1" applyFill="1" applyBorder="1" applyAlignment="1">
      <alignment horizontal="center"/>
    </xf>
    <xf numFmtId="0" fontId="3" fillId="18" borderId="0" xfId="0" applyFont="1" applyFill="1" applyAlignment="1">
      <alignment horizontal="center"/>
    </xf>
    <xf numFmtId="0" fontId="25" fillId="20" borderId="0" xfId="0" applyFont="1" applyFill="1" applyBorder="1"/>
    <xf numFmtId="0" fontId="25" fillId="20" borderId="7" xfId="0" applyFont="1" applyFill="1" applyBorder="1"/>
    <xf numFmtId="0" fontId="31" fillId="18" borderId="8" xfId="0" applyFont="1" applyFill="1" applyBorder="1" applyAlignment="1">
      <alignment horizontal="center"/>
    </xf>
    <xf numFmtId="0" fontId="0" fillId="20" borderId="2" xfId="0" applyFill="1" applyBorder="1"/>
    <xf numFmtId="0" fontId="11" fillId="20" borderId="0" xfId="0" applyFont="1" applyFill="1"/>
    <xf numFmtId="0" fontId="13" fillId="20" borderId="0" xfId="0" applyFont="1" applyFill="1" applyAlignment="1">
      <alignment horizontal="left"/>
    </xf>
    <xf numFmtId="0" fontId="11" fillId="20" borderId="0" xfId="0" applyFont="1" applyFill="1" applyAlignment="1">
      <alignment horizontal="center"/>
    </xf>
    <xf numFmtId="0" fontId="7" fillId="20" borderId="0" xfId="0" applyFont="1" applyFill="1"/>
    <xf numFmtId="164" fontId="7" fillId="20" borderId="0" xfId="0" applyNumberFormat="1" applyFont="1" applyFill="1"/>
    <xf numFmtId="2" fontId="11" fillId="20" borderId="0" xfId="0" applyNumberFormat="1" applyFont="1" applyFill="1"/>
    <xf numFmtId="0" fontId="0" fillId="20" borderId="4" xfId="0" applyFill="1" applyBorder="1"/>
    <xf numFmtId="0" fontId="30" fillId="20" borderId="0" xfId="0" applyFont="1" applyFill="1"/>
    <xf numFmtId="0" fontId="29" fillId="20" borderId="0" xfId="0" applyFont="1" applyFill="1"/>
    <xf numFmtId="0" fontId="30" fillId="20" borderId="0" xfId="0" applyFont="1" applyFill="1" applyAlignment="1">
      <alignment horizontal="left"/>
    </xf>
    <xf numFmtId="0" fontId="29" fillId="20" borderId="0" xfId="0" applyFont="1" applyFill="1" applyAlignment="1">
      <alignment horizontal="center"/>
    </xf>
    <xf numFmtId="0" fontId="26" fillId="20" borderId="4" xfId="0" applyFont="1" applyFill="1" applyBorder="1"/>
    <xf numFmtId="0" fontId="26" fillId="20" borderId="14" xfId="0" applyFont="1" applyFill="1" applyBorder="1"/>
    <xf numFmtId="1" fontId="0" fillId="20" borderId="0" xfId="0" applyNumberFormat="1" applyFill="1"/>
    <xf numFmtId="0" fontId="11" fillId="20" borderId="2" xfId="0" applyFont="1" applyFill="1" applyBorder="1" applyAlignment="1">
      <alignment horizontal="center"/>
    </xf>
    <xf numFmtId="0" fontId="11" fillId="20" borderId="0" xfId="0" applyFont="1" applyFill="1" applyBorder="1" applyAlignment="1">
      <alignment horizontal="center"/>
    </xf>
    <xf numFmtId="1" fontId="11" fillId="20" borderId="0" xfId="0" applyNumberFormat="1" applyFont="1" applyFill="1" applyBorder="1"/>
    <xf numFmtId="0" fontId="3" fillId="20" borderId="0" xfId="0" applyFont="1" applyFill="1" applyBorder="1"/>
    <xf numFmtId="0" fontId="7" fillId="20" borderId="0" xfId="0" applyFont="1" applyFill="1" applyBorder="1"/>
    <xf numFmtId="0" fontId="33" fillId="20" borderId="0" xfId="0" applyFont="1" applyFill="1"/>
    <xf numFmtId="0" fontId="3" fillId="16" borderId="0" xfId="0" applyFont="1" applyFill="1" applyBorder="1"/>
    <xf numFmtId="0" fontId="3" fillId="18" borderId="0" xfId="0" applyFont="1" applyFill="1" applyBorder="1" applyAlignment="1">
      <alignment horizontal="center"/>
    </xf>
    <xf numFmtId="0" fontId="0" fillId="17" borderId="0" xfId="0" applyFill="1" applyBorder="1"/>
    <xf numFmtId="0" fontId="0" fillId="17" borderId="0" xfId="0" applyFill="1"/>
    <xf numFmtId="0" fontId="3" fillId="17" borderId="0" xfId="0" applyFont="1" applyFill="1" applyBorder="1"/>
    <xf numFmtId="0" fontId="3" fillId="17" borderId="0" xfId="0" applyFont="1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49" fontId="0" fillId="17" borderId="0" xfId="0" applyNumberFormat="1" applyFill="1" applyBorder="1" applyAlignment="1">
      <alignment horizontal="center"/>
    </xf>
    <xf numFmtId="49" fontId="5" fillId="17" borderId="0" xfId="0" applyNumberFormat="1" applyFont="1" applyFill="1" applyBorder="1" applyAlignment="1">
      <alignment horizontal="center"/>
    </xf>
    <xf numFmtId="0" fontId="4" fillId="17" borderId="0" xfId="0" applyFont="1" applyFill="1" applyAlignment="1">
      <alignment horizontal="right"/>
    </xf>
    <xf numFmtId="49" fontId="3" fillId="17" borderId="0" xfId="0" applyNumberFormat="1" applyFont="1" applyFill="1" applyBorder="1" applyAlignment="1">
      <alignment horizontal="center"/>
    </xf>
    <xf numFmtId="0" fontId="4" fillId="17" borderId="0" xfId="0" applyFont="1" applyFill="1" applyBorder="1" applyAlignment="1">
      <alignment horizontal="right"/>
    </xf>
    <xf numFmtId="49" fontId="3" fillId="17" borderId="0" xfId="0" applyNumberFormat="1" applyFont="1" applyFill="1" applyBorder="1" applyAlignment="1">
      <alignment horizontal="left"/>
    </xf>
    <xf numFmtId="0" fontId="3" fillId="17" borderId="0" xfId="0" applyFont="1" applyFill="1" applyAlignment="1">
      <alignment horizontal="right"/>
    </xf>
    <xf numFmtId="0" fontId="3" fillId="17" borderId="0" xfId="0" applyFont="1" applyFill="1"/>
    <xf numFmtId="0" fontId="11" fillId="16" borderId="17" xfId="0" applyFont="1" applyFill="1" applyBorder="1"/>
    <xf numFmtId="0" fontId="0" fillId="16" borderId="18" xfId="0" applyFill="1" applyBorder="1"/>
    <xf numFmtId="0" fontId="0" fillId="20" borderId="17" xfId="0" applyFill="1" applyBorder="1"/>
    <xf numFmtId="0" fontId="0" fillId="20" borderId="18" xfId="0" applyFill="1" applyBorder="1"/>
    <xf numFmtId="0" fontId="0" fillId="20" borderId="19" xfId="0" applyFill="1" applyBorder="1"/>
    <xf numFmtId="0" fontId="4" fillId="16" borderId="0" xfId="0" applyFont="1" applyFill="1"/>
    <xf numFmtId="0" fontId="35" fillId="16" borderId="0" xfId="0" applyFont="1" applyFill="1"/>
    <xf numFmtId="0" fontId="36" fillId="16" borderId="0" xfId="0" applyFont="1" applyFill="1" applyBorder="1" applyAlignment="1">
      <alignment horizontal="right"/>
    </xf>
    <xf numFmtId="0" fontId="34" fillId="16" borderId="0" xfId="0" applyFont="1" applyFill="1"/>
    <xf numFmtId="0" fontId="36" fillId="16" borderId="0" xfId="0" applyFont="1" applyFill="1" applyAlignment="1">
      <alignment horizontal="right"/>
    </xf>
    <xf numFmtId="0" fontId="9" fillId="16" borderId="0" xfId="0" applyFont="1" applyFill="1"/>
    <xf numFmtId="0" fontId="31" fillId="16" borderId="0" xfId="0" applyFont="1" applyFill="1"/>
    <xf numFmtId="0" fontId="11" fillId="8" borderId="8" xfId="0" applyFont="1" applyFill="1" applyBorder="1" applyAlignment="1">
      <alignment horizontal="center"/>
    </xf>
    <xf numFmtId="0" fontId="11" fillId="8" borderId="8" xfId="1" applyNumberFormat="1" applyFont="1" applyFill="1" applyBorder="1" applyAlignment="1">
      <alignment horizontal="center"/>
    </xf>
    <xf numFmtId="0" fontId="0" fillId="20" borderId="20" xfId="0" applyFill="1" applyBorder="1"/>
    <xf numFmtId="0" fontId="0" fillId="20" borderId="21" xfId="0" applyFill="1" applyBorder="1"/>
    <xf numFmtId="0" fontId="11" fillId="18" borderId="8" xfId="0" applyFont="1" applyFill="1" applyBorder="1"/>
    <xf numFmtId="0" fontId="30" fillId="20" borderId="0" xfId="0" applyFont="1" applyFill="1" applyBorder="1"/>
    <xf numFmtId="0" fontId="29" fillId="20" borderId="0" xfId="0" applyFont="1" applyFill="1" applyBorder="1"/>
    <xf numFmtId="0" fontId="29" fillId="20" borderId="0" xfId="0" applyFont="1" applyFill="1" applyBorder="1" applyAlignment="1"/>
    <xf numFmtId="0" fontId="0" fillId="20" borderId="2" xfId="0" applyFill="1" applyBorder="1" applyAlignment="1"/>
    <xf numFmtId="0" fontId="0" fillId="20" borderId="0" xfId="0" applyFill="1" applyAlignment="1"/>
    <xf numFmtId="164" fontId="0" fillId="20" borderId="0" xfId="0" applyNumberFormat="1" applyFill="1"/>
    <xf numFmtId="165" fontId="0" fillId="20" borderId="0" xfId="0" applyNumberFormat="1" applyFill="1"/>
    <xf numFmtId="0" fontId="0" fillId="20" borderId="4" xfId="0" applyFill="1" applyBorder="1" applyAlignment="1"/>
    <xf numFmtId="0" fontId="0" fillId="17" borderId="0" xfId="0" applyFill="1" applyBorder="1" applyAlignment="1"/>
    <xf numFmtId="0" fontId="3" fillId="17" borderId="0" xfId="0" applyFont="1" applyFill="1" applyBorder="1" applyAlignment="1"/>
    <xf numFmtId="0" fontId="28" fillId="20" borderId="0" xfId="0" applyFont="1" applyFill="1"/>
    <xf numFmtId="0" fontId="0" fillId="18" borderId="0" xfId="0" applyFill="1" applyBorder="1"/>
    <xf numFmtId="0" fontId="0" fillId="18" borderId="0" xfId="0" applyFill="1" applyBorder="1" applyAlignment="1">
      <alignment horizontal="center"/>
    </xf>
    <xf numFmtId="49" fontId="0" fillId="18" borderId="0" xfId="0" applyNumberForma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15" fillId="18" borderId="0" xfId="0" applyFont="1" applyFill="1" applyBorder="1" applyAlignment="1">
      <alignment horizontal="left" vertical="top"/>
    </xf>
    <xf numFmtId="0" fontId="4" fillId="18" borderId="0" xfId="0" applyFont="1" applyFill="1" applyBorder="1"/>
    <xf numFmtId="0" fontId="7" fillId="18" borderId="0" xfId="0" applyFont="1" applyFill="1" applyBorder="1" applyAlignment="1"/>
    <xf numFmtId="0" fontId="3" fillId="18" borderId="0" xfId="0" applyFont="1" applyFill="1" applyBorder="1" applyAlignment="1"/>
    <xf numFmtId="0" fontId="0" fillId="18" borderId="0" xfId="0" applyFill="1"/>
    <xf numFmtId="49" fontId="0" fillId="18" borderId="0" xfId="0" applyNumberFormat="1" applyFill="1"/>
    <xf numFmtId="0" fontId="0" fillId="18" borderId="0" xfId="0" applyFill="1" applyAlignment="1">
      <alignment horizontal="center"/>
    </xf>
    <xf numFmtId="49" fontId="0" fillId="18" borderId="0" xfId="0" applyNumberFormat="1" applyFill="1" applyBorder="1" applyAlignment="1">
      <alignment horizontal="left"/>
    </xf>
    <xf numFmtId="0" fontId="3" fillId="18" borderId="0" xfId="0" applyFont="1" applyFill="1"/>
    <xf numFmtId="0" fontId="15" fillId="18" borderId="0" xfId="0" applyFont="1" applyFill="1" applyBorder="1"/>
    <xf numFmtId="2" fontId="3" fillId="18" borderId="0" xfId="0" applyNumberFormat="1" applyFont="1" applyFill="1"/>
    <xf numFmtId="0" fontId="7" fillId="18" borderId="0" xfId="0" applyFont="1" applyFill="1"/>
    <xf numFmtId="0" fontId="3" fillId="18" borderId="0" xfId="0" applyFont="1" applyFill="1" applyBorder="1"/>
    <xf numFmtId="0" fontId="11" fillId="18" borderId="0" xfId="0" applyFont="1" applyFill="1" applyBorder="1" applyAlignment="1"/>
    <xf numFmtId="0" fontId="3" fillId="18" borderId="0" xfId="0" applyFont="1" applyFill="1" applyBorder="1" applyAlignment="1">
      <alignment horizontal="left"/>
    </xf>
    <xf numFmtId="168" fontId="3" fillId="18" borderId="0" xfId="0" applyNumberFormat="1" applyFont="1" applyFill="1"/>
    <xf numFmtId="0" fontId="4" fillId="18" borderId="0" xfId="0" applyFont="1" applyFill="1"/>
    <xf numFmtId="0" fontId="15" fillId="18" borderId="0" xfId="0" applyFont="1" applyFill="1"/>
    <xf numFmtId="0" fontId="6" fillId="18" borderId="0" xfId="0" applyFont="1" applyFill="1" applyBorder="1" applyAlignment="1">
      <alignment horizontal="right"/>
    </xf>
    <xf numFmtId="0" fontId="11" fillId="18" borderId="0" xfId="0" applyFont="1" applyFill="1"/>
    <xf numFmtId="0" fontId="13" fillId="18" borderId="0" xfId="0" applyFont="1" applyFill="1" applyAlignment="1">
      <alignment horizontal="left"/>
    </xf>
    <xf numFmtId="0" fontId="11" fillId="18" borderId="0" xfId="0" applyFont="1" applyFill="1" applyBorder="1" applyAlignment="1">
      <alignment horizontal="right"/>
    </xf>
    <xf numFmtId="0" fontId="13" fillId="18" borderId="0" xfId="0" applyFont="1" applyFill="1"/>
    <xf numFmtId="0" fontId="13" fillId="18" borderId="0" xfId="0" applyFont="1" applyFill="1" applyBorder="1" applyAlignment="1">
      <alignment horizontal="left"/>
    </xf>
    <xf numFmtId="0" fontId="11" fillId="18" borderId="0" xfId="0" applyFont="1" applyFill="1" applyAlignment="1">
      <alignment horizontal="left"/>
    </xf>
    <xf numFmtId="0" fontId="38" fillId="18" borderId="0" xfId="13" applyFont="1" applyFill="1"/>
    <xf numFmtId="0" fontId="11" fillId="19" borderId="15" xfId="0" applyFont="1" applyFill="1" applyBorder="1" applyAlignment="1">
      <alignment horizontal="left"/>
    </xf>
    <xf numFmtId="0" fontId="11" fillId="19" borderId="8" xfId="0" applyFont="1" applyFill="1" applyBorder="1" applyAlignment="1">
      <alignment horizontal="left"/>
    </xf>
    <xf numFmtId="0" fontId="11" fillId="19" borderId="15" xfId="0" applyFont="1" applyFill="1" applyBorder="1"/>
    <xf numFmtId="0" fontId="11" fillId="19" borderId="8" xfId="0" applyFont="1" applyFill="1" applyBorder="1"/>
    <xf numFmtId="0" fontId="3" fillId="18" borderId="3" xfId="0" applyFont="1" applyFill="1" applyBorder="1"/>
    <xf numFmtId="0" fontId="0" fillId="18" borderId="3" xfId="0" applyFill="1" applyBorder="1"/>
    <xf numFmtId="0" fontId="9" fillId="18" borderId="0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 wrapText="1"/>
    </xf>
    <xf numFmtId="2" fontId="3" fillId="18" borderId="0" xfId="0" applyNumberFormat="1" applyFont="1" applyFill="1" applyBorder="1" applyAlignment="1">
      <alignment horizontal="center"/>
    </xf>
    <xf numFmtId="3" fontId="9" fillId="18" borderId="0" xfId="0" applyNumberFormat="1" applyFont="1" applyFill="1" applyBorder="1" applyAlignment="1">
      <alignment horizontal="center"/>
    </xf>
    <xf numFmtId="164" fontId="9" fillId="18" borderId="0" xfId="0" applyNumberFormat="1" applyFont="1" applyFill="1" applyBorder="1" applyAlignment="1">
      <alignment horizontal="center"/>
    </xf>
    <xf numFmtId="3" fontId="7" fillId="18" borderId="0" xfId="0" applyNumberFormat="1" applyFont="1" applyFill="1" applyBorder="1" applyAlignment="1">
      <alignment horizontal="center"/>
    </xf>
    <xf numFmtId="164" fontId="7" fillId="18" borderId="0" xfId="0" applyNumberFormat="1" applyFont="1" applyFill="1" applyBorder="1" applyAlignment="1">
      <alignment horizontal="center"/>
    </xf>
    <xf numFmtId="2" fontId="7" fillId="18" borderId="0" xfId="0" applyNumberFormat="1" applyFont="1" applyFill="1" applyBorder="1" applyAlignment="1">
      <alignment horizontal="center"/>
    </xf>
    <xf numFmtId="4" fontId="7" fillId="18" borderId="0" xfId="0" applyNumberFormat="1" applyFont="1" applyFill="1" applyBorder="1" applyAlignment="1">
      <alignment horizontal="center"/>
    </xf>
    <xf numFmtId="0" fontId="7" fillId="18" borderId="0" xfId="0" applyFont="1" applyFill="1" applyBorder="1" applyAlignment="1">
      <alignment horizontal="center"/>
    </xf>
    <xf numFmtId="3" fontId="10" fillId="18" borderId="0" xfId="0" applyNumberFormat="1" applyFont="1" applyFill="1" applyBorder="1" applyAlignment="1">
      <alignment horizontal="center"/>
    </xf>
    <xf numFmtId="164" fontId="10" fillId="18" borderId="0" xfId="0" applyNumberFormat="1" applyFont="1" applyFill="1" applyBorder="1" applyAlignment="1">
      <alignment horizontal="center"/>
    </xf>
    <xf numFmtId="2" fontId="10" fillId="18" borderId="0" xfId="0" applyNumberFormat="1" applyFont="1" applyFill="1" applyBorder="1" applyAlignment="1">
      <alignment horizontal="center"/>
    </xf>
    <xf numFmtId="4" fontId="10" fillId="18" borderId="0" xfId="0" applyNumberFormat="1" applyFont="1" applyFill="1" applyBorder="1" applyAlignment="1">
      <alignment horizontal="center"/>
    </xf>
    <xf numFmtId="0" fontId="10" fillId="18" borderId="0" xfId="0" applyFont="1" applyFill="1" applyBorder="1" applyAlignment="1">
      <alignment horizontal="center"/>
    </xf>
    <xf numFmtId="3" fontId="3" fillId="18" borderId="0" xfId="0" applyNumberFormat="1" applyFont="1" applyFill="1" applyBorder="1" applyAlignment="1">
      <alignment horizontal="center"/>
    </xf>
    <xf numFmtId="164" fontId="3" fillId="18" borderId="0" xfId="0" applyNumberFormat="1" applyFont="1" applyFill="1" applyBorder="1" applyAlignment="1">
      <alignment horizontal="center"/>
    </xf>
    <xf numFmtId="4" fontId="3" fillId="18" borderId="0" xfId="0" applyNumberFormat="1" applyFont="1" applyFill="1" applyBorder="1" applyAlignment="1">
      <alignment horizontal="center"/>
    </xf>
    <xf numFmtId="0" fontId="3" fillId="19" borderId="8" xfId="0" applyFont="1" applyFill="1" applyBorder="1" applyAlignment="1">
      <alignment horizontal="center"/>
    </xf>
    <xf numFmtId="3" fontId="3" fillId="19" borderId="8" xfId="0" applyNumberFormat="1" applyFont="1" applyFill="1" applyBorder="1" applyAlignment="1">
      <alignment horizontal="center"/>
    </xf>
    <xf numFmtId="164" fontId="3" fillId="8" borderId="8" xfId="0" applyNumberFormat="1" applyFont="1" applyFill="1" applyBorder="1" applyAlignment="1">
      <alignment horizontal="center"/>
    </xf>
    <xf numFmtId="167" fontId="3" fillId="8" borderId="8" xfId="0" applyNumberFormat="1" applyFont="1" applyFill="1" applyBorder="1" applyAlignment="1">
      <alignment horizontal="center"/>
    </xf>
    <xf numFmtId="4" fontId="3" fillId="8" borderId="8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2" fontId="3" fillId="8" borderId="8" xfId="0" applyNumberFormat="1" applyFont="1" applyFill="1" applyBorder="1" applyAlignment="1">
      <alignment horizontal="center"/>
    </xf>
    <xf numFmtId="0" fontId="33" fillId="16" borderId="8" xfId="0" applyFont="1" applyFill="1" applyBorder="1" applyAlignment="1">
      <alignment horizontal="center"/>
    </xf>
    <xf numFmtId="0" fontId="33" fillId="16" borderId="8" xfId="0" applyFont="1" applyFill="1" applyBorder="1" applyAlignment="1">
      <alignment horizontal="center" wrapText="1"/>
    </xf>
    <xf numFmtId="2" fontId="33" fillId="16" borderId="8" xfId="0" applyNumberFormat="1" applyFont="1" applyFill="1" applyBorder="1" applyAlignment="1">
      <alignment horizontal="center"/>
    </xf>
    <xf numFmtId="3" fontId="3" fillId="19" borderId="16" xfId="0" applyNumberFormat="1" applyFont="1" applyFill="1" applyBorder="1" applyAlignment="1">
      <alignment horizontal="center"/>
    </xf>
    <xf numFmtId="49" fontId="3" fillId="19" borderId="8" xfId="3" applyNumberFormat="1" applyFont="1" applyFill="1" applyBorder="1" applyAlignment="1">
      <alignment horizontal="center"/>
    </xf>
    <xf numFmtId="0" fontId="3" fillId="19" borderId="16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164" fontId="11" fillId="8" borderId="8" xfId="0" applyNumberFormat="1" applyFont="1" applyFill="1" applyBorder="1" applyAlignment="1">
      <alignment horizontal="center"/>
    </xf>
    <xf numFmtId="1" fontId="11" fillId="8" borderId="8" xfId="0" applyNumberFormat="1" applyFont="1" applyFill="1" applyBorder="1"/>
    <xf numFmtId="0" fontId="16" fillId="18" borderId="8" xfId="0" applyFont="1" applyFill="1" applyBorder="1" applyAlignment="1">
      <alignment vertical="center"/>
    </xf>
    <xf numFmtId="0" fontId="17" fillId="18" borderId="8" xfId="0" applyFont="1" applyFill="1" applyBorder="1" applyAlignment="1">
      <alignment horizontal="center" vertical="center"/>
    </xf>
    <xf numFmtId="0" fontId="16" fillId="18" borderId="11" xfId="0" applyFont="1" applyFill="1" applyBorder="1" applyAlignment="1">
      <alignment horizontal="center" vertical="center"/>
    </xf>
    <xf numFmtId="0" fontId="16" fillId="18" borderId="10" xfId="0" applyFont="1" applyFill="1" applyBorder="1" applyAlignment="1">
      <alignment horizontal="center" vertical="center"/>
    </xf>
    <xf numFmtId="165" fontId="16" fillId="18" borderId="10" xfId="0" applyNumberFormat="1" applyFont="1" applyFill="1" applyBorder="1" applyAlignment="1">
      <alignment horizontal="center" vertical="center"/>
    </xf>
    <xf numFmtId="0" fontId="16" fillId="18" borderId="9" xfId="0" applyFont="1" applyFill="1" applyBorder="1" applyAlignment="1">
      <alignment horizontal="center" vertical="center"/>
    </xf>
    <xf numFmtId="0" fontId="17" fillId="18" borderId="8" xfId="0" applyFont="1" applyFill="1" applyBorder="1" applyAlignment="1">
      <alignment vertical="center"/>
    </xf>
    <xf numFmtId="1" fontId="17" fillId="18" borderId="8" xfId="0" applyNumberFormat="1" applyFont="1" applyFill="1" applyBorder="1" applyAlignment="1">
      <alignment horizontal="right" vertical="center" wrapText="1"/>
    </xf>
    <xf numFmtId="0" fontId="11" fillId="18" borderId="0" xfId="0" applyFont="1" applyFill="1" applyBorder="1"/>
    <xf numFmtId="0" fontId="11" fillId="18" borderId="7" xfId="0" applyFont="1" applyFill="1" applyBorder="1"/>
    <xf numFmtId="0" fontId="11" fillId="18" borderId="6" xfId="0" applyFont="1" applyFill="1" applyBorder="1"/>
    <xf numFmtId="0" fontId="11" fillId="18" borderId="4" xfId="0" applyFont="1" applyFill="1" applyBorder="1"/>
    <xf numFmtId="0" fontId="11" fillId="18" borderId="14" xfId="0" applyFont="1" applyFill="1" applyBorder="1"/>
    <xf numFmtId="0" fontId="16" fillId="18" borderId="0" xfId="0" applyFont="1" applyFill="1" applyBorder="1" applyAlignment="1">
      <alignment horizontal="left" vertical="center"/>
    </xf>
    <xf numFmtId="0" fontId="17" fillId="18" borderId="0" xfId="0" applyFont="1" applyFill="1" applyBorder="1" applyAlignment="1">
      <alignment horizontal="center" vertical="center"/>
    </xf>
    <xf numFmtId="0" fontId="17" fillId="18" borderId="0" xfId="0" applyFont="1" applyFill="1" applyBorder="1" applyAlignment="1">
      <alignment vertical="center"/>
    </xf>
    <xf numFmtId="1" fontId="17" fillId="18" borderId="0" xfId="0" applyNumberFormat="1" applyFont="1" applyFill="1" applyBorder="1" applyAlignment="1">
      <alignment horizontal="right" vertical="center" wrapText="1"/>
    </xf>
    <xf numFmtId="0" fontId="18" fillId="18" borderId="0" xfId="13" applyFill="1"/>
    <xf numFmtId="170" fontId="0" fillId="18" borderId="0" xfId="0" applyNumberFormat="1" applyFill="1"/>
    <xf numFmtId="3" fontId="0" fillId="18" borderId="0" xfId="0" applyNumberFormat="1" applyFill="1" applyBorder="1"/>
    <xf numFmtId="0" fontId="18" fillId="18" borderId="0" xfId="13" applyFill="1" applyBorder="1" applyAlignment="1">
      <alignment vertical="center"/>
    </xf>
    <xf numFmtId="0" fontId="11" fillId="18" borderId="0" xfId="0" applyFont="1" applyFill="1" applyBorder="1" applyAlignment="1">
      <alignment horizontal="left"/>
    </xf>
    <xf numFmtId="166" fontId="11" fillId="18" borderId="0" xfId="0" applyNumberFormat="1" applyFont="1" applyFill="1" applyBorder="1" applyAlignment="1">
      <alignment horizontal="center" vertical="center"/>
    </xf>
    <xf numFmtId="0" fontId="13" fillId="18" borderId="0" xfId="0" applyFont="1" applyFill="1" applyBorder="1"/>
    <xf numFmtId="0" fontId="11" fillId="18" borderId="0" xfId="0" applyFont="1" applyFill="1" applyBorder="1" applyAlignment="1">
      <alignment vertical="center"/>
    </xf>
    <xf numFmtId="1" fontId="11" fillId="18" borderId="0" xfId="0" applyNumberFormat="1" applyFont="1" applyFill="1" applyBorder="1" applyAlignment="1">
      <alignment horizontal="right"/>
    </xf>
    <xf numFmtId="0" fontId="11" fillId="18" borderId="0" xfId="0" applyFont="1" applyFill="1" applyBorder="1" applyAlignment="1">
      <alignment horizontal="left" vertical="center"/>
    </xf>
    <xf numFmtId="0" fontId="8" fillId="18" borderId="0" xfId="0" applyFont="1" applyFill="1" applyBorder="1" applyAlignment="1">
      <alignment vertical="center"/>
    </xf>
    <xf numFmtId="166" fontId="8" fillId="18" borderId="0" xfId="0" applyNumberFormat="1" applyFont="1" applyFill="1" applyBorder="1" applyAlignment="1">
      <alignment horizontal="center" vertical="center"/>
    </xf>
    <xf numFmtId="0" fontId="8" fillId="18" borderId="0" xfId="0" applyFont="1" applyFill="1" applyBorder="1" applyAlignment="1">
      <alignment horizontal="right" vertical="center"/>
    </xf>
    <xf numFmtId="1" fontId="8" fillId="18" borderId="0" xfId="0" applyNumberFormat="1" applyFont="1" applyFill="1" applyBorder="1"/>
    <xf numFmtId="2" fontId="3" fillId="18" borderId="0" xfId="0" applyNumberFormat="1" applyFont="1" applyFill="1" applyBorder="1"/>
    <xf numFmtId="164" fontId="3" fillId="18" borderId="0" xfId="0" applyNumberFormat="1" applyFont="1" applyFill="1" applyBorder="1"/>
    <xf numFmtId="0" fontId="11" fillId="18" borderId="0" xfId="12" applyFont="1" applyFill="1"/>
    <xf numFmtId="0" fontId="32" fillId="18" borderId="0" xfId="0" applyFont="1" applyFill="1"/>
    <xf numFmtId="0" fontId="29" fillId="16" borderId="8" xfId="0" applyFont="1" applyFill="1" applyBorder="1" applyAlignment="1">
      <alignment horizontal="center" vertical="center"/>
    </xf>
    <xf numFmtId="0" fontId="11" fillId="19" borderId="9" xfId="0" applyFont="1" applyFill="1" applyBorder="1" applyAlignment="1">
      <alignment horizontal="center" vertical="center"/>
    </xf>
    <xf numFmtId="0" fontId="11" fillId="19" borderId="8" xfId="0" applyFont="1" applyFill="1" applyBorder="1" applyAlignment="1">
      <alignment horizontal="center" vertical="center"/>
    </xf>
    <xf numFmtId="2" fontId="11" fillId="19" borderId="9" xfId="0" applyNumberFormat="1" applyFont="1" applyFill="1" applyBorder="1" applyAlignment="1">
      <alignment horizontal="center" vertical="center"/>
    </xf>
    <xf numFmtId="2" fontId="11" fillId="19" borderId="8" xfId="0" applyNumberFormat="1" applyFont="1" applyFill="1" applyBorder="1" applyAlignment="1">
      <alignment horizontal="center" vertical="center"/>
    </xf>
    <xf numFmtId="0" fontId="11" fillId="19" borderId="8" xfId="1" applyNumberFormat="1" applyFont="1" applyFill="1" applyBorder="1" applyAlignment="1">
      <alignment horizontal="center"/>
    </xf>
    <xf numFmtId="2" fontId="11" fillId="19" borderId="5" xfId="0" applyNumberFormat="1" applyFont="1" applyFill="1" applyBorder="1" applyAlignment="1">
      <alignment horizontal="center" vertical="center"/>
    </xf>
    <xf numFmtId="2" fontId="11" fillId="19" borderId="12" xfId="0" applyNumberFormat="1" applyFont="1" applyFill="1" applyBorder="1" applyAlignment="1">
      <alignment horizontal="center" vertical="center"/>
    </xf>
    <xf numFmtId="0" fontId="11" fillId="19" borderId="13" xfId="1" applyNumberFormat="1" applyFont="1" applyFill="1" applyBorder="1" applyAlignment="1">
      <alignment horizontal="center"/>
    </xf>
    <xf numFmtId="0" fontId="11" fillId="16" borderId="22" xfId="0" applyFont="1" applyFill="1" applyBorder="1"/>
    <xf numFmtId="0" fontId="11" fillId="16" borderId="23" xfId="0" applyFont="1" applyFill="1" applyBorder="1"/>
    <xf numFmtId="0" fontId="29" fillId="16" borderId="11" xfId="0" applyFont="1" applyFill="1" applyBorder="1" applyAlignment="1">
      <alignment horizontal="center" vertical="center"/>
    </xf>
    <xf numFmtId="1" fontId="17" fillId="19" borderId="8" xfId="0" applyNumberFormat="1" applyFont="1" applyFill="1" applyBorder="1" applyAlignment="1">
      <alignment horizontal="right" vertical="center" wrapText="1"/>
    </xf>
    <xf numFmtId="1" fontId="17" fillId="19" borderId="11" xfId="0" applyNumberFormat="1" applyFont="1" applyFill="1" applyBorder="1" applyAlignment="1">
      <alignment horizontal="right" vertical="center" wrapText="1"/>
    </xf>
    <xf numFmtId="0" fontId="17" fillId="19" borderId="8" xfId="0" applyFont="1" applyFill="1" applyBorder="1" applyAlignment="1">
      <alignment horizontal="center" vertical="center"/>
    </xf>
    <xf numFmtId="0" fontId="11" fillId="19" borderId="8" xfId="0" applyFont="1" applyFill="1" applyBorder="1" applyAlignment="1">
      <alignment horizontal="center" vertical="center" wrapText="1"/>
    </xf>
    <xf numFmtId="0" fontId="30" fillId="16" borderId="8" xfId="0" applyFont="1" applyFill="1" applyBorder="1" applyAlignment="1">
      <alignment horizontal="center" vertical="center" wrapText="1"/>
    </xf>
    <xf numFmtId="0" fontId="33" fillId="16" borderId="0" xfId="0" applyFont="1" applyFill="1"/>
    <xf numFmtId="0" fontId="33" fillId="16" borderId="0" xfId="0" applyFont="1" applyFill="1" applyAlignment="1">
      <alignment horizontal="center"/>
    </xf>
    <xf numFmtId="0" fontId="0" fillId="20" borderId="25" xfId="0" applyFill="1" applyBorder="1"/>
    <xf numFmtId="0" fontId="0" fillId="20" borderId="26" xfId="0" applyFill="1" applyBorder="1"/>
    <xf numFmtId="0" fontId="0" fillId="20" borderId="27" xfId="0" applyFill="1" applyBorder="1"/>
    <xf numFmtId="0" fontId="26" fillId="20" borderId="28" xfId="0" applyFont="1" applyFill="1" applyBorder="1"/>
    <xf numFmtId="0" fontId="26" fillId="20" borderId="29" xfId="0" applyFont="1" applyFill="1" applyBorder="1"/>
    <xf numFmtId="0" fontId="29" fillId="20" borderId="24" xfId="0" applyFont="1" applyFill="1" applyBorder="1" applyAlignment="1">
      <alignment horizontal="right"/>
    </xf>
    <xf numFmtId="0" fontId="11" fillId="8" borderId="30" xfId="0" applyFont="1" applyFill="1" applyBorder="1" applyAlignment="1">
      <alignment horizontal="center"/>
    </xf>
    <xf numFmtId="0" fontId="29" fillId="20" borderId="31" xfId="0" applyFont="1" applyFill="1" applyBorder="1" applyAlignment="1">
      <alignment horizontal="right"/>
    </xf>
    <xf numFmtId="49" fontId="29" fillId="20" borderId="31" xfId="0" applyNumberFormat="1" applyFont="1" applyFill="1" applyBorder="1" applyAlignment="1">
      <alignment horizontal="right"/>
    </xf>
    <xf numFmtId="0" fontId="29" fillId="20" borderId="28" xfId="0" applyFont="1" applyFill="1" applyBorder="1" applyAlignment="1">
      <alignment horizontal="right"/>
    </xf>
    <xf numFmtId="0" fontId="11" fillId="8" borderId="30" xfId="1" applyNumberFormat="1" applyFont="1" applyFill="1" applyBorder="1" applyAlignment="1">
      <alignment horizontal="center"/>
    </xf>
    <xf numFmtId="0" fontId="29" fillId="16" borderId="24" xfId="0" applyFont="1" applyFill="1" applyBorder="1" applyAlignment="1">
      <alignment horizontal="center"/>
    </xf>
    <xf numFmtId="0" fontId="29" fillId="16" borderId="31" xfId="0" applyFont="1" applyFill="1" applyBorder="1" applyAlignment="1">
      <alignment horizontal="center"/>
    </xf>
    <xf numFmtId="1" fontId="11" fillId="8" borderId="30" xfId="0" applyNumberFormat="1" applyFont="1" applyFill="1" applyBorder="1"/>
    <xf numFmtId="0" fontId="30" fillId="16" borderId="31" xfId="0" applyFont="1" applyFill="1" applyBorder="1" applyAlignment="1">
      <alignment horizontal="center"/>
    </xf>
    <xf numFmtId="0" fontId="29" fillId="16" borderId="32" xfId="0" applyFont="1" applyFill="1" applyBorder="1" applyAlignment="1">
      <alignment horizontal="center"/>
    </xf>
    <xf numFmtId="0" fontId="26" fillId="20" borderId="26" xfId="0" applyFont="1" applyFill="1" applyBorder="1"/>
    <xf numFmtId="0" fontId="0" fillId="20" borderId="26" xfId="0" applyFill="1" applyBorder="1" applyAlignment="1"/>
    <xf numFmtId="0" fontId="0" fillId="20" borderId="33" xfId="0" applyFill="1" applyBorder="1"/>
    <xf numFmtId="0" fontId="0" fillId="20" borderId="28" xfId="0" applyFill="1" applyBorder="1"/>
    <xf numFmtId="0" fontId="0" fillId="20" borderId="34" xfId="0" applyFill="1" applyBorder="1"/>
    <xf numFmtId="0" fontId="29" fillId="20" borderId="32" xfId="0" applyFont="1" applyFill="1" applyBorder="1" applyAlignment="1">
      <alignment horizontal="right"/>
    </xf>
    <xf numFmtId="0" fontId="11" fillId="8" borderId="35" xfId="0" applyFont="1" applyFill="1" applyBorder="1" applyAlignment="1">
      <alignment horizontal="center"/>
    </xf>
    <xf numFmtId="0" fontId="31" fillId="8" borderId="30" xfId="0" applyFont="1" applyFill="1" applyBorder="1" applyAlignment="1">
      <alignment horizontal="center"/>
    </xf>
    <xf numFmtId="0" fontId="29" fillId="16" borderId="36" xfId="0" applyFont="1" applyFill="1" applyBorder="1" applyAlignment="1">
      <alignment horizontal="center"/>
    </xf>
    <xf numFmtId="0" fontId="30" fillId="16" borderId="24" xfId="0" applyFont="1" applyFill="1" applyBorder="1" applyAlignment="1">
      <alignment horizontal="center"/>
    </xf>
    <xf numFmtId="0" fontId="30" fillId="16" borderId="30" xfId="0" applyFont="1" applyFill="1" applyBorder="1" applyAlignment="1">
      <alignment horizontal="center"/>
    </xf>
    <xf numFmtId="0" fontId="30" fillId="16" borderId="30" xfId="0" applyFont="1" applyFill="1" applyBorder="1"/>
    <xf numFmtId="0" fontId="11" fillId="18" borderId="31" xfId="0" applyFont="1" applyFill="1" applyBorder="1" applyAlignment="1">
      <alignment horizontal="center"/>
    </xf>
    <xf numFmtId="0" fontId="29" fillId="16" borderId="30" xfId="0" applyFont="1" applyFill="1" applyBorder="1" applyAlignment="1">
      <alignment horizontal="center"/>
    </xf>
    <xf numFmtId="49" fontId="29" fillId="16" borderId="30" xfId="0" applyNumberFormat="1" applyFont="1" applyFill="1" applyBorder="1" applyAlignment="1">
      <alignment horizontal="center"/>
    </xf>
    <xf numFmtId="0" fontId="30" fillId="16" borderId="37" xfId="0" applyFont="1" applyFill="1" applyBorder="1" applyAlignment="1">
      <alignment horizontal="center"/>
    </xf>
    <xf numFmtId="0" fontId="30" fillId="16" borderId="35" xfId="0" applyFont="1" applyFill="1" applyBorder="1" applyAlignment="1">
      <alignment horizontal="center"/>
    </xf>
    <xf numFmtId="0" fontId="31" fillId="18" borderId="31" xfId="0" applyFont="1" applyFill="1" applyBorder="1" applyAlignment="1">
      <alignment horizontal="center"/>
    </xf>
    <xf numFmtId="0" fontId="11" fillId="18" borderId="31" xfId="0" applyNumberFormat="1" applyFont="1" applyFill="1" applyBorder="1" applyAlignment="1">
      <alignment horizontal="center"/>
    </xf>
    <xf numFmtId="49" fontId="11" fillId="18" borderId="31" xfId="0" applyNumberFormat="1" applyFont="1" applyFill="1" applyBorder="1" applyAlignment="1">
      <alignment horizontal="center"/>
    </xf>
    <xf numFmtId="0" fontId="39" fillId="16" borderId="0" xfId="0" applyFont="1" applyFill="1" applyBorder="1"/>
    <xf numFmtId="0" fontId="40" fillId="16" borderId="0" xfId="0" applyFont="1" applyFill="1" applyBorder="1"/>
    <xf numFmtId="0" fontId="29" fillId="16" borderId="0" xfId="0" applyFont="1" applyFill="1"/>
    <xf numFmtId="0" fontId="30" fillId="16" borderId="0" xfId="0" applyFont="1" applyFill="1" applyAlignment="1">
      <alignment horizontal="left"/>
    </xf>
    <xf numFmtId="0" fontId="30" fillId="16" borderId="0" xfId="0" applyFont="1" applyFill="1"/>
    <xf numFmtId="0" fontId="30" fillId="16" borderId="0" xfId="0" applyFont="1" applyFill="1" applyBorder="1" applyAlignment="1"/>
    <xf numFmtId="0" fontId="29" fillId="20" borderId="7" xfId="0" applyFont="1" applyFill="1" applyBorder="1"/>
    <xf numFmtId="0" fontId="30" fillId="20" borderId="0" xfId="0" applyFont="1" applyFill="1" applyBorder="1" applyAlignment="1">
      <alignment horizontal="left"/>
    </xf>
    <xf numFmtId="0" fontId="41" fillId="16" borderId="0" xfId="0" applyFont="1" applyFill="1" applyBorder="1"/>
    <xf numFmtId="0" fontId="40" fillId="20" borderId="2" xfId="0" applyFont="1" applyFill="1" applyBorder="1"/>
    <xf numFmtId="0" fontId="41" fillId="16" borderId="0" xfId="0" applyFont="1" applyFill="1"/>
    <xf numFmtId="0" fontId="39" fillId="16" borderId="0" xfId="0" applyFont="1" applyFill="1"/>
    <xf numFmtId="0" fontId="29" fillId="20" borderId="2" xfId="0" applyFont="1" applyFill="1" applyBorder="1" applyAlignment="1">
      <alignment horizontal="center"/>
    </xf>
    <xf numFmtId="0" fontId="29" fillId="20" borderId="0" xfId="0" applyFont="1" applyFill="1" applyBorder="1" applyAlignment="1">
      <alignment horizontal="center"/>
    </xf>
    <xf numFmtId="0" fontId="33" fillId="20" borderId="0" xfId="0" applyFont="1" applyFill="1" applyBorder="1"/>
    <xf numFmtId="0" fontId="33" fillId="16" borderId="31" xfId="0" applyFont="1" applyFill="1" applyBorder="1" applyAlignment="1">
      <alignment horizontal="center"/>
    </xf>
    <xf numFmtId="0" fontId="30" fillId="16" borderId="24" xfId="0" applyFont="1" applyFill="1" applyBorder="1" applyAlignment="1">
      <alignment horizontal="left" vertical="center"/>
    </xf>
    <xf numFmtId="0" fontId="29" fillId="16" borderId="38" xfId="0" applyFont="1" applyFill="1" applyBorder="1" applyAlignment="1">
      <alignment horizontal="center" vertical="center"/>
    </xf>
    <xf numFmtId="0" fontId="29" fillId="16" borderId="30" xfId="0" applyFont="1" applyFill="1" applyBorder="1" applyAlignment="1">
      <alignment horizontal="center" vertical="center"/>
    </xf>
    <xf numFmtId="0" fontId="29" fillId="16" borderId="31" xfId="0" applyFont="1" applyFill="1" applyBorder="1" applyAlignment="1">
      <alignment horizontal="left" vertical="center"/>
    </xf>
    <xf numFmtId="0" fontId="29" fillId="16" borderId="39" xfId="0" applyFont="1" applyFill="1" applyBorder="1" applyAlignment="1">
      <alignment horizontal="left" vertical="center"/>
    </xf>
    <xf numFmtId="0" fontId="30" fillId="16" borderId="40" xfId="0" applyFont="1" applyFill="1" applyBorder="1" applyAlignment="1">
      <alignment horizontal="left" vertical="center"/>
    </xf>
    <xf numFmtId="0" fontId="29" fillId="16" borderId="41" xfId="0" applyFont="1" applyFill="1" applyBorder="1" applyAlignment="1">
      <alignment horizontal="left" vertical="center"/>
    </xf>
    <xf numFmtId="0" fontId="30" fillId="16" borderId="29" xfId="0" applyFont="1" applyFill="1" applyBorder="1" applyAlignment="1">
      <alignment horizontal="left" vertical="center"/>
    </xf>
    <xf numFmtId="0" fontId="30" fillId="16" borderId="31" xfId="0" applyFont="1" applyFill="1" applyBorder="1" applyAlignment="1">
      <alignment horizontal="left" vertical="center"/>
    </xf>
    <xf numFmtId="0" fontId="30" fillId="16" borderId="30" xfId="0" applyFont="1" applyFill="1" applyBorder="1" applyAlignment="1">
      <alignment horizontal="center" vertical="center"/>
    </xf>
    <xf numFmtId="0" fontId="30" fillId="16" borderId="24" xfId="0" applyFont="1" applyFill="1" applyBorder="1"/>
    <xf numFmtId="0" fontId="30" fillId="16" borderId="42" xfId="0" applyFont="1" applyFill="1" applyBorder="1"/>
    <xf numFmtId="0" fontId="30" fillId="16" borderId="43" xfId="0" applyFont="1" applyFill="1" applyBorder="1"/>
    <xf numFmtId="0" fontId="30" fillId="16" borderId="38" xfId="0" applyFont="1" applyFill="1" applyBorder="1"/>
    <xf numFmtId="0" fontId="30" fillId="16" borderId="31" xfId="0" applyFont="1" applyFill="1" applyBorder="1" applyAlignment="1">
      <alignment horizontal="center" vertical="center"/>
    </xf>
    <xf numFmtId="49" fontId="29" fillId="16" borderId="31" xfId="0" applyNumberFormat="1" applyFont="1" applyFill="1" applyBorder="1" applyAlignment="1">
      <alignment horizontal="center" vertical="center"/>
    </xf>
    <xf numFmtId="0" fontId="30" fillId="16" borderId="24" xfId="0" applyFont="1" applyFill="1" applyBorder="1" applyAlignment="1">
      <alignment vertical="center"/>
    </xf>
    <xf numFmtId="0" fontId="29" fillId="16" borderId="31" xfId="0" applyFont="1" applyFill="1" applyBorder="1" applyAlignment="1">
      <alignment vertical="center"/>
    </xf>
    <xf numFmtId="0" fontId="30" fillId="20" borderId="44" xfId="0" applyFont="1" applyFill="1" applyBorder="1" applyAlignment="1">
      <alignment horizontal="center"/>
    </xf>
    <xf numFmtId="0" fontId="30" fillId="20" borderId="45" xfId="0" applyFont="1" applyFill="1" applyBorder="1" applyAlignment="1">
      <alignment horizontal="center"/>
    </xf>
    <xf numFmtId="0" fontId="29" fillId="20" borderId="46" xfId="0" applyFont="1" applyFill="1" applyBorder="1" applyAlignment="1">
      <alignment horizontal="center"/>
    </xf>
    <xf numFmtId="165" fontId="0" fillId="18" borderId="0" xfId="0" applyNumberFormat="1" applyFill="1" applyBorder="1" applyAlignment="1">
      <alignment horizontal="center"/>
    </xf>
    <xf numFmtId="0" fontId="37" fillId="20" borderId="45" xfId="0" applyFont="1" applyFill="1" applyBorder="1" applyAlignment="1">
      <alignment horizontal="left"/>
    </xf>
    <xf numFmtId="0" fontId="3" fillId="10" borderId="1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 vertical="center"/>
    </xf>
    <xf numFmtId="9" fontId="33" fillId="22" borderId="56" xfId="0" applyNumberFormat="1" applyFont="1" applyFill="1" applyBorder="1" applyAlignment="1">
      <alignment horizontal="center"/>
    </xf>
    <xf numFmtId="0" fontId="3" fillId="21" borderId="57" xfId="0" applyFont="1" applyFill="1" applyBorder="1" applyAlignment="1">
      <alignment horizontal="center"/>
    </xf>
    <xf numFmtId="0" fontId="3" fillId="21" borderId="59" xfId="0" applyFont="1" applyFill="1" applyBorder="1" applyAlignment="1">
      <alignment horizontal="center"/>
    </xf>
    <xf numFmtId="0" fontId="33" fillId="20" borderId="44" xfId="0" applyFont="1" applyFill="1" applyBorder="1" applyAlignment="1">
      <alignment horizontal="center"/>
    </xf>
    <xf numFmtId="0" fontId="33" fillId="20" borderId="45" xfId="0" applyFont="1" applyFill="1" applyBorder="1" applyAlignment="1">
      <alignment horizontal="center"/>
    </xf>
    <xf numFmtId="166" fontId="33" fillId="20" borderId="45" xfId="0" applyNumberFormat="1" applyFont="1" applyFill="1" applyBorder="1" applyAlignment="1">
      <alignment horizontal="center"/>
    </xf>
    <xf numFmtId="0" fontId="33" fillId="20" borderId="49" xfId="0" applyFont="1" applyFill="1" applyBorder="1" applyAlignment="1">
      <alignment horizontal="center"/>
    </xf>
    <xf numFmtId="0" fontId="33" fillId="20" borderId="45" xfId="0" applyFont="1" applyFill="1" applyBorder="1" applyAlignment="1">
      <alignment horizontal="left"/>
    </xf>
    <xf numFmtId="1" fontId="29" fillId="23" borderId="8" xfId="0" applyNumberFormat="1" applyFont="1" applyFill="1" applyBorder="1" applyAlignment="1">
      <alignment horizontal="center"/>
    </xf>
    <xf numFmtId="0" fontId="29" fillId="23" borderId="8" xfId="0" applyFont="1" applyFill="1" applyBorder="1" applyAlignment="1">
      <alignment horizontal="center"/>
    </xf>
    <xf numFmtId="49" fontId="33" fillId="20" borderId="45" xfId="0" applyNumberFormat="1" applyFont="1" applyFill="1" applyBorder="1" applyAlignment="1">
      <alignment horizontal="center"/>
    </xf>
    <xf numFmtId="0" fontId="33" fillId="20" borderId="49" xfId="0" applyFont="1" applyFill="1" applyBorder="1" applyAlignment="1">
      <alignment horizontal="left"/>
    </xf>
    <xf numFmtId="49" fontId="3" fillId="18" borderId="0" xfId="0" applyNumberFormat="1" applyFont="1" applyFill="1" applyBorder="1" applyAlignment="1">
      <alignment horizontal="left"/>
    </xf>
    <xf numFmtId="0" fontId="0" fillId="24" borderId="8" xfId="0" applyFill="1" applyBorder="1" applyAlignment="1">
      <alignment horizontal="center"/>
    </xf>
    <xf numFmtId="0" fontId="3" fillId="20" borderId="0" xfId="0" applyFont="1" applyFill="1"/>
    <xf numFmtId="1" fontId="0" fillId="18" borderId="0" xfId="0" applyNumberFormat="1" applyFill="1"/>
    <xf numFmtId="171" fontId="0" fillId="18" borderId="0" xfId="0" applyNumberFormat="1" applyFill="1" applyBorder="1"/>
    <xf numFmtId="172" fontId="0" fillId="18" borderId="0" xfId="0" applyNumberFormat="1" applyFill="1" applyBorder="1"/>
    <xf numFmtId="0" fontId="0" fillId="18" borderId="0" xfId="0" applyFill="1" applyAlignment="1">
      <alignment horizontal="right"/>
    </xf>
    <xf numFmtId="169" fontId="0" fillId="18" borderId="0" xfId="0" applyNumberFormat="1" applyFill="1"/>
    <xf numFmtId="171" fontId="0" fillId="18" borderId="0" xfId="0" applyNumberFormat="1" applyFill="1"/>
    <xf numFmtId="173" fontId="0" fillId="18" borderId="0" xfId="0" applyNumberFormat="1" applyFill="1"/>
    <xf numFmtId="164" fontId="0" fillId="18" borderId="0" xfId="0" applyNumberFormat="1" applyFill="1"/>
    <xf numFmtId="165" fontId="11" fillId="8" borderId="30" xfId="0" applyNumberFormat="1" applyFont="1" applyFill="1" applyBorder="1"/>
    <xf numFmtId="2" fontId="0" fillId="18" borderId="0" xfId="0" applyNumberFormat="1" applyFill="1"/>
    <xf numFmtId="0" fontId="3" fillId="18" borderId="0" xfId="0" applyFont="1" applyFill="1" applyAlignment="1"/>
    <xf numFmtId="164" fontId="3" fillId="18" borderId="0" xfId="0" applyNumberFormat="1" applyFont="1" applyFill="1"/>
    <xf numFmtId="0" fontId="44" fillId="18" borderId="0" xfId="0" applyFont="1" applyFill="1"/>
    <xf numFmtId="164" fontId="44" fillId="18" borderId="0" xfId="0" applyNumberFormat="1" applyFont="1" applyFill="1"/>
    <xf numFmtId="164" fontId="45" fillId="18" borderId="0" xfId="0" applyNumberFormat="1" applyFont="1" applyFill="1"/>
    <xf numFmtId="0" fontId="30" fillId="16" borderId="0" xfId="0" applyFont="1" applyFill="1" applyAlignment="1">
      <alignment wrapText="1"/>
    </xf>
    <xf numFmtId="0" fontId="30" fillId="27" borderId="0" xfId="0" applyFont="1" applyFill="1" applyAlignment="1">
      <alignment horizontal="left"/>
    </xf>
    <xf numFmtId="0" fontId="11" fillId="27" borderId="0" xfId="0" applyFont="1" applyFill="1"/>
    <xf numFmtId="0" fontId="13" fillId="27" borderId="0" xfId="0" applyFont="1" applyFill="1" applyAlignment="1">
      <alignment horizontal="left"/>
    </xf>
    <xf numFmtId="0" fontId="0" fillId="3" borderId="0" xfId="0" applyFill="1" applyBorder="1"/>
    <xf numFmtId="0" fontId="30" fillId="26" borderId="0" xfId="0" applyFont="1" applyFill="1" applyAlignment="1">
      <alignment horizontal="left"/>
    </xf>
    <xf numFmtId="0" fontId="11" fillId="26" borderId="0" xfId="0" applyFont="1" applyFill="1"/>
    <xf numFmtId="0" fontId="13" fillId="26" borderId="0" xfId="0" applyFont="1" applyFill="1" applyAlignment="1">
      <alignment horizontal="left"/>
    </xf>
    <xf numFmtId="0" fontId="0" fillId="25" borderId="0" xfId="0" applyFill="1" applyBorder="1"/>
    <xf numFmtId="0" fontId="11" fillId="7" borderId="0" xfId="0" applyFont="1" applyFill="1" applyBorder="1" applyAlignment="1">
      <alignment horizontal="right"/>
    </xf>
    <xf numFmtId="0" fontId="0" fillId="24" borderId="0" xfId="0" applyFill="1" applyBorder="1" applyAlignment="1">
      <alignment horizontal="center"/>
    </xf>
    <xf numFmtId="0" fontId="47" fillId="18" borderId="0" xfId="0" applyFont="1" applyFill="1"/>
    <xf numFmtId="0" fontId="0" fillId="9" borderId="4" xfId="0" applyFill="1" applyBorder="1" applyAlignment="1"/>
    <xf numFmtId="0" fontId="13" fillId="25" borderId="0" xfId="0" applyFont="1" applyFill="1" applyBorder="1"/>
    <xf numFmtId="0" fontId="0" fillId="3" borderId="4" xfId="0" applyFill="1" applyBorder="1"/>
    <xf numFmtId="0" fontId="30" fillId="27" borderId="4" xfId="0" applyFont="1" applyFill="1" applyBorder="1" applyAlignment="1">
      <alignment horizontal="left"/>
    </xf>
    <xf numFmtId="0" fontId="30" fillId="27" borderId="0" xfId="0" applyFont="1" applyFill="1" applyBorder="1" applyAlignment="1">
      <alignment horizontal="left"/>
    </xf>
    <xf numFmtId="0" fontId="29" fillId="3" borderId="8" xfId="0" applyFont="1" applyFill="1" applyBorder="1" applyAlignment="1">
      <alignment horizontal="center"/>
    </xf>
    <xf numFmtId="0" fontId="30" fillId="26" borderId="4" xfId="0" applyFont="1" applyFill="1" applyBorder="1" applyAlignment="1">
      <alignment horizontal="left"/>
    </xf>
    <xf numFmtId="0" fontId="30" fillId="26" borderId="0" xfId="0" applyFont="1" applyFill="1" applyBorder="1" applyAlignment="1">
      <alignment horizontal="left"/>
    </xf>
    <xf numFmtId="0" fontId="0" fillId="27" borderId="0" xfId="0" applyFill="1" applyBorder="1"/>
    <xf numFmtId="164" fontId="0" fillId="27" borderId="0" xfId="0" applyNumberFormat="1" applyFill="1" applyBorder="1"/>
    <xf numFmtId="0" fontId="13" fillId="3" borderId="0" xfId="0" applyFont="1" applyFill="1" applyBorder="1"/>
    <xf numFmtId="0" fontId="11" fillId="27" borderId="0" xfId="0" applyFont="1" applyFill="1" applyAlignment="1">
      <alignment horizontal="center"/>
    </xf>
    <xf numFmtId="0" fontId="11" fillId="26" borderId="0" xfId="0" applyFont="1" applyFill="1" applyAlignment="1">
      <alignment horizontal="center"/>
    </xf>
    <xf numFmtId="0" fontId="0" fillId="25" borderId="4" xfId="0" applyFill="1" applyBorder="1"/>
    <xf numFmtId="0" fontId="29" fillId="26" borderId="0" xfId="0" applyFont="1" applyFill="1" applyBorder="1" applyAlignment="1">
      <alignment horizontal="center"/>
    </xf>
    <xf numFmtId="168" fontId="11" fillId="26" borderId="0" xfId="0" applyNumberFormat="1" applyFont="1" applyFill="1" applyBorder="1" applyAlignment="1">
      <alignment horizontal="center"/>
    </xf>
    <xf numFmtId="0" fontId="29" fillId="25" borderId="8" xfId="0" applyFont="1" applyFill="1" applyBorder="1" applyAlignment="1">
      <alignment horizontal="center"/>
    </xf>
    <xf numFmtId="1" fontId="11" fillId="19" borderId="8" xfId="0" applyNumberFormat="1" applyFont="1" applyFill="1" applyBorder="1" applyAlignment="1">
      <alignment horizontal="right" vertical="center" wrapText="1"/>
    </xf>
    <xf numFmtId="0" fontId="33" fillId="18" borderId="0" xfId="0" applyFont="1" applyFill="1"/>
    <xf numFmtId="174" fontId="0" fillId="20" borderId="0" xfId="0" applyNumberFormat="1" applyFill="1"/>
    <xf numFmtId="164" fontId="11" fillId="8" borderId="30" xfId="0" applyNumberFormat="1" applyFont="1" applyFill="1" applyBorder="1" applyAlignment="1">
      <alignment horizontal="center"/>
    </xf>
    <xf numFmtId="164" fontId="11" fillId="0" borderId="30" xfId="0" applyNumberFormat="1" applyFont="1" applyFill="1" applyBorder="1" applyAlignment="1">
      <alignment horizontal="center"/>
    </xf>
    <xf numFmtId="164" fontId="11" fillId="20" borderId="0" xfId="0" applyNumberFormat="1" applyFont="1" applyFill="1"/>
    <xf numFmtId="164" fontId="29" fillId="20" borderId="0" xfId="0" applyNumberFormat="1" applyFont="1" applyFill="1"/>
    <xf numFmtId="164" fontId="33" fillId="20" borderId="0" xfId="0" applyNumberFormat="1" applyFont="1" applyFill="1"/>
    <xf numFmtId="164" fontId="29" fillId="20" borderId="0" xfId="0" applyNumberFormat="1" applyFont="1" applyFill="1" applyAlignment="1">
      <alignment horizontal="center"/>
    </xf>
    <xf numFmtId="0" fontId="29" fillId="20" borderId="31" xfId="0" applyFont="1" applyFill="1" applyBorder="1" applyAlignment="1">
      <alignment horizontal="right" wrapText="1"/>
    </xf>
    <xf numFmtId="0" fontId="0" fillId="8" borderId="0" xfId="0" applyFill="1"/>
    <xf numFmtId="0" fontId="3" fillId="8" borderId="0" xfId="0" applyFont="1" applyFill="1"/>
    <xf numFmtId="0" fontId="37" fillId="16" borderId="0" xfId="0" applyFont="1" applyFill="1"/>
    <xf numFmtId="0" fontId="3" fillId="8" borderId="0" xfId="0" applyFont="1" applyFill="1" applyAlignment="1">
      <alignment textRotation="180"/>
    </xf>
    <xf numFmtId="0" fontId="3" fillId="8" borderId="0" xfId="0" applyFont="1" applyFill="1" applyAlignment="1">
      <alignment horizontal="right"/>
    </xf>
    <xf numFmtId="0" fontId="0" fillId="8" borderId="0" xfId="0" applyFill="1" applyAlignment="1">
      <alignment textRotation="90"/>
    </xf>
    <xf numFmtId="0" fontId="3" fillId="8" borderId="0" xfId="0" applyFont="1" applyFill="1" applyAlignment="1">
      <alignment textRotation="90"/>
    </xf>
    <xf numFmtId="0" fontId="29" fillId="16" borderId="32" xfId="0" applyFont="1" applyFill="1" applyBorder="1" applyAlignment="1">
      <alignment horizontal="left" vertical="center"/>
    </xf>
    <xf numFmtId="0" fontId="33" fillId="18" borderId="0" xfId="0" applyFont="1" applyFill="1" applyBorder="1" applyAlignment="1">
      <alignment horizontal="left"/>
    </xf>
    <xf numFmtId="2" fontId="11" fillId="19" borderId="13" xfId="0" applyNumberFormat="1" applyFont="1" applyFill="1" applyBorder="1" applyAlignment="1">
      <alignment horizontal="center" vertical="center"/>
    </xf>
    <xf numFmtId="0" fontId="37" fillId="20" borderId="44" xfId="0" applyFont="1" applyFill="1" applyBorder="1" applyAlignment="1">
      <alignment horizontal="left"/>
    </xf>
    <xf numFmtId="0" fontId="37" fillId="20" borderId="45" xfId="0" applyFont="1" applyFill="1" applyBorder="1" applyAlignment="1">
      <alignment horizontal="left"/>
    </xf>
    <xf numFmtId="0" fontId="33" fillId="20" borderId="1" xfId="0" applyFont="1" applyFill="1" applyBorder="1" applyAlignment="1">
      <alignment horizontal="center"/>
    </xf>
    <xf numFmtId="0" fontId="33" fillId="20" borderId="2" xfId="0" applyFont="1" applyFill="1" applyBorder="1" applyAlignment="1">
      <alignment horizontal="center"/>
    </xf>
    <xf numFmtId="0" fontId="33" fillId="20" borderId="5" xfId="0" applyFont="1" applyFill="1" applyBorder="1" applyAlignment="1">
      <alignment horizontal="center"/>
    </xf>
    <xf numFmtId="0" fontId="33" fillId="20" borderId="5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7" fillId="20" borderId="47" xfId="0" applyFont="1" applyFill="1" applyBorder="1" applyAlignment="1">
      <alignment horizontal="left"/>
    </xf>
    <xf numFmtId="0" fontId="37" fillId="20" borderId="48" xfId="0" applyFont="1" applyFill="1" applyBorder="1" applyAlignment="1">
      <alignment horizontal="left"/>
    </xf>
    <xf numFmtId="0" fontId="37" fillId="20" borderId="49" xfId="0" applyFont="1" applyFill="1" applyBorder="1" applyAlignment="1">
      <alignment horizontal="left"/>
    </xf>
    <xf numFmtId="0" fontId="37" fillId="20" borderId="50" xfId="0" applyFont="1" applyFill="1" applyBorder="1" applyAlignment="1">
      <alignment horizontal="left"/>
    </xf>
    <xf numFmtId="0" fontId="37" fillId="20" borderId="51" xfId="0" applyFont="1" applyFill="1" applyBorder="1" applyAlignment="1">
      <alignment horizontal="left"/>
    </xf>
    <xf numFmtId="0" fontId="37" fillId="20" borderId="52" xfId="0" applyFont="1" applyFill="1" applyBorder="1" applyAlignment="1">
      <alignment horizontal="left"/>
    </xf>
    <xf numFmtId="0" fontId="33" fillId="22" borderId="1" xfId="0" applyFont="1" applyFill="1" applyBorder="1" applyAlignment="1">
      <alignment horizontal="center"/>
    </xf>
    <xf numFmtId="0" fontId="33" fillId="22" borderId="2" xfId="0" applyFont="1" applyFill="1" applyBorder="1" applyAlignment="1">
      <alignment horizontal="center"/>
    </xf>
    <xf numFmtId="0" fontId="33" fillId="22" borderId="5" xfId="0" applyFont="1" applyFill="1" applyBorder="1" applyAlignment="1">
      <alignment horizontal="center"/>
    </xf>
    <xf numFmtId="0" fontId="33" fillId="20" borderId="55" xfId="0" applyFont="1" applyFill="1" applyBorder="1" applyAlignment="1">
      <alignment horizontal="center"/>
    </xf>
    <xf numFmtId="0" fontId="33" fillId="20" borderId="56" xfId="0" applyFont="1" applyFill="1" applyBorder="1" applyAlignment="1">
      <alignment horizontal="center"/>
    </xf>
    <xf numFmtId="0" fontId="33" fillId="20" borderId="57" xfId="0" applyFont="1" applyFill="1" applyBorder="1" applyAlignment="1">
      <alignment horizontal="center"/>
    </xf>
    <xf numFmtId="0" fontId="33" fillId="20" borderId="58" xfId="0" applyFont="1" applyFill="1" applyBorder="1" applyAlignment="1">
      <alignment horizontal="center"/>
    </xf>
    <xf numFmtId="0" fontId="37" fillId="20" borderId="54" xfId="0" applyFont="1" applyFill="1" applyBorder="1" applyAlignment="1">
      <alignment horizontal="left"/>
    </xf>
    <xf numFmtId="0" fontId="33" fillId="22" borderId="58" xfId="0" applyFont="1" applyFill="1" applyBorder="1" applyAlignment="1">
      <alignment horizontal="center"/>
    </xf>
    <xf numFmtId="0" fontId="33" fillId="22" borderId="57" xfId="0" applyFont="1" applyFill="1" applyBorder="1" applyAlignment="1">
      <alignment horizontal="center"/>
    </xf>
    <xf numFmtId="0" fontId="33" fillId="22" borderId="56" xfId="0" applyFont="1" applyFill="1" applyBorder="1" applyAlignment="1">
      <alignment horizontal="center"/>
    </xf>
    <xf numFmtId="0" fontId="37" fillId="16" borderId="47" xfId="0" applyFont="1" applyFill="1" applyBorder="1" applyAlignment="1">
      <alignment horizontal="left"/>
    </xf>
    <xf numFmtId="0" fontId="37" fillId="16" borderId="48" xfId="0" applyFont="1" applyFill="1" applyBorder="1" applyAlignment="1">
      <alignment horizontal="left"/>
    </xf>
    <xf numFmtId="0" fontId="37" fillId="16" borderId="49" xfId="0" applyFont="1" applyFill="1" applyBorder="1" applyAlignment="1">
      <alignment horizontal="left"/>
    </xf>
    <xf numFmtId="0" fontId="33" fillId="20" borderId="59" xfId="0" applyFont="1" applyFill="1" applyBorder="1" applyAlignment="1">
      <alignment horizontal="center"/>
    </xf>
    <xf numFmtId="0" fontId="23" fillId="16" borderId="24" xfId="0" applyFont="1" applyFill="1" applyBorder="1" applyAlignment="1">
      <alignment horizontal="center"/>
    </xf>
    <xf numFmtId="0" fontId="23" fillId="16" borderId="30" xfId="0" applyFont="1" applyFill="1" applyBorder="1" applyAlignment="1">
      <alignment horizontal="center"/>
    </xf>
    <xf numFmtId="0" fontId="37" fillId="16" borderId="30" xfId="0" applyFont="1" applyFill="1" applyBorder="1" applyAlignment="1">
      <alignment horizontal="center"/>
    </xf>
    <xf numFmtId="1" fontId="11" fillId="0" borderId="8" xfId="0" applyNumberFormat="1" applyFont="1" applyFill="1" applyBorder="1" applyAlignment="1">
      <alignment horizontal="center"/>
    </xf>
  </cellXfs>
  <cellStyles count="19">
    <cellStyle name="Hyperlänk" xfId="13" builtinId="8"/>
    <cellStyle name="Hyperlänk 2" xfId="15" xr:uid="{9530522E-D75C-4266-8AFB-ECC05B9289DE}"/>
    <cellStyle name="Normal" xfId="0" builtinId="0"/>
    <cellStyle name="Normal 12" xfId="3" xr:uid="{00000000-0005-0000-0000-000002000000}"/>
    <cellStyle name="Normal 13" xfId="4" xr:uid="{00000000-0005-0000-0000-000003000000}"/>
    <cellStyle name="Normal 14" xfId="5" xr:uid="{00000000-0005-0000-0000-000004000000}"/>
    <cellStyle name="Normal 15" xfId="6" xr:uid="{00000000-0005-0000-0000-000005000000}"/>
    <cellStyle name="Normal 16" xfId="7" xr:uid="{00000000-0005-0000-0000-000006000000}"/>
    <cellStyle name="Normal 17" xfId="8" xr:uid="{00000000-0005-0000-0000-000007000000}"/>
    <cellStyle name="Normal 2" xfId="2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4" xr:uid="{168418EB-482A-4AD2-991E-7A1572966220}"/>
    <cellStyle name="Normal 6" xfId="12" xr:uid="{00000000-0005-0000-0000-00000C000000}"/>
    <cellStyle name="Normal 7" xfId="18" xr:uid="{5C425242-EEAB-46D3-8349-0B5A9CB3D01E}"/>
    <cellStyle name="Procent" xfId="1" builtinId="5"/>
    <cellStyle name="Procent 2" xfId="16" xr:uid="{D3CCEBEB-6953-4714-B9F9-F19C3AF6C999}"/>
    <cellStyle name="Tusental 2" xfId="17" xr:uid="{7C812349-426D-4365-BC08-4145A556B5B9}"/>
  </cellStyles>
  <dxfs count="0"/>
  <tableStyles count="0" defaultTableStyle="TableStyleMedium9" defaultPivotStyle="PivotStyleLight16"/>
  <colors>
    <mruColors>
      <color rgb="FFCCD4DE"/>
      <color rgb="FFFFFF99"/>
      <color rgb="FF425166"/>
      <color rgb="FF596E89"/>
      <color rgb="FF52657E"/>
      <color rgb="FF333F4F"/>
      <color rgb="FFE3E8ED"/>
      <color rgb="FF8497B0"/>
      <color rgb="FF677E9D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161924</xdr:rowOff>
    </xdr:from>
    <xdr:to>
      <xdr:col>9</xdr:col>
      <xdr:colOff>583407</xdr:colOff>
      <xdr:row>35</xdr:row>
      <xdr:rowOff>28575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5" y="161924"/>
          <a:ext cx="5774532" cy="5534026"/>
        </a:xfrm>
        <a:prstGeom prst="rect">
          <a:avLst/>
        </a:prstGeom>
        <a:solidFill>
          <a:srgbClr val="E3E8ED"/>
        </a:solidFill>
        <a:ln w="6350" cmpd="sng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tx1"/>
              </a:gs>
            </a:gsLst>
            <a:lin ang="2700000" scaled="0"/>
          </a:gradFill>
          <a:prstDash val="solid"/>
          <a:extLst>
            <a:ext uri="{C807C97D-BFC1-408E-A445-0C87EB9F89A2}">
              <ask:lineSketchStyleProps xmlns:ask="http://schemas.microsoft.com/office/drawing/2018/sketchyshapes" sd="3810982387">
                <a:custGeom>
                  <a:avLst/>
                  <a:gdLst>
                    <a:gd name="connsiteX0" fmla="*/ 0 w 5460206"/>
                    <a:gd name="connsiteY0" fmla="*/ 0 h 5534026"/>
                    <a:gd name="connsiteX1" fmla="*/ 5460206 w 5460206"/>
                    <a:gd name="connsiteY1" fmla="*/ 0 h 5534026"/>
                    <a:gd name="connsiteX2" fmla="*/ 5460206 w 5460206"/>
                    <a:gd name="connsiteY2" fmla="*/ 5534026 h 5534026"/>
                    <a:gd name="connsiteX3" fmla="*/ 0 w 5460206"/>
                    <a:gd name="connsiteY3" fmla="*/ 5534026 h 5534026"/>
                    <a:gd name="connsiteX4" fmla="*/ 0 w 5460206"/>
                    <a:gd name="connsiteY4" fmla="*/ 0 h 553402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5460206" h="5534026" fill="none" extrusionOk="0">
                      <a:moveTo>
                        <a:pt x="0" y="0"/>
                      </a:moveTo>
                      <a:cubicBezTo>
                        <a:pt x="873956" y="-156898"/>
                        <a:pt x="2939858" y="138163"/>
                        <a:pt x="5460206" y="0"/>
                      </a:cubicBezTo>
                      <a:cubicBezTo>
                        <a:pt x="5377453" y="742233"/>
                        <a:pt x="5523872" y="2948785"/>
                        <a:pt x="5460206" y="5534026"/>
                      </a:cubicBezTo>
                      <a:cubicBezTo>
                        <a:pt x="3919220" y="5651530"/>
                        <a:pt x="888992" y="5485320"/>
                        <a:pt x="0" y="5534026"/>
                      </a:cubicBezTo>
                      <a:cubicBezTo>
                        <a:pt x="148081" y="3100514"/>
                        <a:pt x="-105255" y="1395880"/>
                        <a:pt x="0" y="0"/>
                      </a:cubicBezTo>
                      <a:close/>
                    </a:path>
                    <a:path w="5460206" h="5534026" stroke="0" extrusionOk="0">
                      <a:moveTo>
                        <a:pt x="0" y="0"/>
                      </a:moveTo>
                      <a:cubicBezTo>
                        <a:pt x="755172" y="-102600"/>
                        <a:pt x="4044684" y="64228"/>
                        <a:pt x="5460206" y="0"/>
                      </a:cubicBezTo>
                      <a:cubicBezTo>
                        <a:pt x="5303599" y="879067"/>
                        <a:pt x="5364606" y="3192588"/>
                        <a:pt x="5460206" y="5534026"/>
                      </a:cubicBezTo>
                      <a:cubicBezTo>
                        <a:pt x="4172244" y="5539497"/>
                        <a:pt x="1687623" y="5613870"/>
                        <a:pt x="0" y="5534026"/>
                      </a:cubicBezTo>
                      <a:cubicBezTo>
                        <a:pt x="10874" y="3496414"/>
                        <a:pt x="-21231" y="908130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sv-SE" sz="1800" b="1"/>
            <a:t>TS-EVA</a:t>
          </a:r>
          <a:r>
            <a:rPr lang="sv-SE" sz="1100" b="1"/>
            <a:t> </a:t>
          </a:r>
          <a:r>
            <a:rPr lang="sv-SE" sz="1100" b="1">
              <a:solidFill>
                <a:sysClr val="windowText" lastClr="000000"/>
              </a:solidFill>
            </a:rPr>
            <a:t>2026.1</a:t>
          </a:r>
          <a:endParaRPr lang="sv-SE" b="1">
            <a:solidFill>
              <a:sysClr val="windowText" lastClr="000000"/>
            </a:solidFill>
          </a:endParaRPr>
        </a:p>
        <a:p>
          <a:pPr rtl="0"/>
          <a:r>
            <a:rPr lang="sv-SE"/>
            <a:t>TS-EVA är en modell med genomsnittliga skaderisker och ett</a:t>
          </a:r>
          <a:r>
            <a:rPr lang="sv-SE" baseline="0"/>
            <a:t> </a:t>
          </a:r>
          <a:r>
            <a:rPr lang="sv-SE"/>
            <a:t>stöd för beräkning av trafiksäkerhetseffekter i vägtransportsystemet. Den finns inprogrammerad i EVA och Samkalk, men finns även som en fristående Excelbaserad modell.</a:t>
          </a:r>
        </a:p>
        <a:p>
          <a:pPr rtl="0"/>
          <a:endParaRPr lang="sv-SE" b="1"/>
        </a:p>
        <a:p>
          <a:pPr rtl="0"/>
          <a:r>
            <a:rPr lang="sv-SE" b="1"/>
            <a:t>Användningsområde</a:t>
          </a:r>
        </a:p>
        <a:p>
          <a:pPr rtl="0" eaLnBrk="1" fontAlgn="auto" latinLnBrk="0" hangingPunct="1"/>
          <a:r>
            <a:rPr lang="sv-SE"/>
            <a:t>TS-EVA innehåller normalvärden</a:t>
          </a:r>
          <a:r>
            <a:rPr lang="sv-SE" baseline="0"/>
            <a:t> för olika typer av vägmiljöer.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Ett normalvärde utgör den genomsnittliga olycks-/skaderisken i den aktuella miljön, det vill säga med hänsyn till genomsnittlig faktisk hastighetsnivå, linjeföring, standard av sidoområde med mera.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baseline="0"/>
            <a:t>Medan effekter av trafiksäkerhetsåtgärder ofta anges i relativa tal anges normalvärden i antal skadade per år givet ett visst trafikflöde.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Dessa normalvärden kan användas som utgångspunkt vid beräkning av minskat antal skadade vid applicering av trafiksäkerhetseffekter. Effekter av trafiksäkerhetsåtgärder återfinns i kapitlet </a:t>
          </a:r>
          <a:r>
            <a:rPr lang="sv-S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Förbättringsåtgärder </a:t>
          </a:r>
          <a:r>
            <a:rPr lang="sv-SE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Effektkatalogen.</a:t>
          </a:r>
          <a:endParaRPr lang="sv-SE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Trafiksäkerhetsmodellerna beskrivs i Effektkatalogen </a:t>
          </a:r>
          <a:r>
            <a:rPr lang="sv-S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Effektsamband för transportsystemet,</a:t>
          </a:r>
          <a:r>
            <a:rPr lang="sv-S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Bygg om eller bygg nytt,</a:t>
          </a:r>
          <a:r>
            <a:rPr lang="sv-S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Kapitel 6 Trafiksäkerhet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och finns på Trafikverkets hemsida under </a:t>
          </a:r>
          <a:r>
            <a:rPr lang="sv-S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Effektsamband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v-S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http://www.trafikverket.se/effektsamband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/>
        </a:p>
        <a:p>
          <a:r>
            <a:rPr lang="sv-SE">
              <a:effectLst/>
            </a:rPr>
            <a:t>Flik "</a:t>
          </a:r>
          <a:r>
            <a:rPr lang="sv-SE" i="1">
              <a:effectLst/>
            </a:rPr>
            <a:t>Beräkna - Länk</a:t>
          </a:r>
          <a:r>
            <a:rPr lang="sv-SE">
              <a:effectLst/>
            </a:rPr>
            <a:t>" respektive flik</a:t>
          </a:r>
          <a:r>
            <a:rPr lang="sv-SE" baseline="0">
              <a:effectLst/>
            </a:rPr>
            <a:t> </a:t>
          </a:r>
          <a:r>
            <a:rPr lang="sv-SE">
              <a:effectLst/>
            </a:rPr>
            <a:t>"</a:t>
          </a:r>
          <a:r>
            <a:rPr lang="sv-SE" i="1">
              <a:effectLst/>
            </a:rPr>
            <a:t>Beräkna - Nod</a:t>
          </a:r>
          <a:r>
            <a:rPr lang="sv-SE">
              <a:effectLst/>
            </a:rPr>
            <a:t>" kan</a:t>
          </a:r>
          <a:r>
            <a:rPr lang="sv-SE" baseline="0">
              <a:effectLst/>
            </a:rPr>
            <a:t> användas</a:t>
          </a:r>
          <a:r>
            <a:rPr lang="sv-SE">
              <a:effectLst/>
            </a:rPr>
            <a:t> vid beräkning av</a:t>
          </a:r>
          <a:r>
            <a:rPr lang="sv-SE" baseline="0">
              <a:effectLst/>
            </a:rPr>
            <a:t> antal </a:t>
          </a:r>
          <a:r>
            <a:rPr lang="sv-SE">
              <a:effectLst/>
            </a:rPr>
            <a:t>skadade.</a:t>
          </a:r>
        </a:p>
        <a:p>
          <a:endParaRPr lang="sv-SE">
            <a:effectLst/>
          </a:endParaRPr>
        </a:p>
        <a:p>
          <a:r>
            <a:rPr lang="sv-SE">
              <a:effectLst/>
            </a:rPr>
            <a:t>Flikarna "</a:t>
          </a:r>
          <a:r>
            <a:rPr lang="sv-SE" i="1">
              <a:effectLst/>
            </a:rPr>
            <a:t>Matris - Länk</a:t>
          </a:r>
          <a:r>
            <a:rPr lang="sv-SE">
              <a:effectLst/>
            </a:rPr>
            <a:t>" respektive "</a:t>
          </a:r>
          <a:r>
            <a:rPr lang="sv-SE" i="1">
              <a:effectLst/>
            </a:rPr>
            <a:t>Matris - Nod</a:t>
          </a:r>
          <a:r>
            <a:rPr lang="sv-SE">
              <a:effectLst/>
            </a:rPr>
            <a:t>" innehåller</a:t>
          </a:r>
          <a:r>
            <a:rPr lang="sv-SE" baseline="0">
              <a:effectLst/>
            </a:rPr>
            <a:t> trafiksäkerhetsmodellerna som är baserade på personskadeolyckor</a:t>
          </a:r>
          <a:r>
            <a:rPr lang="sv-SE">
              <a:effectLst/>
            </a:rPr>
            <a:t> och avser nivå år 2010.</a:t>
          </a:r>
        </a:p>
        <a:p>
          <a:endParaRPr lang="sv-S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Olyckor som ingår är Motorfordon (MF) - MF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inkl. MF singel, 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MF-fotgängare,</a:t>
          </a:r>
          <a:r>
            <a:rPr lang="sv-SE"/>
            <a:t> 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MF-cyklist/mopedist</a:t>
          </a:r>
          <a:r>
            <a:rPr lang="sv-SE"/>
            <a:t> </a:t>
          </a:r>
          <a:endParaRPr lang="sv-SE">
            <a:effectLst/>
          </a:endParaRPr>
        </a:p>
        <a:p>
          <a:pPr rtl="0"/>
          <a:endParaRPr lang="sv-SE" b="1"/>
        </a:p>
        <a:p>
          <a:pPr rtl="0"/>
          <a:r>
            <a:rPr lang="sv-SE" b="1"/>
            <a:t>Förvaltning</a:t>
          </a:r>
        </a:p>
        <a:p>
          <a:pPr rtl="0"/>
          <a:r>
            <a:rPr lang="sv-SE"/>
            <a:t>Trafikverket äger och förvaltar TS-EVA och ansvarar för vidareutveckling av verktyget.</a:t>
          </a:r>
        </a:p>
        <a:p>
          <a:pPr rtl="0"/>
          <a:r>
            <a:rPr lang="sv-SE" u="sng"/>
            <a:t>http://www.trafikverket.se/tseva</a:t>
          </a:r>
        </a:p>
        <a:p>
          <a:pPr rtl="0"/>
          <a:endParaRPr lang="sv-SE" u="sng"/>
        </a:p>
        <a:p>
          <a:pPr rtl="0"/>
          <a:endParaRPr lang="sv-SE" u="sng"/>
        </a:p>
        <a:p>
          <a:pPr rtl="0"/>
          <a:r>
            <a:rPr lang="sv-SE" u="none"/>
            <a:t>Simon Sternlund,</a:t>
          </a:r>
          <a:r>
            <a:rPr lang="sv-SE" u="none" baseline="0"/>
            <a:t> </a:t>
          </a:r>
          <a:r>
            <a:rPr lang="sv-SE" u="none"/>
            <a:t>simon.sternlund@trafikverket.se</a:t>
          </a:r>
        </a:p>
      </xdr:txBody>
    </xdr:sp>
    <xdr:clientData/>
  </xdr:twoCellAnchor>
  <xdr:twoCellAnchor editAs="oneCell">
    <xdr:from>
      <xdr:col>10</xdr:col>
      <xdr:colOff>28574</xdr:colOff>
      <xdr:row>1</xdr:row>
      <xdr:rowOff>0</xdr:rowOff>
    </xdr:from>
    <xdr:to>
      <xdr:col>23</xdr:col>
      <xdr:colOff>419099</xdr:colOff>
      <xdr:row>35</xdr:row>
      <xdr:rowOff>38100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D879108-27A9-4C5E-9BEE-E6DC66E84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4" y="161925"/>
          <a:ext cx="8315325" cy="5543550"/>
        </a:xfrm>
        <a:prstGeom prst="rect">
          <a:avLst/>
        </a:prstGeom>
      </xdr:spPr>
    </xdr:pic>
    <xdr:clientData/>
  </xdr:twoCellAnchor>
  <xdr:twoCellAnchor>
    <xdr:from>
      <xdr:col>20</xdr:col>
      <xdr:colOff>238126</xdr:colOff>
      <xdr:row>33</xdr:row>
      <xdr:rowOff>85725</xdr:rowOff>
    </xdr:from>
    <xdr:to>
      <xdr:col>23</xdr:col>
      <xdr:colOff>390526</xdr:colOff>
      <xdr:row>35</xdr:row>
      <xdr:rowOff>19050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BFB4F091-500A-4A2D-A383-2041826A6236}"/>
            </a:ext>
          </a:extLst>
        </xdr:cNvPr>
        <xdr:cNvSpPr txBox="1"/>
      </xdr:nvSpPr>
      <xdr:spPr>
        <a:xfrm>
          <a:off x="12430126" y="5429250"/>
          <a:ext cx="1981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sv-SE" sz="1000">
              <a:solidFill>
                <a:schemeClr val="bg1"/>
              </a:solidFill>
            </a:rPr>
            <a:t>Fotograf: Michael Erhardsson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773905</xdr:colOff>
      <xdr:row>31</xdr:row>
      <xdr:rowOff>66675</xdr:rowOff>
    </xdr:from>
    <xdr:to>
      <xdr:col>9</xdr:col>
      <xdr:colOff>1262061</xdr:colOff>
      <xdr:row>41</xdr:row>
      <xdr:rowOff>57151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41155" y="5662613"/>
          <a:ext cx="3655219" cy="1657351"/>
        </a:xfrm>
        <a:prstGeom prst="rect">
          <a:avLst/>
        </a:prstGeom>
        <a:solidFill>
          <a:srgbClr val="CCD4D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Snedfördelade 4-vägskorsningar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4-vägskorsning är snedfördelad om inkommande sekundärvägstrafik är mindre än 100 fordon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dygn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det minst belastade sekundärvägsbenet och större än 100 fordon per dygn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det mest belastade.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snedfördelad 4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-vägskorsning har 10 % högre skadeutfall än motsvarande 3-vägskorsning.</a:t>
          </a:r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fikverket.se/effektsamband" TargetMode="External"/><Relationship Id="rId1" Type="http://schemas.openxmlformats.org/officeDocument/2006/relationships/hyperlink" Target="http://www.trafikverket.se/tsev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trafikverket.se/effektsamband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trafikverket.se/contentassets/4b1c1005597d47bda386d81dd3444b24/asek-6.1/09_trafiksakerhet_a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25166"/>
  </sheetPr>
  <dimension ref="A2:W40"/>
  <sheetViews>
    <sheetView zoomScaleNormal="100" workbookViewId="0">
      <selection activeCell="J48" sqref="J48"/>
    </sheetView>
  </sheetViews>
  <sheetFormatPr defaultColWidth="9.1796875" defaultRowHeight="12.5" x14ac:dyDescent="0.25"/>
  <cols>
    <col min="1" max="16384" width="9.1796875" style="191"/>
  </cols>
  <sheetData>
    <row r="2" spans="1:12" x14ac:dyDescent="0.25">
      <c r="L2" s="192"/>
    </row>
    <row r="3" spans="1:12" x14ac:dyDescent="0.25">
      <c r="A3" s="196"/>
    </row>
    <row r="4" spans="1:12" x14ac:dyDescent="0.25">
      <c r="L4" s="192"/>
    </row>
    <row r="5" spans="1:12" x14ac:dyDescent="0.25">
      <c r="A5" s="196"/>
    </row>
    <row r="6" spans="1:12" x14ac:dyDescent="0.25">
      <c r="A6" s="196"/>
    </row>
    <row r="7" spans="1:12" x14ac:dyDescent="0.25">
      <c r="A7" s="196"/>
    </row>
    <row r="9" spans="1:12" x14ac:dyDescent="0.25">
      <c r="L9" s="192"/>
    </row>
    <row r="10" spans="1:12" x14ac:dyDescent="0.25">
      <c r="L10" s="192"/>
    </row>
    <row r="16" spans="1:12" x14ac:dyDescent="0.25">
      <c r="K16" s="196"/>
    </row>
    <row r="21" spans="12:14" x14ac:dyDescent="0.25">
      <c r="L21" s="196"/>
      <c r="M21" s="196"/>
      <c r="N21" s="196"/>
    </row>
    <row r="22" spans="12:14" x14ac:dyDescent="0.25">
      <c r="L22" s="196"/>
      <c r="M22" s="196"/>
      <c r="N22" s="196"/>
    </row>
    <row r="23" spans="12:14" x14ac:dyDescent="0.25">
      <c r="L23" s="196"/>
      <c r="M23" s="196"/>
      <c r="N23" s="196"/>
    </row>
    <row r="24" spans="12:14" x14ac:dyDescent="0.25">
      <c r="L24" s="196"/>
      <c r="M24" s="196"/>
      <c r="N24" s="196"/>
    </row>
    <row r="25" spans="12:14" x14ac:dyDescent="0.25">
      <c r="L25" s="196"/>
      <c r="M25" s="196"/>
      <c r="N25" s="196"/>
    </row>
    <row r="36" spans="2:23" ht="14.5" x14ac:dyDescent="0.35">
      <c r="B36" s="193"/>
      <c r="C36" s="193"/>
      <c r="D36" s="193"/>
      <c r="E36" s="193"/>
      <c r="F36" s="193"/>
      <c r="G36" s="193"/>
      <c r="H36" s="193"/>
      <c r="I36" s="193"/>
      <c r="J36" s="193"/>
    </row>
    <row r="37" spans="2:23" ht="14.5" x14ac:dyDescent="0.35">
      <c r="B37" s="194"/>
      <c r="C37" s="193"/>
      <c r="D37" s="193"/>
      <c r="E37" s="193"/>
      <c r="F37" s="193"/>
      <c r="G37" s="193"/>
      <c r="H37" s="193"/>
      <c r="I37" s="193"/>
      <c r="J37" s="195" t="s">
        <v>309</v>
      </c>
      <c r="U37" s="192"/>
      <c r="W37" s="415"/>
    </row>
    <row r="38" spans="2:23" ht="14.5" x14ac:dyDescent="0.35">
      <c r="J38" s="195" t="s">
        <v>310</v>
      </c>
    </row>
    <row r="39" spans="2:23" x14ac:dyDescent="0.25">
      <c r="J39" s="414"/>
    </row>
    <row r="40" spans="2:23" x14ac:dyDescent="0.25">
      <c r="J40" s="414"/>
    </row>
  </sheetData>
  <hyperlinks>
    <hyperlink ref="J38" r:id="rId1" xr:uid="{00000000-0004-0000-0000-000000000000}"/>
    <hyperlink ref="J37" r:id="rId2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497B0"/>
  </sheetPr>
  <dimension ref="A1:AR189"/>
  <sheetViews>
    <sheetView zoomScaleNormal="100" workbookViewId="0">
      <selection activeCell="E26" sqref="E26"/>
    </sheetView>
  </sheetViews>
  <sheetFormatPr defaultColWidth="9.1796875" defaultRowHeight="12.5" x14ac:dyDescent="0.25"/>
  <cols>
    <col min="1" max="1" width="21.81640625" style="252" customWidth="1"/>
    <col min="2" max="2" width="43.54296875" style="252" customWidth="1"/>
    <col min="3" max="3" width="11.453125" style="252" customWidth="1"/>
    <col min="4" max="4" width="11.81640625" style="252" customWidth="1"/>
    <col min="5" max="5" width="11.1796875" style="252" customWidth="1"/>
    <col min="6" max="6" width="11.7265625" style="252" customWidth="1"/>
    <col min="7" max="7" width="9.1796875" style="252"/>
    <col min="8" max="8" width="9.81640625" style="252" customWidth="1"/>
    <col min="9" max="9" width="10.7265625" style="252" customWidth="1"/>
    <col min="10" max="11" width="9.1796875" style="252" customWidth="1"/>
    <col min="12" max="12" width="15.453125" style="252" customWidth="1"/>
    <col min="13" max="16" width="9.1796875" style="252" customWidth="1"/>
    <col min="17" max="17" width="11.1796875" style="252" customWidth="1"/>
    <col min="18" max="18" width="9.26953125" style="252" customWidth="1"/>
    <col min="19" max="20" width="9.1796875" style="252" customWidth="1"/>
    <col min="21" max="21" width="10.54296875" style="252" customWidth="1"/>
    <col min="22" max="25" width="9.1796875" style="252" customWidth="1"/>
    <col min="26" max="26" width="9.1796875" hidden="1" customWidth="1"/>
    <col min="27" max="27" width="12.1796875" hidden="1" customWidth="1"/>
    <col min="28" max="42" width="9.1796875" hidden="1" customWidth="1"/>
    <col min="43" max="43" width="9.81640625" hidden="1" customWidth="1"/>
    <col min="44" max="44" width="9.1796875" hidden="1" customWidth="1"/>
    <col min="45" max="16384" width="9.1796875" style="252"/>
  </cols>
  <sheetData>
    <row r="1" spans="1:44" x14ac:dyDescent="0.25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265"/>
      <c r="Z1" s="186" t="s">
        <v>330</v>
      </c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</row>
    <row r="2" spans="1:44" ht="32.5" x14ac:dyDescent="0.65">
      <c r="A2" s="452" t="s">
        <v>286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265"/>
      <c r="Z2" s="174"/>
    </row>
    <row r="3" spans="1:44" x14ac:dyDescent="0.25">
      <c r="A3" s="191"/>
      <c r="B3" s="197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265"/>
      <c r="Z3" s="174"/>
    </row>
    <row r="4" spans="1:44" x14ac:dyDescent="0.25">
      <c r="A4" s="191"/>
      <c r="B4" s="198"/>
      <c r="C4" s="196"/>
      <c r="D4" s="196"/>
      <c r="E4" s="196"/>
      <c r="F4" s="196"/>
      <c r="G4" s="196"/>
      <c r="H4" s="196"/>
      <c r="I4" s="249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265"/>
      <c r="Z4" s="174"/>
    </row>
    <row r="5" spans="1:44" x14ac:dyDescent="0.25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265"/>
      <c r="Z5" s="175"/>
    </row>
    <row r="6" spans="1:44" ht="25" x14ac:dyDescent="0.5">
      <c r="A6" s="453" t="s">
        <v>223</v>
      </c>
      <c r="B6" s="196"/>
      <c r="C6" s="196"/>
      <c r="D6" s="196"/>
      <c r="E6" s="196"/>
      <c r="F6" s="196"/>
      <c r="G6" s="191"/>
      <c r="H6" s="460" t="s">
        <v>342</v>
      </c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265"/>
      <c r="Z6" s="175"/>
    </row>
    <row r="7" spans="1:44" x14ac:dyDescent="0.25">
      <c r="A7" s="191"/>
      <c r="B7" s="191"/>
      <c r="C7" s="191"/>
      <c r="D7" s="191"/>
      <c r="E7" s="191"/>
      <c r="F7" s="199"/>
      <c r="G7" s="196"/>
      <c r="H7" s="416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8"/>
      <c r="Z7" s="174"/>
      <c r="AA7" s="82" t="s">
        <v>191</v>
      </c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4"/>
    </row>
    <row r="8" spans="1:44" x14ac:dyDescent="0.25">
      <c r="A8" s="191"/>
      <c r="B8" s="454" t="s">
        <v>226</v>
      </c>
      <c r="C8" s="191"/>
      <c r="D8" s="191"/>
      <c r="E8" s="191"/>
      <c r="F8" s="201"/>
      <c r="G8" s="196"/>
      <c r="H8" s="419"/>
      <c r="I8" s="281" t="s">
        <v>187</v>
      </c>
      <c r="J8" s="282"/>
      <c r="K8" s="282"/>
      <c r="L8" s="282"/>
      <c r="M8" s="281" t="s">
        <v>188</v>
      </c>
      <c r="N8" s="282"/>
      <c r="O8" s="282"/>
      <c r="P8" s="282"/>
      <c r="Q8" s="281" t="s">
        <v>174</v>
      </c>
      <c r="R8" s="282"/>
      <c r="S8" s="282"/>
      <c r="T8" s="282"/>
      <c r="U8" s="281" t="s">
        <v>229</v>
      </c>
      <c r="V8" s="282"/>
      <c r="W8" s="282"/>
      <c r="X8" s="282"/>
      <c r="Y8" s="458"/>
      <c r="Z8" s="174"/>
    </row>
    <row r="9" spans="1:44" x14ac:dyDescent="0.25">
      <c r="A9" s="191"/>
      <c r="B9" s="454" t="s">
        <v>227</v>
      </c>
      <c r="C9" s="196"/>
      <c r="D9" s="191"/>
      <c r="E9" s="191"/>
      <c r="F9" s="191"/>
      <c r="G9" s="191"/>
      <c r="H9" s="419"/>
      <c r="I9" s="427" t="s">
        <v>106</v>
      </c>
      <c r="J9" s="445" t="s">
        <v>49</v>
      </c>
      <c r="K9" s="445" t="s">
        <v>37</v>
      </c>
      <c r="L9" s="215"/>
      <c r="M9" s="427" t="s">
        <v>106</v>
      </c>
      <c r="N9" s="445" t="s">
        <v>49</v>
      </c>
      <c r="O9" s="445" t="s">
        <v>37</v>
      </c>
      <c r="P9" s="215"/>
      <c r="Q9" s="427" t="s">
        <v>35</v>
      </c>
      <c r="R9" s="445" t="s">
        <v>106</v>
      </c>
      <c r="S9" s="446" t="s">
        <v>228</v>
      </c>
      <c r="T9" s="215"/>
      <c r="U9" s="427" t="s">
        <v>181</v>
      </c>
      <c r="V9" s="445" t="s">
        <v>178</v>
      </c>
      <c r="W9" s="445" t="s">
        <v>172</v>
      </c>
      <c r="X9" s="445" t="s">
        <v>173</v>
      </c>
      <c r="Y9" s="445" t="s">
        <v>180</v>
      </c>
      <c r="Z9" s="174"/>
      <c r="AA9" s="73" t="s">
        <v>189</v>
      </c>
      <c r="AB9" s="67" t="str">
        <f>C12&amp;" "&amp;C13&amp;" "&amp;C14&amp;" "&amp;C15&amp;" "&amp;C16&amp;" "&amp;C17&amp;" "&amp;C18</f>
        <v>Kommunal Tätort VV 60 - GIF Y</v>
      </c>
      <c r="AC9" s="69"/>
      <c r="AD9" s="69"/>
      <c r="AE9" s="69"/>
      <c r="AF9" s="69"/>
      <c r="AG9" s="69"/>
      <c r="AH9" s="69"/>
      <c r="AI9" s="69"/>
      <c r="AJ9" s="68"/>
    </row>
    <row r="10" spans="1:44" x14ac:dyDescent="0.25">
      <c r="A10" s="191"/>
      <c r="B10" s="454" t="s">
        <v>288</v>
      </c>
      <c r="C10" s="202"/>
      <c r="D10" s="191"/>
      <c r="E10" s="191"/>
      <c r="F10" s="191"/>
      <c r="G10" s="191"/>
      <c r="H10" s="419"/>
      <c r="I10" s="444">
        <v>40</v>
      </c>
      <c r="J10" s="204" t="s">
        <v>11</v>
      </c>
      <c r="K10" s="204" t="s">
        <v>4</v>
      </c>
      <c r="L10" s="215"/>
      <c r="M10" s="444">
        <v>40</v>
      </c>
      <c r="N10" s="204" t="s">
        <v>11</v>
      </c>
      <c r="O10" s="204" t="s">
        <v>4</v>
      </c>
      <c r="P10" s="215"/>
      <c r="Q10" s="444" t="s">
        <v>181</v>
      </c>
      <c r="R10" s="204">
        <v>40</v>
      </c>
      <c r="S10" s="222" t="s">
        <v>99</v>
      </c>
      <c r="T10" s="215"/>
      <c r="U10" s="451" t="s">
        <v>164</v>
      </c>
      <c r="V10" s="222" t="s">
        <v>29</v>
      </c>
      <c r="W10" s="250" t="s">
        <v>99</v>
      </c>
      <c r="X10" s="222" t="s">
        <v>32</v>
      </c>
      <c r="Y10" s="222" t="s">
        <v>99</v>
      </c>
      <c r="Z10" s="174"/>
      <c r="AA10" s="74" t="s">
        <v>190</v>
      </c>
      <c r="AB10" s="70" t="str">
        <f>VLOOKUP($AB$9,'Matris - Länk'!$K$9:$AC$135,1,FALSE)</f>
        <v>Kommunal Tätort VV 60 - GIF Y</v>
      </c>
      <c r="AC10" s="72"/>
      <c r="AD10" s="72"/>
      <c r="AE10" s="72"/>
      <c r="AF10" s="72"/>
      <c r="AG10" s="72"/>
      <c r="AH10" s="72"/>
      <c r="AI10" s="72"/>
      <c r="AJ10" s="71"/>
    </row>
    <row r="11" spans="1:44" x14ac:dyDescent="0.25">
      <c r="A11" s="191"/>
      <c r="B11" s="455" t="s">
        <v>143</v>
      </c>
      <c r="C11" s="203" t="s">
        <v>163</v>
      </c>
      <c r="D11" s="191"/>
      <c r="E11" s="191"/>
      <c r="F11" s="192"/>
      <c r="G11" s="191"/>
      <c r="H11" s="419"/>
      <c r="I11" s="444">
        <v>40</v>
      </c>
      <c r="J11" s="204" t="s">
        <v>11</v>
      </c>
      <c r="K11" s="204" t="s">
        <v>5</v>
      </c>
      <c r="L11" s="215"/>
      <c r="M11" s="444">
        <v>40</v>
      </c>
      <c r="N11" s="204" t="s">
        <v>11</v>
      </c>
      <c r="O11" s="204" t="s">
        <v>5</v>
      </c>
      <c r="P11" s="215"/>
      <c r="Q11" s="444" t="s">
        <v>181</v>
      </c>
      <c r="R11" s="204">
        <v>50</v>
      </c>
      <c r="S11" s="222" t="s">
        <v>164</v>
      </c>
      <c r="T11" s="215"/>
      <c r="U11" s="451" t="s">
        <v>114</v>
      </c>
      <c r="V11" s="222" t="s">
        <v>30</v>
      </c>
      <c r="W11" s="222">
        <v>18.5</v>
      </c>
      <c r="X11" s="222">
        <v>15.75</v>
      </c>
      <c r="Y11" s="204" t="s">
        <v>128</v>
      </c>
      <c r="Z11" s="174"/>
      <c r="AC11" s="1"/>
      <c r="AD11" s="65" t="str">
        <f>C12</f>
        <v>Kommunal</v>
      </c>
      <c r="AE11" s="65" t="str">
        <f>C13</f>
        <v>Tätort</v>
      </c>
      <c r="AF11" s="65" t="str">
        <f>C14</f>
        <v>VV</v>
      </c>
      <c r="AG11" s="65">
        <f>C15</f>
        <v>60</v>
      </c>
      <c r="AH11" s="65" t="str">
        <f>C16</f>
        <v>-</v>
      </c>
      <c r="AI11" s="65" t="str">
        <f>C17</f>
        <v>GIF</v>
      </c>
      <c r="AJ11" s="65" t="str">
        <f>C18</f>
        <v>Y</v>
      </c>
      <c r="AL11" s="79"/>
      <c r="AM11" s="79"/>
      <c r="AN11" s="79"/>
      <c r="AO11" s="79"/>
      <c r="AP11" s="79"/>
      <c r="AQ11" s="79"/>
      <c r="AR11" s="79"/>
    </row>
    <row r="12" spans="1:44" x14ac:dyDescent="0.25">
      <c r="A12" s="191"/>
      <c r="B12" s="421" t="s">
        <v>19</v>
      </c>
      <c r="C12" s="422" t="s">
        <v>36</v>
      </c>
      <c r="D12" s="191"/>
      <c r="E12" s="191"/>
      <c r="F12" s="196"/>
      <c r="G12" s="191"/>
      <c r="H12" s="419"/>
      <c r="I12" s="444">
        <v>40</v>
      </c>
      <c r="J12" s="204" t="s">
        <v>10</v>
      </c>
      <c r="K12" s="204" t="s">
        <v>4</v>
      </c>
      <c r="L12" s="217"/>
      <c r="M12" s="444">
        <v>40</v>
      </c>
      <c r="N12" s="204" t="s">
        <v>10</v>
      </c>
      <c r="O12" s="204" t="s">
        <v>4</v>
      </c>
      <c r="P12" s="215"/>
      <c r="Q12" s="444" t="s">
        <v>181</v>
      </c>
      <c r="R12" s="204">
        <v>50</v>
      </c>
      <c r="S12" s="222" t="s">
        <v>114</v>
      </c>
      <c r="T12" s="215"/>
      <c r="U12" s="451" t="s">
        <v>111</v>
      </c>
      <c r="V12" s="222" t="s">
        <v>112</v>
      </c>
      <c r="W12" s="222">
        <v>21.5</v>
      </c>
      <c r="X12" s="222" t="s">
        <v>33</v>
      </c>
      <c r="Y12" s="222" t="s">
        <v>29</v>
      </c>
      <c r="Z12" s="174"/>
      <c r="AC12" s="1"/>
      <c r="AD12" s="57" t="s">
        <v>19</v>
      </c>
      <c r="AE12" s="57" t="s">
        <v>20</v>
      </c>
      <c r="AF12" s="57" t="s">
        <v>35</v>
      </c>
      <c r="AG12" s="57" t="s">
        <v>106</v>
      </c>
      <c r="AH12" s="58" t="s">
        <v>108</v>
      </c>
      <c r="AI12" s="57" t="s">
        <v>49</v>
      </c>
      <c r="AJ12" s="57" t="s">
        <v>37</v>
      </c>
    </row>
    <row r="13" spans="1:44" x14ac:dyDescent="0.25">
      <c r="A13" s="191"/>
      <c r="B13" s="423" t="s">
        <v>20</v>
      </c>
      <c r="C13" s="276" t="s">
        <v>24</v>
      </c>
      <c r="D13" s="191"/>
      <c r="E13" s="191"/>
      <c r="F13" s="191"/>
      <c r="G13" s="191"/>
      <c r="H13" s="419"/>
      <c r="I13" s="444">
        <v>40</v>
      </c>
      <c r="J13" s="204" t="s">
        <v>10</v>
      </c>
      <c r="K13" s="204" t="s">
        <v>5</v>
      </c>
      <c r="L13" s="215"/>
      <c r="M13" s="444">
        <v>40</v>
      </c>
      <c r="N13" s="204" t="s">
        <v>25</v>
      </c>
      <c r="O13" s="204" t="s">
        <v>4</v>
      </c>
      <c r="P13" s="215"/>
      <c r="Q13" s="444" t="s">
        <v>181</v>
      </c>
      <c r="R13" s="204">
        <v>50</v>
      </c>
      <c r="S13" s="222" t="s">
        <v>111</v>
      </c>
      <c r="T13" s="215"/>
      <c r="U13" s="451" t="s">
        <v>27</v>
      </c>
      <c r="V13" s="222" t="s">
        <v>113</v>
      </c>
      <c r="W13" s="222" t="s">
        <v>47</v>
      </c>
      <c r="X13" s="222">
        <v>15.75</v>
      </c>
      <c r="Y13" s="216"/>
      <c r="Z13" s="174"/>
      <c r="AC13" s="1"/>
      <c r="AD13" s="59" t="s">
        <v>36</v>
      </c>
      <c r="AE13" s="59" t="s">
        <v>24</v>
      </c>
      <c r="AF13" s="60" t="s">
        <v>181</v>
      </c>
      <c r="AG13" s="59">
        <v>40</v>
      </c>
      <c r="AH13" s="61" t="s">
        <v>99</v>
      </c>
      <c r="AI13" s="59" t="str">
        <f t="shared" ref="AI13:AJ15" si="0">IF($AD$11="Statlig","-",AI40)</f>
        <v>City</v>
      </c>
      <c r="AJ13" s="59" t="str">
        <f t="shared" si="0"/>
        <v>C</v>
      </c>
    </row>
    <row r="14" spans="1:44" x14ac:dyDescent="0.25">
      <c r="A14" s="191"/>
      <c r="B14" s="423" t="s">
        <v>35</v>
      </c>
      <c r="C14" s="276" t="s">
        <v>181</v>
      </c>
      <c r="D14" s="205"/>
      <c r="E14" s="191"/>
      <c r="F14" s="191"/>
      <c r="G14" s="191"/>
      <c r="H14" s="419"/>
      <c r="I14" s="444">
        <v>40</v>
      </c>
      <c r="J14" s="204" t="s">
        <v>25</v>
      </c>
      <c r="K14" s="204" t="s">
        <v>4</v>
      </c>
      <c r="L14" s="215"/>
      <c r="M14" s="444">
        <v>50</v>
      </c>
      <c r="N14" s="204" t="s">
        <v>11</v>
      </c>
      <c r="O14" s="204" t="s">
        <v>4</v>
      </c>
      <c r="P14" s="215"/>
      <c r="Q14" s="444" t="s">
        <v>181</v>
      </c>
      <c r="R14" s="204">
        <v>50</v>
      </c>
      <c r="S14" s="222" t="s">
        <v>27</v>
      </c>
      <c r="T14" s="215"/>
      <c r="U14" s="451" t="s">
        <v>115</v>
      </c>
      <c r="V14" s="222" t="s">
        <v>112</v>
      </c>
      <c r="W14" s="222" t="s">
        <v>48</v>
      </c>
      <c r="X14" s="222">
        <v>18.5</v>
      </c>
      <c r="Y14" s="216"/>
      <c r="Z14" s="174"/>
      <c r="AC14" s="1"/>
      <c r="AD14" s="60" t="s">
        <v>26</v>
      </c>
      <c r="AE14" s="60" t="s">
        <v>28</v>
      </c>
      <c r="AF14" s="59" t="s">
        <v>178</v>
      </c>
      <c r="AG14" s="59">
        <v>50</v>
      </c>
      <c r="AH14" s="78" t="str">
        <f t="shared" ref="AH14:AH30" si="1">IF($AD$11="Kommunal","",AH41)</f>
        <v/>
      </c>
      <c r="AI14" s="59" t="str">
        <f t="shared" si="0"/>
        <v>GIF</v>
      </c>
      <c r="AJ14" s="59" t="str">
        <f t="shared" si="0"/>
        <v>M</v>
      </c>
    </row>
    <row r="15" spans="1:44" x14ac:dyDescent="0.25">
      <c r="A15" s="191"/>
      <c r="B15" s="423" t="s">
        <v>269</v>
      </c>
      <c r="C15" s="276">
        <v>60</v>
      </c>
      <c r="D15" s="205"/>
      <c r="E15" s="191"/>
      <c r="F15" s="191"/>
      <c r="G15" s="191"/>
      <c r="H15" s="419"/>
      <c r="I15" s="444">
        <v>40</v>
      </c>
      <c r="J15" s="204" t="s">
        <v>25</v>
      </c>
      <c r="K15" s="204" t="s">
        <v>5</v>
      </c>
      <c r="L15" s="215"/>
      <c r="M15" s="444">
        <v>50</v>
      </c>
      <c r="N15" s="204" t="s">
        <v>11</v>
      </c>
      <c r="O15" s="204" t="s">
        <v>5</v>
      </c>
      <c r="P15" s="215"/>
      <c r="Q15" s="444" t="s">
        <v>181</v>
      </c>
      <c r="R15" s="204">
        <v>50</v>
      </c>
      <c r="S15" s="222" t="s">
        <v>115</v>
      </c>
      <c r="T15" s="215"/>
      <c r="U15" s="451" t="s">
        <v>165</v>
      </c>
      <c r="V15" s="215"/>
      <c r="W15" s="222" t="s">
        <v>16</v>
      </c>
      <c r="X15" s="222" t="s">
        <v>34</v>
      </c>
      <c r="Y15" s="216"/>
      <c r="Z15" s="174"/>
      <c r="AE15" s="56"/>
      <c r="AF15" s="59" t="s">
        <v>180</v>
      </c>
      <c r="AG15" s="59">
        <v>60</v>
      </c>
      <c r="AH15" s="78" t="str">
        <f t="shared" si="1"/>
        <v/>
      </c>
      <c r="AI15" s="59" t="str">
        <f t="shared" si="0"/>
        <v>Tangent</v>
      </c>
      <c r="AJ15" s="59" t="str">
        <f t="shared" si="0"/>
        <v>Y</v>
      </c>
    </row>
    <row r="16" spans="1:44" x14ac:dyDescent="0.25">
      <c r="A16" s="191"/>
      <c r="B16" s="424" t="s">
        <v>108</v>
      </c>
      <c r="C16" s="276" t="s">
        <v>99</v>
      </c>
      <c r="D16" s="205"/>
      <c r="E16" s="191"/>
      <c r="F16" s="191"/>
      <c r="G16" s="191"/>
      <c r="H16" s="419"/>
      <c r="I16" s="444">
        <v>50</v>
      </c>
      <c r="J16" s="204" t="s">
        <v>11</v>
      </c>
      <c r="K16" s="204" t="s">
        <v>4</v>
      </c>
      <c r="L16" s="215"/>
      <c r="M16" s="444">
        <v>50</v>
      </c>
      <c r="N16" s="204" t="s">
        <v>10</v>
      </c>
      <c r="O16" s="204" t="s">
        <v>4</v>
      </c>
      <c r="P16" s="215"/>
      <c r="Q16" s="444" t="s">
        <v>181</v>
      </c>
      <c r="R16" s="204">
        <v>50</v>
      </c>
      <c r="S16" s="222" t="s">
        <v>165</v>
      </c>
      <c r="T16" s="215"/>
      <c r="U16" s="213"/>
      <c r="V16" s="215"/>
      <c r="W16" s="215"/>
      <c r="X16" s="213"/>
      <c r="Y16" s="216"/>
      <c r="Z16" s="174"/>
      <c r="AB16" s="161" t="s">
        <v>270</v>
      </c>
      <c r="AC16" s="1"/>
      <c r="AD16" s="66"/>
      <c r="AE16" s="56"/>
      <c r="AF16" s="59" t="s">
        <v>128</v>
      </c>
      <c r="AG16" s="59">
        <v>70</v>
      </c>
      <c r="AH16" s="78" t="str">
        <f t="shared" si="1"/>
        <v/>
      </c>
    </row>
    <row r="17" spans="1:36" x14ac:dyDescent="0.25">
      <c r="A17" s="191"/>
      <c r="B17" s="423" t="s">
        <v>49</v>
      </c>
      <c r="C17" s="276" t="s">
        <v>10</v>
      </c>
      <c r="D17" s="191"/>
      <c r="E17" s="191"/>
      <c r="F17" s="191"/>
      <c r="G17" s="191"/>
      <c r="H17" s="419"/>
      <c r="I17" s="444">
        <v>50</v>
      </c>
      <c r="J17" s="204" t="s">
        <v>11</v>
      </c>
      <c r="K17" s="204" t="s">
        <v>5</v>
      </c>
      <c r="L17" s="215"/>
      <c r="M17" s="444">
        <v>50</v>
      </c>
      <c r="N17" s="204" t="s">
        <v>10</v>
      </c>
      <c r="O17" s="204" t="s">
        <v>5</v>
      </c>
      <c r="P17" s="215"/>
      <c r="Q17" s="444" t="s">
        <v>181</v>
      </c>
      <c r="R17" s="204">
        <v>60</v>
      </c>
      <c r="S17" s="222" t="s">
        <v>99</v>
      </c>
      <c r="T17" s="215"/>
      <c r="U17" s="213"/>
      <c r="V17" s="213"/>
      <c r="W17" s="215"/>
      <c r="X17" s="213"/>
      <c r="Y17" s="214"/>
      <c r="Z17" s="174"/>
      <c r="AA17" s="76" t="s">
        <v>207</v>
      </c>
      <c r="AB17" s="115">
        <v>28</v>
      </c>
      <c r="AC17" s="116">
        <v>57</v>
      </c>
      <c r="AD17" s="117">
        <v>83</v>
      </c>
      <c r="AE17" s="56"/>
      <c r="AF17" s="59" t="s">
        <v>172</v>
      </c>
      <c r="AG17" s="60">
        <v>80</v>
      </c>
      <c r="AH17" s="78" t="str">
        <f t="shared" si="1"/>
        <v/>
      </c>
      <c r="AI17" s="56"/>
      <c r="AJ17" s="56"/>
    </row>
    <row r="18" spans="1:36" x14ac:dyDescent="0.25">
      <c r="A18" s="191"/>
      <c r="B18" s="423" t="s">
        <v>37</v>
      </c>
      <c r="C18" s="276" t="s">
        <v>6</v>
      </c>
      <c r="D18" s="205"/>
      <c r="E18" s="191"/>
      <c r="F18" s="191"/>
      <c r="G18" s="191"/>
      <c r="H18" s="419"/>
      <c r="I18" s="444">
        <v>50</v>
      </c>
      <c r="J18" s="204" t="s">
        <v>10</v>
      </c>
      <c r="K18" s="204" t="s">
        <v>4</v>
      </c>
      <c r="L18" s="215"/>
      <c r="M18" s="444">
        <v>50</v>
      </c>
      <c r="N18" s="204" t="s">
        <v>10</v>
      </c>
      <c r="O18" s="204" t="s">
        <v>6</v>
      </c>
      <c r="P18" s="215"/>
      <c r="Q18" s="215"/>
      <c r="R18" s="215"/>
      <c r="S18" s="215"/>
      <c r="T18" s="215"/>
      <c r="U18" s="459" t="s">
        <v>193</v>
      </c>
      <c r="V18" s="225"/>
      <c r="W18" s="225"/>
      <c r="X18" s="459" t="s">
        <v>194</v>
      </c>
      <c r="Y18" s="226"/>
      <c r="Z18" s="174"/>
      <c r="AA18" s="56"/>
      <c r="AB18" s="118">
        <v>30</v>
      </c>
      <c r="AC18" s="119">
        <v>59</v>
      </c>
      <c r="AD18" s="120">
        <v>85</v>
      </c>
      <c r="AE18" s="56"/>
      <c r="AF18" s="59" t="s">
        <v>173</v>
      </c>
      <c r="AG18" s="59">
        <v>90</v>
      </c>
      <c r="AH18" s="78" t="str">
        <f t="shared" si="1"/>
        <v/>
      </c>
      <c r="AI18" s="56"/>
      <c r="AJ18" s="56"/>
    </row>
    <row r="19" spans="1:36" x14ac:dyDescent="0.25">
      <c r="A19" s="208"/>
      <c r="B19" s="456" t="s">
        <v>274</v>
      </c>
      <c r="C19" s="203" t="s">
        <v>222</v>
      </c>
      <c r="D19" s="209"/>
      <c r="E19" s="191"/>
      <c r="F19" s="192"/>
      <c r="G19" s="191"/>
      <c r="H19" s="419"/>
      <c r="I19" s="444">
        <v>50</v>
      </c>
      <c r="J19" s="204" t="s">
        <v>10</v>
      </c>
      <c r="K19" s="204" t="s">
        <v>5</v>
      </c>
      <c r="L19" s="215"/>
      <c r="M19" s="444">
        <v>50</v>
      </c>
      <c r="N19" s="204" t="s">
        <v>25</v>
      </c>
      <c r="O19" s="204" t="s">
        <v>4</v>
      </c>
      <c r="P19" s="215"/>
      <c r="Q19" s="459" t="s">
        <v>175</v>
      </c>
      <c r="R19" s="225"/>
      <c r="S19" s="225"/>
      <c r="T19" s="215"/>
      <c r="U19" s="427" t="s">
        <v>106</v>
      </c>
      <c r="V19" s="446" t="s">
        <v>228</v>
      </c>
      <c r="W19" s="215"/>
      <c r="X19" s="427" t="s">
        <v>106</v>
      </c>
      <c r="Y19" s="446" t="s">
        <v>228</v>
      </c>
      <c r="Z19" s="174"/>
      <c r="AB19" s="118">
        <v>31</v>
      </c>
      <c r="AC19" s="119">
        <v>60</v>
      </c>
      <c r="AD19" s="120">
        <v>86</v>
      </c>
      <c r="AE19" s="56"/>
      <c r="AF19" s="56"/>
      <c r="AG19" s="59">
        <v>100</v>
      </c>
      <c r="AH19" s="78" t="str">
        <f t="shared" si="1"/>
        <v/>
      </c>
      <c r="AI19" s="56"/>
      <c r="AJ19" s="56"/>
    </row>
    <row r="20" spans="1:36" x14ac:dyDescent="0.25">
      <c r="A20" s="191"/>
      <c r="B20" s="421" t="s">
        <v>250</v>
      </c>
      <c r="C20" s="422">
        <v>1</v>
      </c>
      <c r="D20" s="191"/>
      <c r="E20" s="191"/>
      <c r="F20" s="191"/>
      <c r="G20" s="191"/>
      <c r="H20" s="419"/>
      <c r="I20" s="444">
        <v>50</v>
      </c>
      <c r="J20" s="204" t="s">
        <v>10</v>
      </c>
      <c r="K20" s="204" t="s">
        <v>6</v>
      </c>
      <c r="L20" s="215"/>
      <c r="M20" s="444">
        <v>50</v>
      </c>
      <c r="N20" s="204" t="s">
        <v>25</v>
      </c>
      <c r="O20" s="204" t="s">
        <v>5</v>
      </c>
      <c r="P20" s="215"/>
      <c r="Q20" s="427" t="s">
        <v>35</v>
      </c>
      <c r="R20" s="445" t="s">
        <v>106</v>
      </c>
      <c r="S20" s="446" t="s">
        <v>228</v>
      </c>
      <c r="T20" s="215"/>
      <c r="U20" s="450">
        <v>50</v>
      </c>
      <c r="V20" s="222" t="s">
        <v>99</v>
      </c>
      <c r="W20" s="215"/>
      <c r="X20" s="450">
        <v>80</v>
      </c>
      <c r="Y20" s="222" t="s">
        <v>32</v>
      </c>
      <c r="Z20" s="174"/>
      <c r="AA20" s="56"/>
      <c r="AB20" s="118">
        <v>32</v>
      </c>
      <c r="AC20" s="119">
        <v>61</v>
      </c>
      <c r="AD20" s="120">
        <v>87</v>
      </c>
      <c r="AE20" s="56"/>
      <c r="AF20" s="56"/>
      <c r="AG20" s="59">
        <v>110</v>
      </c>
      <c r="AH20" s="78" t="str">
        <f t="shared" si="1"/>
        <v/>
      </c>
      <c r="AI20" s="56"/>
      <c r="AJ20" s="56"/>
    </row>
    <row r="21" spans="1:36" ht="13" x14ac:dyDescent="0.3">
      <c r="A21" s="191"/>
      <c r="B21" s="425" t="s">
        <v>259</v>
      </c>
      <c r="C21" s="276">
        <v>1</v>
      </c>
      <c r="D21" s="205"/>
      <c r="E21" s="191"/>
      <c r="F21" s="191"/>
      <c r="G21" s="191"/>
      <c r="H21" s="419"/>
      <c r="I21" s="444">
        <v>50</v>
      </c>
      <c r="J21" s="204" t="s">
        <v>25</v>
      </c>
      <c r="K21" s="204" t="s">
        <v>4</v>
      </c>
      <c r="L21" s="215"/>
      <c r="M21" s="444">
        <v>50</v>
      </c>
      <c r="N21" s="204" t="s">
        <v>25</v>
      </c>
      <c r="O21" s="204" t="s">
        <v>6</v>
      </c>
      <c r="P21" s="215"/>
      <c r="Q21" s="444" t="s">
        <v>181</v>
      </c>
      <c r="R21" s="204" t="s">
        <v>132</v>
      </c>
      <c r="S21" s="221" t="s">
        <v>186</v>
      </c>
      <c r="T21" s="215"/>
      <c r="U21" s="450">
        <v>70</v>
      </c>
      <c r="V21" s="222" t="s">
        <v>99</v>
      </c>
      <c r="W21" s="215"/>
      <c r="X21" s="450">
        <v>90</v>
      </c>
      <c r="Y21" s="222">
        <v>15.75</v>
      </c>
      <c r="Z21" s="174"/>
      <c r="AA21" s="162" t="s">
        <v>315</v>
      </c>
      <c r="AB21" s="148">
        <v>46</v>
      </c>
      <c r="AC21" s="149">
        <v>48</v>
      </c>
      <c r="AD21" s="150" t="s">
        <v>38</v>
      </c>
      <c r="AE21" s="56"/>
      <c r="AF21" s="56"/>
      <c r="AG21" s="59">
        <v>120</v>
      </c>
      <c r="AH21" s="78" t="str">
        <f t="shared" si="1"/>
        <v/>
      </c>
      <c r="AI21" s="56"/>
      <c r="AJ21" s="56"/>
    </row>
    <row r="22" spans="1:36" ht="13" x14ac:dyDescent="0.3">
      <c r="A22" s="191"/>
      <c r="B22" s="423" t="s">
        <v>301</v>
      </c>
      <c r="C22" s="276">
        <v>1</v>
      </c>
      <c r="D22" s="206"/>
      <c r="E22" s="192"/>
      <c r="F22" s="192"/>
      <c r="G22" s="191"/>
      <c r="H22" s="419"/>
      <c r="I22" s="444">
        <v>50</v>
      </c>
      <c r="J22" s="204" t="s">
        <v>25</v>
      </c>
      <c r="K22" s="204" t="s">
        <v>5</v>
      </c>
      <c r="L22" s="215"/>
      <c r="M22" s="444">
        <v>60</v>
      </c>
      <c r="N22" s="204" t="s">
        <v>10</v>
      </c>
      <c r="O22" s="204" t="s">
        <v>5</v>
      </c>
      <c r="P22" s="215"/>
      <c r="Q22" s="444" t="s">
        <v>180</v>
      </c>
      <c r="R22" s="204" t="s">
        <v>176</v>
      </c>
      <c r="S22" s="204" t="s">
        <v>99</v>
      </c>
      <c r="T22" s="215"/>
      <c r="U22" s="450">
        <v>80</v>
      </c>
      <c r="V22" s="222" t="s">
        <v>99</v>
      </c>
      <c r="W22" s="215"/>
      <c r="X22" s="450">
        <v>90</v>
      </c>
      <c r="Y22" s="222" t="s">
        <v>33</v>
      </c>
      <c r="Z22" s="174"/>
      <c r="AA22" s="162"/>
      <c r="AB22" s="142">
        <v>47</v>
      </c>
      <c r="AC22" s="143">
        <v>49</v>
      </c>
      <c r="AD22" s="146" t="s">
        <v>39</v>
      </c>
      <c r="AE22" s="56"/>
      <c r="AF22" s="56"/>
      <c r="AG22" s="56"/>
      <c r="AH22" s="78" t="str">
        <f t="shared" si="1"/>
        <v/>
      </c>
      <c r="AI22" s="56"/>
      <c r="AJ22" s="56"/>
    </row>
    <row r="23" spans="1:36" ht="13" x14ac:dyDescent="0.3">
      <c r="A23" s="191"/>
      <c r="B23" s="526" t="s">
        <v>357</v>
      </c>
      <c r="C23" s="203" t="s">
        <v>222</v>
      </c>
      <c r="D23" s="206"/>
      <c r="E23" s="191"/>
      <c r="F23" s="191"/>
      <c r="G23" s="191"/>
      <c r="H23" s="419"/>
      <c r="I23" s="444">
        <v>50</v>
      </c>
      <c r="J23" s="204" t="s">
        <v>25</v>
      </c>
      <c r="K23" s="204" t="s">
        <v>6</v>
      </c>
      <c r="L23" s="215"/>
      <c r="M23" s="444">
        <v>60</v>
      </c>
      <c r="N23" s="204" t="s">
        <v>10</v>
      </c>
      <c r="O23" s="204" t="s">
        <v>6</v>
      </c>
      <c r="P23" s="215"/>
      <c r="Q23" s="444" t="s">
        <v>178</v>
      </c>
      <c r="R23" s="204" t="s">
        <v>130</v>
      </c>
      <c r="S23" s="222" t="s">
        <v>110</v>
      </c>
      <c r="T23" s="215"/>
      <c r="U23" s="450">
        <v>90</v>
      </c>
      <c r="V23" s="222" t="s">
        <v>99</v>
      </c>
      <c r="W23" s="215"/>
      <c r="X23" s="450">
        <v>100</v>
      </c>
      <c r="Y23" s="222">
        <v>15.75</v>
      </c>
      <c r="Z23" s="174"/>
      <c r="AA23" s="162" t="s">
        <v>8</v>
      </c>
      <c r="AB23" s="134">
        <v>72</v>
      </c>
      <c r="AC23" s="135">
        <v>74</v>
      </c>
      <c r="AD23" s="145" t="s">
        <v>38</v>
      </c>
      <c r="AE23" s="56"/>
      <c r="AF23" s="56"/>
      <c r="AG23" s="56"/>
      <c r="AH23" s="78" t="str">
        <f t="shared" si="1"/>
        <v/>
      </c>
      <c r="AI23" s="56"/>
      <c r="AJ23" s="56"/>
    </row>
    <row r="24" spans="1:36" ht="13" x14ac:dyDescent="0.3">
      <c r="A24" s="191"/>
      <c r="B24" s="421" t="s">
        <v>353</v>
      </c>
      <c r="C24" s="422">
        <v>10385</v>
      </c>
      <c r="D24" s="192"/>
      <c r="E24" s="191"/>
      <c r="F24" s="191"/>
      <c r="G24" s="191"/>
      <c r="H24" s="419"/>
      <c r="I24" s="444">
        <v>60</v>
      </c>
      <c r="J24" s="204" t="s">
        <v>10</v>
      </c>
      <c r="K24" s="204" t="s">
        <v>5</v>
      </c>
      <c r="L24" s="215"/>
      <c r="M24" s="444">
        <v>60</v>
      </c>
      <c r="N24" s="204" t="s">
        <v>25</v>
      </c>
      <c r="O24" s="204" t="s">
        <v>5</v>
      </c>
      <c r="P24" s="215"/>
      <c r="Q24" s="444" t="s">
        <v>178</v>
      </c>
      <c r="R24" s="204" t="s">
        <v>177</v>
      </c>
      <c r="S24" s="222" t="s">
        <v>29</v>
      </c>
      <c r="T24" s="215"/>
      <c r="U24" s="450">
        <v>100</v>
      </c>
      <c r="V24" s="222">
        <v>18.5</v>
      </c>
      <c r="W24" s="215"/>
      <c r="X24" s="450">
        <v>100</v>
      </c>
      <c r="Y24" s="222">
        <v>18.5</v>
      </c>
      <c r="Z24" s="174"/>
      <c r="AA24" s="162"/>
      <c r="AB24" s="140">
        <v>73</v>
      </c>
      <c r="AC24" s="141">
        <v>75</v>
      </c>
      <c r="AD24" s="145" t="s">
        <v>39</v>
      </c>
      <c r="AE24" s="56"/>
      <c r="AF24" s="56"/>
      <c r="AG24" s="56"/>
      <c r="AH24" s="78" t="str">
        <f t="shared" si="1"/>
        <v/>
      </c>
      <c r="AI24" s="56"/>
      <c r="AJ24" s="56"/>
    </row>
    <row r="25" spans="1:36" ht="13" x14ac:dyDescent="0.3">
      <c r="A25" s="191"/>
      <c r="B25" s="564" t="s">
        <v>358</v>
      </c>
      <c r="C25" s="276">
        <v>2019</v>
      </c>
      <c r="D25" s="192"/>
      <c r="E25" s="191"/>
      <c r="F25" s="192"/>
      <c r="G25" s="191"/>
      <c r="H25" s="419"/>
      <c r="I25" s="444">
        <v>60</v>
      </c>
      <c r="J25" s="204" t="s">
        <v>10</v>
      </c>
      <c r="K25" s="204" t="s">
        <v>6</v>
      </c>
      <c r="L25" s="215"/>
      <c r="M25" s="444">
        <v>60</v>
      </c>
      <c r="N25" s="204" t="s">
        <v>25</v>
      </c>
      <c r="O25" s="204" t="s">
        <v>6</v>
      </c>
      <c r="P25" s="215"/>
      <c r="Q25" s="444" t="s">
        <v>128</v>
      </c>
      <c r="R25" s="204" t="s">
        <v>123</v>
      </c>
      <c r="S25" s="222" t="s">
        <v>29</v>
      </c>
      <c r="T25" s="215"/>
      <c r="U25" s="450">
        <v>100</v>
      </c>
      <c r="V25" s="222">
        <v>21.5</v>
      </c>
      <c r="W25" s="215"/>
      <c r="X25" s="450">
        <v>100</v>
      </c>
      <c r="Y25" s="222" t="s">
        <v>34</v>
      </c>
      <c r="Z25" s="174"/>
      <c r="AA25" s="162" t="s">
        <v>7</v>
      </c>
      <c r="AB25" s="148">
        <v>98</v>
      </c>
      <c r="AC25" s="149">
        <v>100</v>
      </c>
      <c r="AD25" s="150" t="s">
        <v>38</v>
      </c>
      <c r="AE25" s="56"/>
      <c r="AF25" s="56"/>
      <c r="AG25" s="56"/>
      <c r="AH25" s="78" t="str">
        <f t="shared" si="1"/>
        <v/>
      </c>
      <c r="AI25" s="56"/>
      <c r="AJ25" s="56"/>
    </row>
    <row r="26" spans="1:36" ht="13" x14ac:dyDescent="0.3">
      <c r="A26" s="191"/>
      <c r="B26" s="423" t="s">
        <v>299</v>
      </c>
      <c r="C26" s="276">
        <v>1</v>
      </c>
      <c r="D26" s="191"/>
      <c r="E26" s="191"/>
      <c r="F26" s="191"/>
      <c r="G26" s="191"/>
      <c r="H26" s="419"/>
      <c r="I26" s="444">
        <v>60</v>
      </c>
      <c r="J26" s="204" t="s">
        <v>25</v>
      </c>
      <c r="K26" s="204" t="s">
        <v>5</v>
      </c>
      <c r="L26" s="215"/>
      <c r="M26" s="444">
        <v>70</v>
      </c>
      <c r="N26" s="204" t="s">
        <v>10</v>
      </c>
      <c r="O26" s="204" t="s">
        <v>5</v>
      </c>
      <c r="P26" s="215"/>
      <c r="Q26" s="444" t="s">
        <v>173</v>
      </c>
      <c r="R26" s="204" t="s">
        <v>177</v>
      </c>
      <c r="S26" s="223" t="s">
        <v>185</v>
      </c>
      <c r="T26" s="215"/>
      <c r="U26" s="450">
        <v>100</v>
      </c>
      <c r="V26" s="222" t="s">
        <v>47</v>
      </c>
      <c r="W26" s="215"/>
      <c r="X26" s="450">
        <v>110</v>
      </c>
      <c r="Y26" s="222">
        <v>15.75</v>
      </c>
      <c r="Z26" s="174"/>
      <c r="AA26" s="56"/>
      <c r="AB26" s="142">
        <v>99</v>
      </c>
      <c r="AC26" s="143">
        <v>101</v>
      </c>
      <c r="AD26" s="146" t="s">
        <v>39</v>
      </c>
      <c r="AE26" s="56"/>
      <c r="AF26" s="56"/>
      <c r="AG26" s="56"/>
      <c r="AH26" s="78" t="str">
        <f t="shared" si="1"/>
        <v/>
      </c>
      <c r="AI26" s="56"/>
      <c r="AJ26" s="56"/>
    </row>
    <row r="27" spans="1:36" ht="13" x14ac:dyDescent="0.3">
      <c r="A27" s="191"/>
      <c r="B27" s="423" t="s">
        <v>237</v>
      </c>
      <c r="C27" s="277">
        <v>1</v>
      </c>
      <c r="D27" s="196"/>
      <c r="E27" s="191"/>
      <c r="F27" s="191"/>
      <c r="G27" s="191"/>
      <c r="H27" s="419"/>
      <c r="I27" s="444">
        <v>60</v>
      </c>
      <c r="J27" s="204" t="s">
        <v>25</v>
      </c>
      <c r="K27" s="204" t="s">
        <v>6</v>
      </c>
      <c r="L27" s="215"/>
      <c r="M27" s="444">
        <v>70</v>
      </c>
      <c r="N27" s="204" t="s">
        <v>10</v>
      </c>
      <c r="O27" s="204" t="s">
        <v>6</v>
      </c>
      <c r="P27" s="215"/>
      <c r="Q27" s="444" t="s">
        <v>172</v>
      </c>
      <c r="R27" s="204" t="s">
        <v>183</v>
      </c>
      <c r="S27" s="223" t="s">
        <v>184</v>
      </c>
      <c r="T27" s="215"/>
      <c r="U27" s="450">
        <v>110</v>
      </c>
      <c r="V27" s="222">
        <v>18.5</v>
      </c>
      <c r="W27" s="215"/>
      <c r="X27" s="450">
        <v>110</v>
      </c>
      <c r="Y27" s="222">
        <v>18.5</v>
      </c>
      <c r="Z27" s="174"/>
      <c r="AB27" s="147" t="s">
        <v>1</v>
      </c>
      <c r="AC27" s="147" t="s">
        <v>2</v>
      </c>
      <c r="AD27" s="1"/>
      <c r="AE27" s="56"/>
      <c r="AF27" s="56"/>
      <c r="AG27" s="56"/>
      <c r="AH27" s="78" t="str">
        <f t="shared" si="1"/>
        <v/>
      </c>
      <c r="AI27" s="56"/>
      <c r="AJ27" s="56"/>
    </row>
    <row r="28" spans="1:36" x14ac:dyDescent="0.25">
      <c r="A28" s="191"/>
      <c r="B28" s="423" t="s">
        <v>238</v>
      </c>
      <c r="C28" s="276">
        <v>2088</v>
      </c>
      <c r="D28" s="207"/>
      <c r="E28" s="191"/>
      <c r="F28" s="191"/>
      <c r="G28" s="191"/>
      <c r="H28" s="419"/>
      <c r="I28" s="444">
        <v>70</v>
      </c>
      <c r="J28" s="204" t="s">
        <v>10</v>
      </c>
      <c r="K28" s="204" t="s">
        <v>5</v>
      </c>
      <c r="L28" s="215"/>
      <c r="M28" s="444">
        <v>70</v>
      </c>
      <c r="N28" s="204" t="s">
        <v>25</v>
      </c>
      <c r="O28" s="204" t="s">
        <v>5</v>
      </c>
      <c r="P28" s="215"/>
      <c r="Q28" s="215"/>
      <c r="R28" s="215"/>
      <c r="S28" s="215"/>
      <c r="T28" s="215"/>
      <c r="U28" s="450">
        <v>110</v>
      </c>
      <c r="V28" s="222">
        <v>21.5</v>
      </c>
      <c r="W28" s="215"/>
      <c r="X28" s="450">
        <v>110</v>
      </c>
      <c r="Y28" s="222" t="s">
        <v>34</v>
      </c>
      <c r="Z28" s="174"/>
      <c r="AE28" s="56"/>
      <c r="AF28" s="56"/>
      <c r="AG28" s="56"/>
      <c r="AH28" s="78" t="str">
        <f t="shared" si="1"/>
        <v/>
      </c>
      <c r="AI28" s="56"/>
      <c r="AJ28" s="56"/>
    </row>
    <row r="29" spans="1:36" x14ac:dyDescent="0.25">
      <c r="A29" s="191"/>
      <c r="B29" s="564" t="s">
        <v>350</v>
      </c>
      <c r="C29" s="276">
        <v>2045</v>
      </c>
      <c r="D29" s="196"/>
      <c r="E29" s="191"/>
      <c r="F29" s="191"/>
      <c r="G29" s="191"/>
      <c r="H29" s="419"/>
      <c r="I29" s="444">
        <v>70</v>
      </c>
      <c r="J29" s="204" t="s">
        <v>10</v>
      </c>
      <c r="K29" s="204" t="s">
        <v>6</v>
      </c>
      <c r="L29" s="215"/>
      <c r="M29" s="444">
        <v>70</v>
      </c>
      <c r="N29" s="204" t="s">
        <v>25</v>
      </c>
      <c r="O29" s="204" t="s">
        <v>6</v>
      </c>
      <c r="P29" s="215"/>
      <c r="Q29" s="213"/>
      <c r="R29" s="213"/>
      <c r="S29" s="213"/>
      <c r="T29" s="215"/>
      <c r="U29" s="450">
        <v>110</v>
      </c>
      <c r="V29" s="222" t="s">
        <v>47</v>
      </c>
      <c r="W29" s="215"/>
      <c r="X29" s="219"/>
      <c r="Y29" s="220"/>
      <c r="Z29" s="174"/>
      <c r="AA29" s="77" t="s">
        <v>316</v>
      </c>
      <c r="AB29" s="115">
        <v>30</v>
      </c>
      <c r="AC29" s="116">
        <v>59</v>
      </c>
      <c r="AD29" s="117">
        <v>85</v>
      </c>
      <c r="AE29" s="56"/>
      <c r="AF29" s="56"/>
      <c r="AG29" s="56"/>
      <c r="AH29" s="78" t="str">
        <f t="shared" si="1"/>
        <v/>
      </c>
      <c r="AI29" s="56"/>
      <c r="AJ29" s="56"/>
    </row>
    <row r="30" spans="1:36" x14ac:dyDescent="0.25">
      <c r="A30" s="191"/>
      <c r="B30" s="564" t="s">
        <v>351</v>
      </c>
      <c r="C30" s="276">
        <v>2065</v>
      </c>
      <c r="D30" s="196"/>
      <c r="E30" s="191"/>
      <c r="F30" s="191"/>
      <c r="G30" s="191"/>
      <c r="H30" s="419"/>
      <c r="I30" s="444">
        <v>70</v>
      </c>
      <c r="J30" s="204" t="s">
        <v>25</v>
      </c>
      <c r="K30" s="204" t="s">
        <v>5</v>
      </c>
      <c r="L30" s="215"/>
      <c r="M30" s="444">
        <v>80</v>
      </c>
      <c r="N30" s="204" t="s">
        <v>10</v>
      </c>
      <c r="O30" s="204" t="s">
        <v>6</v>
      </c>
      <c r="P30" s="215"/>
      <c r="Q30" s="447" t="s">
        <v>36</v>
      </c>
      <c r="R30" s="448" t="s">
        <v>26</v>
      </c>
      <c r="S30" s="448" t="s">
        <v>26</v>
      </c>
      <c r="T30" s="215"/>
      <c r="U30" s="450">
        <v>110</v>
      </c>
      <c r="V30" s="222" t="s">
        <v>47</v>
      </c>
      <c r="W30" s="215"/>
      <c r="X30" s="219"/>
      <c r="Y30" s="220"/>
      <c r="Z30" s="174"/>
      <c r="AA30" s="56"/>
      <c r="AB30" s="118">
        <v>36</v>
      </c>
      <c r="AC30" s="119">
        <v>64</v>
      </c>
      <c r="AD30" s="120">
        <v>90</v>
      </c>
      <c r="AE30" s="56"/>
      <c r="AF30" s="56"/>
      <c r="AG30" s="56"/>
      <c r="AH30" s="78" t="str">
        <f t="shared" si="1"/>
        <v/>
      </c>
      <c r="AI30" s="56"/>
      <c r="AJ30" s="56"/>
    </row>
    <row r="31" spans="1:36" x14ac:dyDescent="0.25">
      <c r="A31" s="191"/>
      <c r="B31" s="564" t="s">
        <v>352</v>
      </c>
      <c r="C31" s="277">
        <v>2028</v>
      </c>
      <c r="D31" s="196"/>
      <c r="E31" s="191"/>
      <c r="F31" s="191"/>
      <c r="G31" s="191"/>
      <c r="H31" s="419"/>
      <c r="I31" s="444">
        <v>70</v>
      </c>
      <c r="J31" s="204" t="s">
        <v>25</v>
      </c>
      <c r="K31" s="204" t="s">
        <v>6</v>
      </c>
      <c r="L31" s="215"/>
      <c r="M31" s="444">
        <v>80</v>
      </c>
      <c r="N31" s="204" t="s">
        <v>25</v>
      </c>
      <c r="O31" s="204" t="s">
        <v>6</v>
      </c>
      <c r="P31" s="215"/>
      <c r="Q31" s="449" t="s">
        <v>108</v>
      </c>
      <c r="R31" s="227" t="s">
        <v>208</v>
      </c>
      <c r="S31" s="227" t="s">
        <v>37</v>
      </c>
      <c r="T31" s="215"/>
      <c r="U31" s="450">
        <v>120</v>
      </c>
      <c r="V31" s="222" t="s">
        <v>48</v>
      </c>
      <c r="W31" s="215"/>
      <c r="X31" s="219"/>
      <c r="Y31" s="220"/>
      <c r="Z31" s="174"/>
      <c r="AB31" s="118">
        <v>37</v>
      </c>
      <c r="AC31" s="119">
        <v>65</v>
      </c>
      <c r="AD31" s="120">
        <v>91</v>
      </c>
      <c r="AE31" s="56"/>
      <c r="AF31" s="56"/>
      <c r="AG31" s="56"/>
      <c r="AH31" s="78" t="str">
        <f>IF($AD$11="Kommunal","",AH59)</f>
        <v/>
      </c>
      <c r="AI31" s="56"/>
      <c r="AJ31" s="56"/>
    </row>
    <row r="32" spans="1:36" x14ac:dyDescent="0.25">
      <c r="A32" s="191"/>
      <c r="B32" s="457" t="s">
        <v>298</v>
      </c>
      <c r="C32" s="203" t="s">
        <v>305</v>
      </c>
      <c r="D32" s="196"/>
      <c r="E32" s="191"/>
      <c r="F32" s="191"/>
      <c r="G32" s="191"/>
      <c r="H32" s="419"/>
      <c r="I32" s="444">
        <v>80</v>
      </c>
      <c r="J32" s="204" t="s">
        <v>10</v>
      </c>
      <c r="K32" s="204" t="s">
        <v>6</v>
      </c>
      <c r="L32" s="215"/>
      <c r="M32" s="444">
        <v>90</v>
      </c>
      <c r="N32" s="204" t="s">
        <v>10</v>
      </c>
      <c r="O32" s="204" t="s">
        <v>6</v>
      </c>
      <c r="P32" s="215"/>
      <c r="Q32" s="444" t="s">
        <v>99</v>
      </c>
      <c r="R32" s="204" t="s">
        <v>99</v>
      </c>
      <c r="S32" s="204" t="s">
        <v>99</v>
      </c>
      <c r="T32" s="215"/>
      <c r="U32" s="450">
        <v>120</v>
      </c>
      <c r="V32" s="222" t="s">
        <v>47</v>
      </c>
      <c r="W32" s="215"/>
      <c r="X32" s="219"/>
      <c r="Y32" s="220"/>
      <c r="Z32" s="174"/>
      <c r="AB32" s="148"/>
      <c r="AC32" s="149"/>
      <c r="AD32" s="166"/>
      <c r="AE32" s="56"/>
      <c r="AF32" s="56"/>
      <c r="AG32" s="56"/>
      <c r="AH32" s="78" t="str">
        <f>IF($AD$11="Kommunal","",AH60)</f>
        <v/>
      </c>
      <c r="AI32" s="56"/>
      <c r="AJ32" s="56"/>
    </row>
    <row r="33" spans="1:36" x14ac:dyDescent="0.25">
      <c r="A33" s="191"/>
      <c r="B33" s="421" t="s">
        <v>245</v>
      </c>
      <c r="C33" s="426">
        <v>0.98</v>
      </c>
      <c r="D33" s="191"/>
      <c r="E33" s="191"/>
      <c r="F33" s="191"/>
      <c r="G33" s="191"/>
      <c r="H33" s="419"/>
      <c r="I33" s="444">
        <v>80</v>
      </c>
      <c r="J33" s="204" t="s">
        <v>25</v>
      </c>
      <c r="K33" s="204" t="s">
        <v>6</v>
      </c>
      <c r="L33" s="215"/>
      <c r="M33" s="444">
        <v>90</v>
      </c>
      <c r="N33" s="204" t="s">
        <v>25</v>
      </c>
      <c r="O33" s="204" t="s">
        <v>6</v>
      </c>
      <c r="P33" s="215"/>
      <c r="Q33" s="215"/>
      <c r="R33" s="215"/>
      <c r="S33" s="215"/>
      <c r="T33" s="215"/>
      <c r="U33" s="450">
        <v>120</v>
      </c>
      <c r="V33" s="222" t="s">
        <v>16</v>
      </c>
      <c r="W33" s="215"/>
      <c r="X33" s="215"/>
      <c r="Y33" s="216"/>
      <c r="Z33" s="174"/>
      <c r="AB33" s="142"/>
      <c r="AC33" s="143"/>
      <c r="AD33" s="144"/>
      <c r="AE33" s="56"/>
      <c r="AF33" s="56"/>
      <c r="AG33" s="56"/>
      <c r="AH33" s="78" t="str">
        <f>IF($AD$11="Kommunal","",AH62)</f>
        <v/>
      </c>
      <c r="AI33" s="56"/>
      <c r="AJ33" s="56"/>
    </row>
    <row r="34" spans="1:36" x14ac:dyDescent="0.25">
      <c r="A34" s="191"/>
      <c r="B34" s="423" t="s">
        <v>246</v>
      </c>
      <c r="C34" s="277">
        <v>0.99</v>
      </c>
      <c r="D34" s="191"/>
      <c r="E34" s="191"/>
      <c r="F34" s="191"/>
      <c r="G34" s="191"/>
      <c r="H34" s="42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1"/>
      <c r="Z34" s="174"/>
      <c r="AB34" s="1"/>
      <c r="AC34" s="1"/>
      <c r="AD34" s="1"/>
      <c r="AE34" s="56"/>
      <c r="AF34" s="56"/>
      <c r="AG34" s="56"/>
      <c r="AH34" s="126"/>
      <c r="AI34" s="56"/>
      <c r="AJ34" s="56"/>
    </row>
    <row r="35" spans="1:36" x14ac:dyDescent="0.25">
      <c r="A35" s="191"/>
      <c r="B35" s="423" t="s">
        <v>247</v>
      </c>
      <c r="C35" s="277">
        <v>1</v>
      </c>
      <c r="D35" s="191"/>
      <c r="E35" s="191"/>
      <c r="F35" s="191"/>
      <c r="G35" s="191"/>
      <c r="H35" s="191"/>
      <c r="I35" s="210"/>
      <c r="J35" s="210"/>
      <c r="K35" s="210"/>
      <c r="L35" s="207"/>
      <c r="M35" s="210"/>
      <c r="N35" s="210"/>
      <c r="O35" s="210"/>
      <c r="P35" s="207"/>
      <c r="Q35" s="207"/>
      <c r="R35" s="207"/>
      <c r="S35" s="207"/>
      <c r="T35" s="207"/>
      <c r="U35" s="211"/>
      <c r="V35" s="212"/>
      <c r="W35" s="207"/>
      <c r="X35" s="207"/>
      <c r="Y35" s="264"/>
      <c r="Z35" s="174"/>
      <c r="AB35" s="1"/>
      <c r="AC35" s="1"/>
      <c r="AD35" s="1"/>
      <c r="AE35" s="56"/>
      <c r="AF35" s="56"/>
      <c r="AG35" s="56"/>
      <c r="AH35" s="126"/>
      <c r="AI35" s="56"/>
      <c r="AJ35" s="56"/>
    </row>
    <row r="36" spans="1:36" x14ac:dyDescent="0.25">
      <c r="A36" s="191"/>
      <c r="B36" s="423" t="s">
        <v>248</v>
      </c>
      <c r="C36" s="276">
        <v>1</v>
      </c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265"/>
      <c r="Z36" s="174"/>
      <c r="AA36" s="77" t="s">
        <v>308</v>
      </c>
      <c r="AB36" s="509">
        <v>38</v>
      </c>
      <c r="AC36" s="1"/>
      <c r="AD36" s="1"/>
      <c r="AE36" s="56"/>
      <c r="AF36" s="56"/>
      <c r="AG36" s="56"/>
      <c r="AH36" s="126"/>
      <c r="AI36" s="56"/>
      <c r="AJ36" s="56"/>
    </row>
    <row r="37" spans="1:36" x14ac:dyDescent="0.25">
      <c r="A37" s="191"/>
      <c r="B37" s="423" t="s">
        <v>249</v>
      </c>
      <c r="C37" s="276">
        <v>1</v>
      </c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265"/>
      <c r="Z37" s="174"/>
      <c r="AA37" s="535"/>
      <c r="AB37" s="536"/>
      <c r="AC37" s="1"/>
      <c r="AD37" s="1"/>
      <c r="AE37" s="56"/>
      <c r="AF37" s="56"/>
      <c r="AG37" s="56"/>
      <c r="AH37" s="126"/>
      <c r="AI37" s="56"/>
      <c r="AJ37" s="56"/>
    </row>
    <row r="38" spans="1:36" ht="25" x14ac:dyDescent="0.5">
      <c r="A38" s="461" t="s">
        <v>224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66"/>
      <c r="Z38" s="174"/>
      <c r="AA38" s="24"/>
      <c r="AB38" s="75"/>
      <c r="AC38" s="24"/>
      <c r="AH38" s="80"/>
    </row>
    <row r="39" spans="1:36" x14ac:dyDescent="0.25">
      <c r="A39" s="213"/>
      <c r="B39" s="218"/>
      <c r="C39" s="229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3"/>
      <c r="W39" s="213"/>
      <c r="X39" s="213"/>
      <c r="Y39" s="267"/>
      <c r="Z39" s="174"/>
      <c r="AD39" s="57" t="s">
        <v>19</v>
      </c>
      <c r="AE39" s="57" t="s">
        <v>20</v>
      </c>
      <c r="AF39" s="57" t="s">
        <v>35</v>
      </c>
      <c r="AG39" s="57" t="s">
        <v>106</v>
      </c>
      <c r="AH39" s="58" t="s">
        <v>108</v>
      </c>
      <c r="AI39" s="57" t="s">
        <v>49</v>
      </c>
      <c r="AJ39" s="57" t="s">
        <v>37</v>
      </c>
    </row>
    <row r="40" spans="1:36" x14ac:dyDescent="0.25">
      <c r="A40" s="213"/>
      <c r="B40" s="229"/>
      <c r="C40" s="229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3"/>
      <c r="W40" s="213"/>
      <c r="X40" s="213"/>
      <c r="Y40" s="267"/>
      <c r="Z40" s="174"/>
      <c r="AD40" s="59" t="s">
        <v>36</v>
      </c>
      <c r="AE40" s="59" t="s">
        <v>24</v>
      </c>
      <c r="AF40" s="59" t="s">
        <v>178</v>
      </c>
      <c r="AG40" s="78">
        <v>40</v>
      </c>
      <c r="AH40" s="61" t="s">
        <v>99</v>
      </c>
      <c r="AI40" s="59" t="s">
        <v>11</v>
      </c>
      <c r="AJ40" s="59" t="s">
        <v>4</v>
      </c>
    </row>
    <row r="41" spans="1:36" x14ac:dyDescent="0.25">
      <c r="A41" s="213"/>
      <c r="B41" s="236" t="str">
        <f>"Avser år "&amp;C25&amp;", ÅDT "&amp;C24&amp;" axelpar per dygn på "&amp;C26&amp;" km väg, trafikökningsfaktorn "&amp;C27&amp;" och med systemeffekter för D, SS och LS per år från år 2010"</f>
        <v>Avser år 2019, ÅDT 10385 axelpar per dygn på 1 km väg, trafikökningsfaktorn 1 och med systemeffekter för D, SS och LS per år från år 2010</v>
      </c>
      <c r="C41" s="229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3"/>
      <c r="W41" s="213"/>
      <c r="X41" s="213"/>
      <c r="Y41" s="267"/>
      <c r="Z41" s="174"/>
      <c r="AD41" s="60" t="s">
        <v>26</v>
      </c>
      <c r="AE41" s="60" t="s">
        <v>28</v>
      </c>
      <c r="AF41" s="59" t="s">
        <v>180</v>
      </c>
      <c r="AG41" s="78">
        <v>50</v>
      </c>
      <c r="AH41" s="61">
        <v>15.75</v>
      </c>
      <c r="AI41" s="59" t="s">
        <v>10</v>
      </c>
      <c r="AJ41" s="59" t="s">
        <v>5</v>
      </c>
    </row>
    <row r="42" spans="1:36" x14ac:dyDescent="0.25">
      <c r="A42" s="218"/>
      <c r="B42" s="237"/>
      <c r="C42" s="229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3"/>
      <c r="W42" s="213"/>
      <c r="X42" s="213"/>
      <c r="Y42" s="267"/>
      <c r="Z42" s="174"/>
      <c r="AD42" s="66"/>
      <c r="AE42" s="56"/>
      <c r="AF42" s="59" t="s">
        <v>128</v>
      </c>
      <c r="AG42" s="78">
        <v>60</v>
      </c>
      <c r="AH42" s="61">
        <v>18.5</v>
      </c>
      <c r="AI42" s="59" t="s">
        <v>25</v>
      </c>
      <c r="AJ42" s="59" t="s">
        <v>6</v>
      </c>
    </row>
    <row r="43" spans="1:36" x14ac:dyDescent="0.25">
      <c r="A43" s="218"/>
      <c r="B43" s="238" t="str">
        <f>"Antal skadade år "&amp;C25&amp;" exklusive kompensation för bortfall"</f>
        <v>Antal skadade år 2019 exklusive kompensation för bortfall</v>
      </c>
      <c r="C43" s="231"/>
      <c r="D43" s="231"/>
      <c r="E43" s="231"/>
      <c r="F43" s="231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3"/>
      <c r="W43" s="213"/>
      <c r="X43" s="213"/>
      <c r="Y43" s="267"/>
      <c r="Z43" s="174"/>
      <c r="AD43" s="24"/>
      <c r="AE43" s="56"/>
      <c r="AF43" s="59" t="s">
        <v>172</v>
      </c>
      <c r="AG43" s="78">
        <v>70</v>
      </c>
      <c r="AH43" s="61">
        <v>21.5</v>
      </c>
    </row>
    <row r="44" spans="1:36" x14ac:dyDescent="0.25">
      <c r="A44" s="218"/>
      <c r="B44" s="230"/>
      <c r="C44" s="239" t="s">
        <v>315</v>
      </c>
      <c r="D44" s="239" t="s">
        <v>8</v>
      </c>
      <c r="E44" s="239" t="s">
        <v>7</v>
      </c>
      <c r="F44" s="239" t="s">
        <v>158</v>
      </c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3"/>
      <c r="W44" s="213"/>
      <c r="X44" s="213"/>
      <c r="Y44" s="267"/>
      <c r="Z44" s="174"/>
      <c r="AD44" s="24"/>
      <c r="AE44" s="56"/>
      <c r="AF44" s="60" t="s">
        <v>181</v>
      </c>
      <c r="AG44" s="81">
        <v>80</v>
      </c>
      <c r="AH44" s="62" t="s">
        <v>164</v>
      </c>
      <c r="AI44" s="56"/>
      <c r="AJ44" s="56"/>
    </row>
    <row r="45" spans="1:36" x14ac:dyDescent="0.25">
      <c r="A45" s="218"/>
      <c r="B45" s="427" t="s">
        <v>240</v>
      </c>
      <c r="C45" s="558">
        <f>VLOOKUP($AB$9,'Matris - Länk'!$K$9:$DI$135,(AB18),FALSE)*($C$27*$C33)^(C25-2010)</f>
        <v>7.9552122179809941E-3</v>
      </c>
      <c r="D45" s="558">
        <f>VLOOKUP($AB$9,'Matris - Länk'!$K$9:$DI$135,(AC18),FALSE)*($C$27*$C33)^(C25-2010)</f>
        <v>4.6054079948565092E-4</v>
      </c>
      <c r="E45" s="558">
        <f>VLOOKUP($AB$9,'Matris - Länk'!$K$9:$DI$135,(AD18),FALSE)*($C$27*$C33)^(C25-2010)</f>
        <v>4.5916605083046993E-4</v>
      </c>
      <c r="F45" s="559">
        <f t="shared" ref="F45:F49" si="2">C45+D45+E45</f>
        <v>8.8749190682971147E-3</v>
      </c>
      <c r="G45" s="232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3"/>
      <c r="W45" s="213"/>
      <c r="X45" s="213"/>
      <c r="Y45" s="267"/>
      <c r="Z45" s="174"/>
      <c r="AD45" s="24"/>
      <c r="AE45" s="56"/>
      <c r="AF45" s="59" t="s">
        <v>173</v>
      </c>
      <c r="AG45" s="78">
        <v>90</v>
      </c>
      <c r="AH45" s="61" t="s">
        <v>48</v>
      </c>
      <c r="AI45" s="56"/>
      <c r="AJ45" s="56"/>
    </row>
    <row r="46" spans="1:36" x14ac:dyDescent="0.25">
      <c r="A46" s="218"/>
      <c r="B46" s="428" t="s">
        <v>241</v>
      </c>
      <c r="C46" s="360">
        <f>VLOOKUP($AB$9,'Matris - Länk'!$K$9:$DI$135,(AB19),FALSE)*($C$27*$C34)^(C25-2010)</f>
        <v>7.8447001704160718E-2</v>
      </c>
      <c r="D46" s="360">
        <f>VLOOKUP($AB$9,'Matris - Länk'!$K$9:$DI$135,(AC19),FALSE)*($C$27*$C34)^(C25-2010)</f>
        <v>1.9511331837069161E-3</v>
      </c>
      <c r="E46" s="360">
        <f>VLOOKUP($AB$9,'Matris - Länk'!$K$9:$DI$135,(AD19),FALSE)*($C$27*$C34)^(C25-2010)</f>
        <v>3.1862818280504611E-3</v>
      </c>
      <c r="F46" s="360">
        <f>C46+D46+E46</f>
        <v>8.3584416715918097E-2</v>
      </c>
      <c r="G46" s="233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3"/>
      <c r="W46" s="213"/>
      <c r="X46" s="213"/>
      <c r="Y46" s="267"/>
      <c r="Z46" s="174"/>
      <c r="AD46" s="24"/>
      <c r="AE46" s="56"/>
      <c r="AG46" s="78">
        <v>100</v>
      </c>
      <c r="AH46" s="61" t="s">
        <v>32</v>
      </c>
      <c r="AI46" s="56"/>
      <c r="AJ46" s="56"/>
    </row>
    <row r="47" spans="1:36" x14ac:dyDescent="0.25">
      <c r="A47" s="218"/>
      <c r="B47" s="428" t="s">
        <v>242</v>
      </c>
      <c r="C47" s="360">
        <f>VLOOKUP($AB$9,'Matris - Länk'!$K$9:$DI$135,(AB20),FALSE)*($C$27*$C35)^(C25-2010)</f>
        <v>0.57930593574999989</v>
      </c>
      <c r="D47" s="360">
        <f>VLOOKUP($AB$9,'Matris - Länk'!$K$9:$DI$135,(AC20),FALSE)*($C$27*$C35)^(C25-2010)</f>
        <v>4.676768697624999E-3</v>
      </c>
      <c r="E47" s="360">
        <f>VLOOKUP($AB$9,'Matris - Länk'!$K$9:$DI$135,(AD20),FALSE)*($C$27*$C35)^(C25-2010)</f>
        <v>1.4318859808499999E-2</v>
      </c>
      <c r="F47" s="360">
        <f t="shared" si="2"/>
        <v>0.59830156425612491</v>
      </c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3"/>
      <c r="W47" s="213"/>
      <c r="X47" s="213"/>
      <c r="Y47" s="267"/>
      <c r="Z47" s="174"/>
      <c r="AD47" s="24"/>
      <c r="AE47" s="56"/>
      <c r="AG47" s="78">
        <v>110</v>
      </c>
      <c r="AH47" s="61" t="s">
        <v>33</v>
      </c>
      <c r="AI47" s="56"/>
      <c r="AJ47" s="56"/>
    </row>
    <row r="48" spans="1:36" x14ac:dyDescent="0.25">
      <c r="A48" s="218"/>
      <c r="B48" s="428" t="s">
        <v>243</v>
      </c>
      <c r="C48" s="360">
        <f>VLOOKUP($AB$9,'Matris - Länk'!$K$9:$DI$135,AB21,FALSE)*C46+VLOOKUP($AB$9,'Matris - Länk'!$K$9:$DI$135,AC21,FALSE)*C47</f>
        <v>1.5997243964495408E-2</v>
      </c>
      <c r="D48" s="360">
        <f>VLOOKUP($AB$9,'Matris - Länk'!$K$9:$DI$135,AB23,FALSE)*D46+VLOOKUP($AB$9,'Matris - Länk'!$K$9:$DI$135,AC23,FALSE)*D47</f>
        <v>3.5145732800873948E-4</v>
      </c>
      <c r="E48" s="360">
        <f>VLOOKUP($AB$9,'Matris - Länk'!$K$9:$DI$135,AB25,FALSE)*E46+VLOOKUP($AB$9,'Matris - Länk'!$K$9:$DI$135,AC25,FALSE)*E47</f>
        <v>6.1932423878354619E-4</v>
      </c>
      <c r="F48" s="360">
        <f t="shared" si="2"/>
        <v>1.6968025531287696E-2</v>
      </c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3"/>
      <c r="W48" s="213"/>
      <c r="X48" s="213"/>
      <c r="Y48" s="267"/>
      <c r="Z48" s="174"/>
      <c r="AD48" s="24"/>
      <c r="AE48" s="56"/>
      <c r="AF48" s="56"/>
      <c r="AG48" s="78">
        <v>120</v>
      </c>
      <c r="AH48" s="61" t="s">
        <v>34</v>
      </c>
      <c r="AI48" s="56"/>
      <c r="AJ48" s="56"/>
    </row>
    <row r="49" spans="1:44" x14ac:dyDescent="0.25">
      <c r="A49" s="218"/>
      <c r="B49" s="428" t="s">
        <v>244</v>
      </c>
      <c r="C49" s="360">
        <f>VLOOKUP($AB$9,'Matris - Länk'!$K$9:$DI$135,AB22,FALSE)*C46+VLOOKUP($AB$9,'Matris - Länk'!$K$9:$DI$135,AC22,FALSE)*C47</f>
        <v>9.7274932124664981E-2</v>
      </c>
      <c r="D49" s="360">
        <f>VLOOKUP($AB$9,'Matris - Länk'!$K$9:$DI$135,AB24,FALSE)*D46+VLOOKUP($AB$9,'Matris - Länk'!$K$9:$DI$135,AC24,FALSE)*D47</f>
        <v>1.7548296766819046E-3</v>
      </c>
      <c r="E49" s="360">
        <f>VLOOKUP($AB$9,'Matris - Länk'!$K$9:$DI$135,AB26,FALSE)*E46+VLOOKUP($AB$9,'Matris - Länk'!$K$9:$DI$135,AC26,FALSE)*E47</f>
        <v>3.3904788842146795E-3</v>
      </c>
      <c r="F49" s="360">
        <f t="shared" si="2"/>
        <v>0.10242024068556156</v>
      </c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3"/>
      <c r="W49" s="213"/>
      <c r="X49" s="213"/>
      <c r="Y49" s="267"/>
      <c r="Z49" s="174"/>
      <c r="AD49" s="24"/>
      <c r="AE49" s="56"/>
      <c r="AF49" s="56"/>
      <c r="AG49" s="56"/>
      <c r="AH49" s="61" t="s">
        <v>47</v>
      </c>
      <c r="AI49" s="56"/>
      <c r="AJ49" s="56"/>
    </row>
    <row r="50" spans="1:44" x14ac:dyDescent="0.25">
      <c r="A50" s="218"/>
      <c r="B50" s="229"/>
      <c r="C50" s="234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3"/>
      <c r="W50" s="213"/>
      <c r="X50" s="213"/>
      <c r="Y50" s="267"/>
      <c r="Z50" s="174"/>
      <c r="AD50" s="24"/>
      <c r="AE50" s="56"/>
      <c r="AF50" s="60" t="s">
        <v>181</v>
      </c>
      <c r="AG50" s="56"/>
      <c r="AH50" s="62" t="s">
        <v>115</v>
      </c>
      <c r="AI50" s="56"/>
      <c r="AJ50" s="56"/>
    </row>
    <row r="51" spans="1:44" x14ac:dyDescent="0.25">
      <c r="A51" s="218"/>
      <c r="B51" s="238" t="str">
        <f>"Antal skadade år "&amp;C25&amp;" inklusive kompensation för bortfall"</f>
        <v>Antal skadade år 2019 inklusive kompensation för bortfall</v>
      </c>
      <c r="C51" s="229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3"/>
      <c r="W51" s="213"/>
      <c r="X51" s="213"/>
      <c r="Y51" s="267"/>
      <c r="Z51" s="174"/>
      <c r="AD51" s="24"/>
      <c r="AE51" s="56"/>
      <c r="AF51" s="60" t="s">
        <v>178</v>
      </c>
      <c r="AG51" s="56"/>
      <c r="AH51" s="62" t="s">
        <v>165</v>
      </c>
      <c r="AI51" s="56"/>
      <c r="AJ51" s="56"/>
    </row>
    <row r="52" spans="1:44" x14ac:dyDescent="0.25">
      <c r="A52" s="218"/>
      <c r="B52" s="230"/>
      <c r="C52" s="239" t="s">
        <v>315</v>
      </c>
      <c r="D52" s="239" t="s">
        <v>8</v>
      </c>
      <c r="E52" s="239" t="s">
        <v>7</v>
      </c>
      <c r="F52" s="239" t="s">
        <v>158</v>
      </c>
      <c r="G52" s="218"/>
      <c r="H52" s="510"/>
      <c r="I52" s="218"/>
      <c r="J52" s="510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3"/>
      <c r="W52" s="213"/>
      <c r="X52" s="213"/>
      <c r="Y52" s="267"/>
      <c r="Z52" s="174"/>
      <c r="AD52" s="24"/>
      <c r="AE52" s="56"/>
      <c r="AF52" s="59" t="s">
        <v>128</v>
      </c>
      <c r="AG52" s="56"/>
      <c r="AH52" s="61" t="s">
        <v>30</v>
      </c>
      <c r="AI52" s="56"/>
      <c r="AJ52" s="56"/>
    </row>
    <row r="53" spans="1:44" x14ac:dyDescent="0.25">
      <c r="A53" s="218"/>
      <c r="B53" s="427" t="s">
        <v>240</v>
      </c>
      <c r="C53" s="558">
        <f>VLOOKUP($AB$9,'Matris - Länk'!$K$9:$DI$135,(AB29),FALSE)*($C$27*$C33)^(C25-2010)</f>
        <v>7.9552122179809941E-3</v>
      </c>
      <c r="D53" s="558">
        <f>VLOOKUP($AB$9,'Matris - Länk'!$K$9:$DI$135,(AC29),FALSE)*($C$27*$C33)^(C25-2010)</f>
        <v>4.6054079948565092E-4</v>
      </c>
      <c r="E53" s="558">
        <f>VLOOKUP($AB$9,'Matris - Länk'!$K$9:$DI$135,(AD29),FALSE)*($C$27*$C33)^(C25-2010)</f>
        <v>4.5916605083046993E-4</v>
      </c>
      <c r="F53" s="559">
        <f>SUM(C53:E53)</f>
        <v>8.8749190682971147E-3</v>
      </c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3"/>
      <c r="W53" s="213"/>
      <c r="X53" s="213"/>
      <c r="Y53" s="267"/>
      <c r="Z53" s="174"/>
      <c r="AD53" s="24"/>
      <c r="AE53" s="56"/>
      <c r="AF53" s="59" t="s">
        <v>180</v>
      </c>
      <c r="AG53" s="56"/>
      <c r="AH53" s="61" t="s">
        <v>29</v>
      </c>
      <c r="AI53" s="56"/>
      <c r="AJ53" s="56"/>
    </row>
    <row r="54" spans="1:44" x14ac:dyDescent="0.25">
      <c r="A54" s="218"/>
      <c r="B54" s="428" t="s">
        <v>241</v>
      </c>
      <c r="C54" s="360">
        <f>VLOOKUP($AB$9,'Matris - Länk'!$K$9:$DI$135,(AB30),FALSE)*($C$27*$C34)^(C25-2010)</f>
        <v>0.11767050255624108</v>
      </c>
      <c r="D54" s="360">
        <f>VLOOKUP($AB$9,'Matris - Länk'!$K$9:$DI$135,(AC30),FALSE)*($C$27*$C34)^(C25-2010)</f>
        <v>2.9266997755603742E-3</v>
      </c>
      <c r="E54" s="360">
        <f>VLOOKUP($AB$9,'Matris - Länk'!$K$9:$DI$135,(AD30),FALSE)*($C$27*$C34)^(C25-2010)</f>
        <v>4.779422742075691E-3</v>
      </c>
      <c r="F54" s="360">
        <f>SUM(C54:E54)</f>
        <v>0.12537662507387715</v>
      </c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3"/>
      <c r="W54" s="213"/>
      <c r="X54" s="213"/>
      <c r="Y54" s="267"/>
      <c r="Z54" s="174"/>
      <c r="AD54" s="24"/>
      <c r="AE54" s="56"/>
      <c r="AF54" s="59" t="s">
        <v>173</v>
      </c>
      <c r="AG54" s="56"/>
      <c r="AH54" s="62" t="s">
        <v>114</v>
      </c>
      <c r="AI54" s="56"/>
      <c r="AJ54" s="56"/>
    </row>
    <row r="55" spans="1:44" x14ac:dyDescent="0.25">
      <c r="A55" s="218"/>
      <c r="B55" s="428" t="s">
        <v>242</v>
      </c>
      <c r="C55" s="360">
        <f>VLOOKUP($AB$9,'Matris - Länk'!$K$9:$DI$135,(AB31),FALSE)*($C$27*$C35)^(C25-2010)</f>
        <v>0.86895890362499983</v>
      </c>
      <c r="D55" s="360">
        <f>VLOOKUP($AB$9,'Matris - Länk'!$K$9:$DI$135,(AC31),FALSE)*($C$27*$C35)^(C25-2010)</f>
        <v>7.0151530464374985E-3</v>
      </c>
      <c r="E55" s="360">
        <f>VLOOKUP($AB$9,'Matris - Länk'!$K$9:$DI$135,(AD31),FALSE)*($C$27*$C35)^(C25-2010)</f>
        <v>2.1478289712749999E-2</v>
      </c>
      <c r="F55" s="360">
        <f t="shared" ref="F55" si="3">SUM(C55:E55)</f>
        <v>0.89745234638418736</v>
      </c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3"/>
      <c r="W55" s="213"/>
      <c r="X55" s="213"/>
      <c r="Y55" s="267"/>
      <c r="Z55" s="174"/>
      <c r="AD55" s="24"/>
      <c r="AE55" s="56"/>
      <c r="AF55" s="59" t="s">
        <v>172</v>
      </c>
      <c r="AG55" s="56"/>
      <c r="AH55" s="61" t="s">
        <v>112</v>
      </c>
      <c r="AI55" s="56"/>
      <c r="AJ55" s="56"/>
    </row>
    <row r="56" spans="1:44" x14ac:dyDescent="0.25">
      <c r="A56" s="218"/>
      <c r="B56" s="428" t="s">
        <v>243</v>
      </c>
      <c r="C56" s="360">
        <f>VLOOKUP($AB$9,'Matris - Länk'!$K$9:$DI$135,AB21,FALSE)*C54+VLOOKUP($AB$9,'Matris - Länk'!$K$9:$DI$135,AC21,FALSE)*C55</f>
        <v>2.3995865946743113E-2</v>
      </c>
      <c r="D56" s="360">
        <f>VLOOKUP($AB$9,'Matris - Länk'!$K$9:$DI$135,AB23,FALSE)*D54+VLOOKUP($AB$9,'Matris - Länk'!$K$9:$DI$135,AC23,FALSE)*D55</f>
        <v>5.2718599201310925E-4</v>
      </c>
      <c r="E56" s="360">
        <f>VLOOKUP($AB$9,'Matris - Länk'!$K$9:$DI$135,AB25,FALSE)*E54+VLOOKUP($AB$9,'Matris - Länk'!$K$9:$DI$135,AC25,FALSE)*E55</f>
        <v>9.2898635817531918E-4</v>
      </c>
      <c r="F56" s="360">
        <f>SUM(C56:E56)</f>
        <v>2.5452038296931542E-2</v>
      </c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3"/>
      <c r="W56" s="213"/>
      <c r="X56" s="213"/>
      <c r="Y56" s="267"/>
      <c r="Z56" s="174"/>
      <c r="AD56" s="24"/>
      <c r="AE56" s="56"/>
      <c r="AG56" s="56"/>
      <c r="AH56" s="62" t="s">
        <v>111</v>
      </c>
      <c r="AI56" s="56"/>
      <c r="AJ56" s="56"/>
    </row>
    <row r="57" spans="1:44" x14ac:dyDescent="0.25">
      <c r="A57" s="218"/>
      <c r="B57" s="428" t="s">
        <v>244</v>
      </c>
      <c r="C57" s="360">
        <f>VLOOKUP($AB$9,'Matris - Länk'!$K$9:$DI$135,AB22,FALSE)*C54+VLOOKUP($AB$9,'Matris - Länk'!$K$9:$DI$135,AC22,FALSE)*C55</f>
        <v>0.14591239818699747</v>
      </c>
      <c r="D57" s="360">
        <f>VLOOKUP($AB$9,'Matris - Länk'!$K$9:$DI$135,AB24,FALSE)*D54+VLOOKUP($AB$9,'Matris - Länk'!$K$9:$DI$135,AC24,FALSE)*D55</f>
        <v>2.632244515022857E-3</v>
      </c>
      <c r="E57" s="360">
        <f>VLOOKUP($AB$9,'Matris - Länk'!$K$9:$DI$135,AB26,FALSE)*E54+VLOOKUP($AB$9,'Matris - Länk'!$K$9:$DI$135,AC26,FALSE)*E55</f>
        <v>5.0857183263220192E-3</v>
      </c>
      <c r="F57" s="360">
        <f>SUM(C57:E57)</f>
        <v>0.15363036102834235</v>
      </c>
      <c r="G57" s="218"/>
      <c r="H57" s="218"/>
      <c r="I57" s="218"/>
      <c r="J57" s="218"/>
      <c r="K57" s="218"/>
      <c r="L57" s="218"/>
      <c r="M57" s="510"/>
      <c r="N57" s="218"/>
      <c r="O57" s="218"/>
      <c r="P57" s="218"/>
      <c r="Q57" s="218"/>
      <c r="R57" s="218"/>
      <c r="S57" s="218"/>
      <c r="T57" s="218"/>
      <c r="U57" s="218"/>
      <c r="V57" s="213"/>
      <c r="W57" s="213"/>
      <c r="X57" s="213"/>
      <c r="Y57" s="267"/>
      <c r="Z57" s="174"/>
      <c r="AD57" s="24"/>
      <c r="AE57" s="56"/>
      <c r="AF57" s="56"/>
      <c r="AG57" s="56"/>
      <c r="AH57" s="62" t="s">
        <v>27</v>
      </c>
      <c r="AI57" s="56"/>
      <c r="AJ57" s="56"/>
    </row>
    <row r="58" spans="1:44" x14ac:dyDescent="0.25">
      <c r="A58" s="218"/>
      <c r="B58" s="218"/>
      <c r="C58" s="218"/>
      <c r="D58" s="218"/>
      <c r="E58" s="218"/>
      <c r="F58" s="218"/>
      <c r="G58" s="218"/>
      <c r="H58" s="218"/>
      <c r="I58" s="218"/>
      <c r="J58" s="218"/>
      <c r="K58" s="510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3"/>
      <c r="W58" s="213"/>
      <c r="X58" s="213"/>
      <c r="Y58" s="267"/>
      <c r="Z58" s="174"/>
      <c r="AD58" s="24"/>
      <c r="AE58" s="56"/>
      <c r="AF58" s="56"/>
      <c r="AG58" s="56"/>
      <c r="AH58" s="62"/>
      <c r="AI58" s="56"/>
      <c r="AJ58" s="56"/>
    </row>
    <row r="59" spans="1:44" x14ac:dyDescent="0.25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68"/>
      <c r="Z59" s="174"/>
      <c r="AE59" s="56"/>
      <c r="AF59" s="56"/>
      <c r="AG59" s="56"/>
      <c r="AH59" s="61" t="s">
        <v>113</v>
      </c>
      <c r="AI59" s="56"/>
      <c r="AJ59" s="56"/>
    </row>
    <row r="60" spans="1:44" hidden="1" x14ac:dyDescent="0.25">
      <c r="A60" s="180" t="s">
        <v>330</v>
      </c>
      <c r="B60" s="98"/>
      <c r="C60" s="98"/>
      <c r="D60" s="98"/>
      <c r="E60" s="98"/>
      <c r="F60" s="98"/>
      <c r="G60" s="86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66"/>
      <c r="Z60" s="174"/>
      <c r="AE60" s="56"/>
      <c r="AF60" s="56"/>
      <c r="AG60" s="56"/>
      <c r="AH60" s="61" t="s">
        <v>110</v>
      </c>
      <c r="AI60" s="56"/>
      <c r="AJ60" s="56"/>
    </row>
    <row r="61" spans="1:44" hidden="1" x14ac:dyDescent="0.25">
      <c r="A61" s="181"/>
      <c r="B61" s="88" t="str">
        <f>"Antal skadade år "&amp;C25&amp;" inklusive kompensation för bortfall"</f>
        <v>Antal skadade år 2019 inklusive kompensation för bortfall</v>
      </c>
      <c r="C61" s="92"/>
      <c r="D61" s="92"/>
      <c r="E61" s="92"/>
      <c r="F61" s="92"/>
      <c r="G61" s="86"/>
      <c r="H61" s="247"/>
      <c r="I61" s="213"/>
      <c r="J61" s="213"/>
      <c r="K61" s="213"/>
      <c r="L61" s="247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67"/>
      <c r="Z61" s="174"/>
      <c r="AE61" s="56"/>
      <c r="AF61" s="56"/>
      <c r="AG61" s="56"/>
      <c r="AH61" s="179"/>
      <c r="AI61" s="56"/>
      <c r="AJ61" s="56"/>
    </row>
    <row r="62" spans="1:44" hidden="1" x14ac:dyDescent="0.25">
      <c r="A62" s="182"/>
      <c r="B62" s="86"/>
      <c r="C62" s="89" t="s">
        <v>315</v>
      </c>
      <c r="D62" s="89" t="s">
        <v>8</v>
      </c>
      <c r="E62" s="89" t="s">
        <v>7</v>
      </c>
      <c r="F62" s="89" t="s">
        <v>158</v>
      </c>
      <c r="G62" s="86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67"/>
      <c r="Z62" s="17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1:44" hidden="1" x14ac:dyDescent="0.25">
      <c r="A63" s="182"/>
      <c r="B63" s="65" t="s">
        <v>322</v>
      </c>
      <c r="C63" s="190">
        <f>VLOOKUP($AB$9,'Matris - Länk'!$K$9:$DI$135,AB22,FALSE)*C54+VLOOKUP($AB$9,'Matris - Länk'!$K$9:$DI$135,AC22,FALSE)*C55-(VLOOKUP($AB$9,'Matris - Länk'!$K$9:$DI$135,AB21,FALSE)*C54+VLOOKUP($AB$9,'Matris - Länk'!$K$9:$DI$135,AC21,FALSE)*C55)</f>
        <v>0.12191653224025437</v>
      </c>
      <c r="D63" s="190">
        <f>VLOOKUP($AB$9,'Matris - Länk'!$K$9:$DI$135,AB24,FALSE)*D54+VLOOKUP($AB$9,'Matris - Länk'!$K$9:$DI$135,AC24,FALSE)*D55-(VLOOKUP($AB$9,'Matris - Länk'!$K$9:$DI$135,AB23,FALSE)*D54+VLOOKUP($AB$9,'Matris - Länk'!$K$9:$DI$135,AC23,FALSE)*D55)</f>
        <v>2.1050585230097479E-3</v>
      </c>
      <c r="E63" s="190">
        <f>VLOOKUP($AB$9,'Matris - Länk'!$K$9:$DI$135,AB26,FALSE)*E54+VLOOKUP($AB$9,'Matris - Länk'!$K$9:$DI$135,AC26,FALSE)*E55-(VLOOKUP($AB$9,'Matris - Länk'!$K$9:$DI$135,AB25,FALSE)*E54+VLOOKUP($AB$9,'Matris - Länk'!$K$9:$DI$135,AC25,FALSE)*E55)</f>
        <v>4.1567319681467003E-3</v>
      </c>
      <c r="F63" s="190">
        <f>SUM(C63:E63)</f>
        <v>0.12817832273141083</v>
      </c>
      <c r="G63" s="86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67"/>
      <c r="Z63" s="174"/>
    </row>
    <row r="64" spans="1:44" hidden="1" x14ac:dyDescent="0.25">
      <c r="A64" s="182"/>
      <c r="B64" s="65" t="s">
        <v>328</v>
      </c>
      <c r="C64" s="190">
        <f>(1-VLOOKUP($AB$9,'Matris - Länk'!$K$9:$DI$135,AB22,FALSE))*C54+(1-VLOOKUP($AB$9,'Matris - Länk'!$K$9:$DI$135,AC22,FALSE))*C55</f>
        <v>0.84071700799424343</v>
      </c>
      <c r="D64" s="190">
        <f>(1-VLOOKUP($AB$9,'Matris - Länk'!$K$9:$DI$135,AB24,FALSE))*D54+(1-VLOOKUP($AB$9,'Matris - Länk'!$K$9:$DI$135,AC24,FALSE))*D55</f>
        <v>7.3096083069750161E-3</v>
      </c>
      <c r="E64" s="190">
        <f>(1-VLOOKUP($AB$9,'Matris - Länk'!$K$9:$DI$135,AB26,FALSE))*E54+(1-VLOOKUP($AB$9,'Matris - Länk'!$K$9:$DI$135,AC26,FALSE))*E55</f>
        <v>2.1171994128503669E-2</v>
      </c>
      <c r="F64" s="190">
        <f>(1-VLOOKUP($AB$9,'Matris - Länk'!$K$9:$DI$135,AB22,FALSE))*F54+(1-VLOOKUP($AB$9,'Matris - Länk'!$K$9:$DI$135,AC22,FALSE))*F55</f>
        <v>0.87105471140743451</v>
      </c>
      <c r="G64" s="86"/>
      <c r="H64" s="232"/>
      <c r="I64" s="232"/>
      <c r="J64" s="232"/>
      <c r="K64" s="232"/>
      <c r="L64" s="232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67"/>
      <c r="Z64" s="174"/>
    </row>
    <row r="65" spans="1:26" hidden="1" x14ac:dyDescent="0.25">
      <c r="A65" s="182"/>
      <c r="B65" s="86"/>
      <c r="C65" s="86"/>
      <c r="D65" s="86"/>
      <c r="E65" s="86"/>
      <c r="F65" s="86"/>
      <c r="G65" s="86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67"/>
      <c r="Z65" s="174"/>
    </row>
    <row r="66" spans="1:26" hidden="1" x14ac:dyDescent="0.25">
      <c r="A66" s="183"/>
      <c r="B66" s="127"/>
      <c r="C66" s="178"/>
      <c r="D66" s="178"/>
      <c r="E66" s="178"/>
      <c r="F66" s="178"/>
      <c r="G66" s="178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68"/>
      <c r="Z66" s="174"/>
    </row>
    <row r="67" spans="1:26" hidden="1" x14ac:dyDescent="0.25">
      <c r="A67" s="530"/>
      <c r="B67" s="546"/>
      <c r="C67" s="547"/>
      <c r="D67" s="547"/>
      <c r="E67" s="547"/>
      <c r="F67" s="547"/>
      <c r="G67" s="547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67"/>
      <c r="Z67" s="174"/>
    </row>
    <row r="68" spans="1:26" hidden="1" x14ac:dyDescent="0.25">
      <c r="A68" s="548" t="s">
        <v>330</v>
      </c>
      <c r="B68" s="529" t="str">
        <f>"Antal skadade år "&amp;2028&amp;" (diskonteringsåret) inklusive kompensation för bortfall"</f>
        <v>Antal skadade år 2028 (diskonteringsåret) inklusive kompensation för bortfall</v>
      </c>
      <c r="C68" s="528"/>
      <c r="D68" s="529"/>
      <c r="E68" s="528"/>
      <c r="F68" s="527"/>
      <c r="G68" s="527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67"/>
      <c r="Z68" s="174"/>
    </row>
    <row r="69" spans="1:26" hidden="1" x14ac:dyDescent="0.25">
      <c r="A69" s="530"/>
      <c r="B69" s="529"/>
      <c r="C69" s="549" t="s">
        <v>315</v>
      </c>
      <c r="D69" s="549" t="s">
        <v>8</v>
      </c>
      <c r="E69" s="549" t="s">
        <v>7</v>
      </c>
      <c r="F69" s="549" t="s">
        <v>158</v>
      </c>
      <c r="G69" s="527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67"/>
      <c r="Z69" s="174"/>
    </row>
    <row r="70" spans="1:26" hidden="1" x14ac:dyDescent="0.25">
      <c r="A70" s="530"/>
      <c r="B70" s="543" t="s">
        <v>240</v>
      </c>
      <c r="C70" s="360">
        <f>VLOOKUP($AB$9,'Matris - Länk'!$K$9:$DI$135,(AB29),FALSE)*($C$27*$C33)^(C31-2010)</f>
        <v>6.6326403840120778E-3</v>
      </c>
      <c r="D70" s="360">
        <f>VLOOKUP($AB$9,'Matris - Länk'!$K$9:$DI$135,(AC29),FALSE)*($C$27*$C33)^(C31-2010)</f>
        <v>3.839748609407914E-4</v>
      </c>
      <c r="E70" s="360">
        <f>VLOOKUP($AB$9,'Matris - Länk'!$K$9:$DI$135,(AD29),FALSE)*($C$27*$C33)^(C31-2010)</f>
        <v>3.8282866732604283E-4</v>
      </c>
      <c r="F70" s="190">
        <f>SUM(C70:E70)</f>
        <v>7.3994439122789116E-3</v>
      </c>
      <c r="G70" s="527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67"/>
      <c r="Z70" s="174"/>
    </row>
    <row r="71" spans="1:26" hidden="1" x14ac:dyDescent="0.25">
      <c r="A71" s="530"/>
      <c r="B71" s="543" t="s">
        <v>241</v>
      </c>
      <c r="C71" s="360">
        <f>VLOOKUP($AB$9,'Matris - Länk'!$K$9:$DI$135,(AB30),FALSE)*($C$27*$C34)^(C31-2010)</f>
        <v>0.10749403360519408</v>
      </c>
      <c r="D71" s="360">
        <f>VLOOKUP($AB$9,'Matris - Länk'!$K$9:$DI$135,(AC30),FALSE)*($C$27*$C34)^(C31-2010)</f>
        <v>2.6735907231809023E-3</v>
      </c>
      <c r="E71" s="360">
        <f>VLOOKUP($AB$9,'Matris - Länk'!$K$9:$DI$135,(AD30),FALSE)*($C$27*$C34)^(C31-2010)</f>
        <v>4.3660851079017002E-3</v>
      </c>
      <c r="F71" s="360">
        <f>SUM(C71:E71)</f>
        <v>0.11453370943627669</v>
      </c>
      <c r="G71" s="527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67"/>
      <c r="Z71" s="174"/>
    </row>
    <row r="72" spans="1:26" hidden="1" x14ac:dyDescent="0.25">
      <c r="A72" s="530"/>
      <c r="B72" s="543" t="s">
        <v>242</v>
      </c>
      <c r="C72" s="360">
        <f>VLOOKUP($AB$9,'Matris - Länk'!$K$9:$DI$135,(AB31),FALSE)*($C$27*$C35)^(C31-2010)</f>
        <v>0.86895890362499983</v>
      </c>
      <c r="D72" s="360">
        <f>VLOOKUP($AB$9,'Matris - Länk'!$K$9:$DI$135,(AC31),FALSE)*($C$27*$C35)^(C31-2010)</f>
        <v>7.0151530464374985E-3</v>
      </c>
      <c r="E72" s="360">
        <f>VLOOKUP($AB$9,'Matris - Länk'!$K$9:$DI$135,(AD31),FALSE)*($C$27*$C35)^(C31-2010)</f>
        <v>2.1478289712749999E-2</v>
      </c>
      <c r="F72" s="360">
        <f t="shared" ref="F72" si="4">SUM(C72:E72)</f>
        <v>0.89745234638418736</v>
      </c>
      <c r="G72" s="527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67"/>
      <c r="Z72" s="174"/>
    </row>
    <row r="73" spans="1:26" hidden="1" x14ac:dyDescent="0.25">
      <c r="A73" s="530"/>
      <c r="B73" s="543" t="s">
        <v>243</v>
      </c>
      <c r="C73" s="360">
        <f>VLOOKUP($AB$9,'Matris - Länk'!$K$9:$DI$135,AB21,FALSE)*C71+VLOOKUP($AB$9,'Matris - Länk'!$K$9:$DI$135,AC21,FALSE)*C72</f>
        <v>2.3273336651218775E-2</v>
      </c>
      <c r="D73" s="360">
        <f>VLOOKUP($AB$9,'Matris - Länk'!$K$9:$DI$135,AB23,FALSE)*D71+VLOOKUP($AB$9,'Matris - Länk'!$K$9:$DI$135,AC23,FALSE)*D72</f>
        <v>4.9554736046567526E-4</v>
      </c>
      <c r="E73" s="360">
        <f>VLOOKUP($AB$9,'Matris - Länk'!$K$9:$DI$135,AB25,FALSE)*E71+VLOOKUP($AB$9,'Matris - Länk'!$K$9:$DI$135,AC25,FALSE)*E72</f>
        <v>8.8765259475792006E-4</v>
      </c>
      <c r="F73" s="360">
        <f>SUM(C73:E73)</f>
        <v>2.4656536606442368E-2</v>
      </c>
      <c r="G73" s="527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67"/>
      <c r="Z73" s="174"/>
    </row>
    <row r="74" spans="1:26" hidden="1" x14ac:dyDescent="0.25">
      <c r="A74" s="530"/>
      <c r="B74" s="543" t="s">
        <v>244</v>
      </c>
      <c r="C74" s="360">
        <f>VLOOKUP($AB$9,'Matris - Länk'!$K$9:$DI$135,AB22,FALSE)*C71+VLOOKUP($AB$9,'Matris - Länk'!$K$9:$DI$135,AC22,FALSE)*C72</f>
        <v>0.14306298688070432</v>
      </c>
      <c r="D74" s="360">
        <f>VLOOKUP($AB$9,'Matris - Länk'!$K$9:$DI$135,AB24,FALSE)*D71+VLOOKUP($AB$9,'Matris - Länk'!$K$9:$DI$135,AC24,FALSE)*D72</f>
        <v>2.5259387130234789E-3</v>
      </c>
      <c r="E74" s="360">
        <f>VLOOKUP($AB$9,'Matris - Länk'!$K$9:$DI$135,AB26,FALSE)*E71+VLOOKUP($AB$9,'Matris - Länk'!$K$9:$DI$135,AC26,FALSE)*E72</f>
        <v>4.9245166489941625E-3</v>
      </c>
      <c r="F74" s="360">
        <f>SUM(C74:E74)</f>
        <v>0.15051344224272195</v>
      </c>
      <c r="G74" s="542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67"/>
      <c r="Z74" s="174"/>
    </row>
    <row r="75" spans="1:26" hidden="1" x14ac:dyDescent="0.25">
      <c r="A75" s="530"/>
      <c r="B75" s="542"/>
      <c r="C75" s="542"/>
      <c r="D75" s="542"/>
      <c r="E75" s="542"/>
      <c r="F75" s="542"/>
      <c r="G75" s="542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67"/>
      <c r="Z75" s="174"/>
    </row>
    <row r="76" spans="1:26" hidden="1" x14ac:dyDescent="0.25">
      <c r="A76" s="540"/>
      <c r="B76" s="541"/>
      <c r="C76" s="541"/>
      <c r="D76" s="541"/>
      <c r="E76" s="541"/>
      <c r="F76" s="541"/>
      <c r="G76" s="541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68"/>
      <c r="Z76" s="174"/>
    </row>
    <row r="77" spans="1:26" hidden="1" x14ac:dyDescent="0.25">
      <c r="A77" s="534"/>
      <c r="B77" s="545"/>
      <c r="C77" s="545"/>
      <c r="D77" s="545"/>
      <c r="E77" s="545"/>
      <c r="F77" s="545"/>
      <c r="G77" s="545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67"/>
      <c r="Z77" s="174"/>
    </row>
    <row r="78" spans="1:26" hidden="1" x14ac:dyDescent="0.25">
      <c r="A78" s="539" t="s">
        <v>330</v>
      </c>
      <c r="B78" s="533" t="str">
        <f>"Antal skadade år "&amp;2065&amp;" (prognosår 2) inklusive kompensation för bortfall"</f>
        <v>Antal skadade år 2065 (prognosår 2) inklusive kompensation för bortfall</v>
      </c>
      <c r="C78" s="532"/>
      <c r="D78" s="531"/>
      <c r="E78" s="531"/>
      <c r="F78" s="531"/>
      <c r="G78" s="531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67"/>
      <c r="Z78" s="174"/>
    </row>
    <row r="79" spans="1:26" hidden="1" x14ac:dyDescent="0.25">
      <c r="A79" s="534"/>
      <c r="B79" s="533"/>
      <c r="C79" s="550" t="s">
        <v>315</v>
      </c>
      <c r="D79" s="550" t="s">
        <v>8</v>
      </c>
      <c r="E79" s="550" t="s">
        <v>7</v>
      </c>
      <c r="F79" s="550" t="s">
        <v>158</v>
      </c>
      <c r="G79" s="531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67"/>
      <c r="Z79" s="174"/>
    </row>
    <row r="80" spans="1:26" hidden="1" x14ac:dyDescent="0.25">
      <c r="A80" s="534"/>
      <c r="B80" s="554" t="s">
        <v>240</v>
      </c>
      <c r="C80" s="360">
        <f>VLOOKUP($AB$9,'Matris - Länk'!$K$9:$DI$135,(AB29),FALSE)*($C$27*$C33)^(C30-2010)</f>
        <v>3.1408793300575981E-3</v>
      </c>
      <c r="D80" s="360">
        <f>VLOOKUP($AB$9,'Matris - Länk'!$K$9:$DI$135,(AC29),FALSE)*($C$27*$C33)^(C30-2010)</f>
        <v>1.818308598334036E-4</v>
      </c>
      <c r="E80" s="360">
        <f>VLOOKUP($AB$9,'Matris - Länk'!$K$9:$DI$135,(AD29),FALSE)*($C$27*$C33)^(C30-2010)</f>
        <v>1.8128808114733374E-4</v>
      </c>
      <c r="F80" s="190">
        <f>SUM(C80:E80)</f>
        <v>3.5039982710383354E-3</v>
      </c>
      <c r="G80" s="531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67"/>
      <c r="Z80" s="174"/>
    </row>
    <row r="81" spans="1:26" hidden="1" x14ac:dyDescent="0.25">
      <c r="A81" s="534"/>
      <c r="B81" s="554" t="s">
        <v>241</v>
      </c>
      <c r="C81" s="360">
        <f>VLOOKUP($AB$9,'Matris - Länk'!$K$9:$DI$135,(AB30),FALSE)*($C$27*$C34)^(C30-2010)</f>
        <v>7.411166320548096E-2</v>
      </c>
      <c r="D81" s="360">
        <f>VLOOKUP($AB$9,'Matris - Länk'!$K$9:$DI$135,(AC30),FALSE)*($C$27*$C34)^(C30-2010)</f>
        <v>1.8433046800851193E-3</v>
      </c>
      <c r="E81" s="360">
        <f>VLOOKUP($AB$9,'Matris - Länk'!$K$9:$DI$135,(AD30),FALSE)*($C$27*$C34)^(C30-2010)</f>
        <v>3.0101933864694207E-3</v>
      </c>
      <c r="F81" s="360">
        <f>SUM(C81:E81)</f>
        <v>7.8965161272035497E-2</v>
      </c>
      <c r="G81" s="531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67"/>
      <c r="Z81" s="174"/>
    </row>
    <row r="82" spans="1:26" hidden="1" x14ac:dyDescent="0.25">
      <c r="A82" s="534"/>
      <c r="B82" s="554" t="s">
        <v>242</v>
      </c>
      <c r="C82" s="360">
        <f>VLOOKUP($AB$9,'Matris - Länk'!$K$9:$DI$135,(AB31),FALSE)*($C$27*$C35)^(C30-2010)</f>
        <v>0.86895890362499983</v>
      </c>
      <c r="D82" s="360">
        <f>VLOOKUP($AB$9,'Matris - Länk'!$K$9:$DI$135,(AC31),FALSE)*($C$27*$C35)^(C30-2010)</f>
        <v>7.0151530464374985E-3</v>
      </c>
      <c r="E82" s="360">
        <f>VLOOKUP($AB$9,'Matris - Länk'!$K$9:$DI$135,(AD31),FALSE)*($C$27*$C35)^(C30-2010)</f>
        <v>2.1478289712749999E-2</v>
      </c>
      <c r="F82" s="360">
        <f>SUM(C82:E82)</f>
        <v>0.89745234638418736</v>
      </c>
      <c r="G82" s="531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67"/>
      <c r="Z82" s="174"/>
    </row>
    <row r="83" spans="1:26" hidden="1" x14ac:dyDescent="0.25">
      <c r="A83" s="534"/>
      <c r="B83" s="554" t="s">
        <v>243</v>
      </c>
      <c r="C83" s="360">
        <f>VLOOKUP($AB$9,'Matris - Länk'!$K$9:$DI$135,AB21,FALSE)*C81+VLOOKUP($AB$9,'Matris - Länk'!$K$9:$DI$135,AC21,FALSE)*C82</f>
        <v>2.0903188352839143E-2</v>
      </c>
      <c r="D83" s="360">
        <f>VLOOKUP($AB$9,'Matris - Länk'!$K$9:$DI$135,AB23,FALSE)*D81+VLOOKUP($AB$9,'Matris - Länk'!$K$9:$DI$135,AC23,FALSE)*D82</f>
        <v>3.9176160507870239E-4</v>
      </c>
      <c r="E83" s="360">
        <f>VLOOKUP($AB$9,'Matris - Länk'!$K$9:$DI$135,AB25,FALSE)*E81+VLOOKUP($AB$9,'Matris - Länk'!$K$9:$DI$135,AC25,FALSE)*E82</f>
        <v>7.5206342261469213E-4</v>
      </c>
      <c r="F83" s="360">
        <f>SUM(C83:E83)</f>
        <v>2.2047013380532537E-2</v>
      </c>
      <c r="G83" s="531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67"/>
      <c r="Z83" s="174"/>
    </row>
    <row r="84" spans="1:26" hidden="1" x14ac:dyDescent="0.25">
      <c r="A84" s="534"/>
      <c r="B84" s="554" t="s">
        <v>244</v>
      </c>
      <c r="C84" s="360">
        <f>VLOOKUP($AB$9,'Matris - Länk'!$K$9:$DI$135,AB22,FALSE)*C81+VLOOKUP($AB$9,'Matris - Länk'!$K$9:$DI$135,AC22,FALSE)*C82</f>
        <v>0.13371592316878464</v>
      </c>
      <c r="D84" s="360">
        <f>VLOOKUP($AB$9,'Matris - Länk'!$K$9:$DI$135,AB24,FALSE)*D81+VLOOKUP($AB$9,'Matris - Länk'!$K$9:$DI$135,AC24,FALSE)*D82</f>
        <v>2.1772185749232499E-3</v>
      </c>
      <c r="E84" s="360">
        <f>VLOOKUP($AB$9,'Matris - Länk'!$K$9:$DI$135,AB26,FALSE)*E81+VLOOKUP($AB$9,'Matris - Länk'!$K$9:$DI$135,AC26,FALSE)*E82</f>
        <v>4.3957188776355734E-3</v>
      </c>
      <c r="F84" s="360">
        <f>SUM(C84:E84)</f>
        <v>0.14028886062134346</v>
      </c>
      <c r="G84" s="531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67"/>
      <c r="Z84" s="174"/>
    </row>
    <row r="85" spans="1:26" hidden="1" x14ac:dyDescent="0.25">
      <c r="A85" s="534"/>
      <c r="B85" s="552"/>
      <c r="C85" s="553"/>
      <c r="D85" s="553"/>
      <c r="E85" s="553"/>
      <c r="F85" s="553"/>
      <c r="G85" s="545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67"/>
      <c r="Z85" s="174"/>
    </row>
    <row r="86" spans="1:26" hidden="1" x14ac:dyDescent="0.25">
      <c r="A86" s="551"/>
      <c r="B86" s="544"/>
      <c r="C86" s="544"/>
      <c r="D86" s="544"/>
      <c r="E86" s="544"/>
      <c r="F86" s="544"/>
      <c r="G86" s="544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68"/>
      <c r="Z86" s="174"/>
    </row>
    <row r="87" spans="1:26" hidden="1" x14ac:dyDescent="0.25">
      <c r="A87" s="184" t="s">
        <v>330</v>
      </c>
      <c r="B87" s="87"/>
      <c r="C87" s="87"/>
      <c r="D87" s="87"/>
      <c r="E87" s="87"/>
      <c r="F87" s="87"/>
      <c r="G87" s="87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67"/>
      <c r="Z87" s="174"/>
    </row>
    <row r="88" spans="1:26" hidden="1" x14ac:dyDescent="0.25">
      <c r="A88" s="177"/>
      <c r="B88" s="129" t="str">
        <f>"Kostnad beräknad på kalkylperioden "&amp;2028&amp;"-"&amp;C28&amp;" inklusive kompensation för bortfall"</f>
        <v>Kostnad beräknad på kalkylperioden 2028-2088 inklusive kompensation för bortfall</v>
      </c>
      <c r="C88" s="87"/>
      <c r="D88" s="87"/>
      <c r="E88" s="87"/>
      <c r="F88" s="87"/>
      <c r="G88" s="87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67"/>
      <c r="Z88" s="174"/>
    </row>
    <row r="89" spans="1:26" hidden="1" x14ac:dyDescent="0.25">
      <c r="A89" s="177"/>
      <c r="B89" s="130" t="str">
        <f>"Inkluderar trafikökning, systemeffekter, diskonteringsränta "&amp;Faktorer!C11*100&amp;"% per år och värdeökningsfaktor "&amp;Faktorer!C12&amp;" per år för riskvärderingen"</f>
        <v>Inkluderar trafikökning, systemeffekter, diskonteringsränta 3.5% per år och värdeökningsfaktor 1.0115 per år för riskvärderingen</v>
      </c>
      <c r="C89" s="87"/>
      <c r="D89" s="87"/>
      <c r="E89" s="87"/>
      <c r="F89" s="87"/>
      <c r="G89" s="87"/>
      <c r="H89" s="218"/>
      <c r="I89" s="218"/>
      <c r="J89" s="218"/>
      <c r="K89" s="218"/>
      <c r="L89" s="510"/>
      <c r="M89" s="218"/>
      <c r="N89" s="510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67"/>
      <c r="Z89" s="174"/>
    </row>
    <row r="90" spans="1:26" hidden="1" x14ac:dyDescent="0.25">
      <c r="A90" s="177"/>
      <c r="B90" s="87"/>
      <c r="C90" s="87"/>
      <c r="D90" s="87"/>
      <c r="E90" s="87"/>
      <c r="F90" s="87"/>
      <c r="G90" s="87"/>
      <c r="H90" s="232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67"/>
      <c r="Z90" s="174"/>
    </row>
    <row r="91" spans="1:26" hidden="1" x14ac:dyDescent="0.25">
      <c r="A91" s="177"/>
      <c r="B91" s="129"/>
      <c r="C91" s="176" t="s">
        <v>315</v>
      </c>
      <c r="D91" s="176" t="s">
        <v>8</v>
      </c>
      <c r="E91" s="176" t="s">
        <v>7</v>
      </c>
      <c r="F91" s="176" t="s">
        <v>158</v>
      </c>
      <c r="G91" s="87"/>
      <c r="H91" s="232"/>
      <c r="I91" s="232"/>
      <c r="J91" s="232"/>
      <c r="K91" s="232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67"/>
      <c r="Z91" s="174"/>
    </row>
    <row r="92" spans="1:26" hidden="1" x14ac:dyDescent="0.25">
      <c r="A92" s="177"/>
      <c r="B92" s="131" t="s">
        <v>240</v>
      </c>
      <c r="C92" s="607">
        <f>(C70*Faktorer!I22)+C80*Faktorer!I26</f>
        <v>8271.8012199013301</v>
      </c>
      <c r="D92" s="607">
        <f>(D70*Faktorer!I22)+D80*Faktorer!I26</f>
        <v>478.8686766129515</v>
      </c>
      <c r="E92" s="607">
        <f>(E70*Faktorer!I22)+E80*Faktorer!I26</f>
        <v>477.43921787679346</v>
      </c>
      <c r="F92" s="607">
        <f>SUM(C92:E92)</f>
        <v>9228.1091143910762</v>
      </c>
      <c r="G92" s="173" t="s">
        <v>307</v>
      </c>
      <c r="H92" s="232"/>
      <c r="I92" s="232"/>
      <c r="J92" s="232"/>
      <c r="K92" s="232"/>
      <c r="L92" s="232"/>
      <c r="M92" s="232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67"/>
      <c r="Z92" s="174"/>
    </row>
    <row r="93" spans="1:26" hidden="1" x14ac:dyDescent="0.25">
      <c r="A93" s="177"/>
      <c r="B93" s="131" t="s">
        <v>243</v>
      </c>
      <c r="C93" s="607">
        <f>VLOOKUP($AB$9,'Matris - Länk'!$K$9:$DI$135,AB21,FALSE)*C71*Faktorer!J22+VLOOKUP($AB$9,'Matris - Länk'!$K$9:$DI$135,AC21,FALSE)*C72*Faktorer!K22+VLOOKUP($AB$9,'Matris - Länk'!$K$9:$DI$135,AB21,FALSE)*C81*Faktorer!J26+VLOOKUP($AB$9,'Matris - Länk'!$K$9:$DI$135,AC21,FALSE)*C82*Faktorer!K26</f>
        <v>13085.598678263999</v>
      </c>
      <c r="D93" s="607">
        <f>VLOOKUP($AB$9,'Matris - Länk'!$K$9:$DI$135,AB23,FALSE)*D71*Faktorer!J22+VLOOKUP($AB$9,'Matris - Länk'!$K$9:$DI$135,AC23,FALSE)*D72*Faktorer!K22+VLOOKUP($AB$9,'Matris - Länk'!$K$9:$DI$135,AB23,FALSE)*D81*Faktorer!J26+VLOOKUP($AB$9,'Matris - Länk'!$K$9:$DI$135,AC23,FALSE)*D82*Faktorer!K26</f>
        <v>259.70780980374423</v>
      </c>
      <c r="E93" s="607">
        <f>VLOOKUP($AB$9,'Matris - Länk'!$K$9:$DI$135,AB25,FALSE)*E71*Faktorer!J22+VLOOKUP($AB$9,'Matris - Länk'!$K$9:$DI$135,AC25,FALSE)*E72*Faktorer!K22+VLOOKUP($AB$9,'Matris - Länk'!$K$9:$DI$135,AB25,FALSE)*E81*Faktorer!J26+VLOOKUP($AB$9,'Matris - Länk'!$K$9:$DI$135,AC25,FALSE)*E82*Faktorer!K26</f>
        <v>483.05565314544458</v>
      </c>
      <c r="F93" s="607">
        <f>SUM(C93:E93)</f>
        <v>13828.362141213187</v>
      </c>
      <c r="G93" s="173" t="s">
        <v>307</v>
      </c>
      <c r="H93" s="232"/>
      <c r="I93" s="232"/>
      <c r="J93" s="232"/>
      <c r="K93" s="232"/>
      <c r="L93" s="232"/>
      <c r="M93" s="232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67"/>
      <c r="Z93" s="174"/>
    </row>
    <row r="94" spans="1:26" hidden="1" x14ac:dyDescent="0.25">
      <c r="A94" s="177"/>
      <c r="B94" s="131" t="s">
        <v>322</v>
      </c>
      <c r="C94" s="607">
        <f>((VLOOKUP($AB$9,'Matris - Länk'!$K$9:$DI$135,AB22,FALSE)*C71-VLOOKUP($AB$9,'Matris - Länk'!$K$9:$DI$135,AB21,FALSE)*C71)*Faktorer!L22)+((VLOOKUP($AB$9,'Matris - Länk'!$K$9:$DI$135,AC22,FALSE)*C72-VLOOKUP($AB$9,'Matris - Länk'!$K$9:$DI$135,AC21,FALSE)*C72)*Faktorer!M22)+((VLOOKUP($AB$9,'Matris - Länk'!$K$9:$DI$135,AB22,FALSE)*C81-VLOOKUP($AB$9,'Matris - Länk'!$K$9:$DI$135,AB21,FALSE)*C81)*Faktorer!L26)+((VLOOKUP($AB$9,'Matris - Länk'!$K$9:$DI$135,AC22,FALSE)*C82-VLOOKUP($AB$9,'Matris - Länk'!$K$9:$DI$135,AC21,FALSE)*C82)*Faktorer!M26)</f>
        <v>46413.157089207911</v>
      </c>
      <c r="D94" s="607">
        <f>((VLOOKUP($AB$9,'Matris - Länk'!$K$9:$DI$135,AB24,FALSE)*D71-VLOOKUP($AB$9,'Matris - Länk'!$K$9:$DI$135,AB23,FALSE)*D71)*Faktorer!L22)+((VLOOKUP($AB$9,'Matris - Länk'!$K$9:$DI$135,AC24,FALSE)*D72-VLOOKUP($AB$9,'Matris - Länk'!$K$9:$DI$135,AC23,FALSE)*D72)*Faktorer!M22)+((VLOOKUP($AB$9,'Matris - Länk'!$K$9:$DI$135,AB24,FALSE)*D81-VLOOKUP($AB$9,'Matris - Länk'!$K$9:$DI$135,AB23,FALSE)*D81)*Faktorer!L26)+((VLOOKUP($AB$9,'Matris - Länk'!$K$9:$DI$135,AC24,FALSE)*D82-VLOOKUP($AB$9,'Matris - Länk'!$K$9:$DI$135,AC23,FALSE)*D82)*Faktorer!M26)</f>
        <v>756.39695794791908</v>
      </c>
      <c r="E94" s="607">
        <f>((VLOOKUP($AB$9,'Matris - Länk'!$K$9:$DI$135,AB26,FALSE)*E71-VLOOKUP($AB$9,'Matris - Länk'!$K$9:$DI$135,AB25,FALSE)*E71)*Faktorer!L22)+((VLOOKUP($AB$9,'Matris - Länk'!$K$9:$DI$135,AC26,FALSE)*E72-VLOOKUP($AB$9,'Matris - Länk'!$K$9:$DI$135,AC25,FALSE)*E72)*Faktorer!M22)+((VLOOKUP($AB$9,'Matris - Länk'!$K$9:$DI$135,AB26,FALSE)*E81-VLOOKUP($AB$9,'Matris - Länk'!$K$9:$DI$135,AB25,FALSE)*E81)*Faktorer!L26)+((VLOOKUP($AB$9,'Matris - Länk'!$K$9:$DI$135,AC26,FALSE)*E82-VLOOKUP($AB$9,'Matris - Länk'!$K$9:$DI$135,AC25,FALSE)*E82)*Faktorer!M26)</f>
        <v>1526.3052779067243</v>
      </c>
      <c r="F94" s="607">
        <f>SUM(C94:E94)</f>
        <v>48695.859325062549</v>
      </c>
      <c r="G94" s="173" t="s">
        <v>307</v>
      </c>
      <c r="H94" s="232"/>
      <c r="I94" s="232"/>
      <c r="J94" s="232"/>
      <c r="K94" s="232"/>
      <c r="L94" s="232"/>
      <c r="M94" s="232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67"/>
      <c r="Z94" s="174"/>
    </row>
    <row r="95" spans="1:26" hidden="1" x14ac:dyDescent="0.25">
      <c r="A95" s="177"/>
      <c r="B95" s="131" t="s">
        <v>328</v>
      </c>
      <c r="C95" s="607">
        <f>(1-VLOOKUP($AB$9,'Matris - Länk'!$K$9:$DI$135,AB22,FALSE))*C71*Faktorer!N22+(1-VLOOKUP($AB$9,'Matris - Länk'!$K$9:$DI$135,AC22,FALSE))*C72*Faktorer!O22+(1-VLOOKUP($AB$9,'Matris - Länk'!$K$9:$DI$135,AB22,FALSE))*C81*Faktorer!N26+(1-VLOOKUP($AB$9,'Matris - Länk'!$K$9:$DI$135,AC22,FALSE))*C82*Faktorer!O26</f>
        <v>21005.029300900285</v>
      </c>
      <c r="D95" s="607">
        <f>(1-VLOOKUP($AB$9,'Matris - Länk'!$K$9:$DI$135,AB24,FALSE))*D71*Faktorer!N22+(1-VLOOKUP($AB$9,'Matris - Länk'!$K$9:$DI$135,AC24,FALSE))*D72*Faktorer!O22+(1-VLOOKUP($AB$9,'Matris - Länk'!$K$9:$DI$135,AB24,FALSE))*D81*Faktorer!N26+(1-VLOOKUP($AB$9,'Matris - Länk'!$K$9:$DI$135,AC24,FALSE))*D82*Faktorer!O26</f>
        <v>176.40530761008395</v>
      </c>
      <c r="E95" s="607">
        <f>(1-VLOOKUP($AB$9,'Matris - Länk'!$K$9:$DI$135,AB26,FALSE))*E71*Faktorer!N22+(1-VLOOKUP($AB$9,'Matris - Länk'!$K$9:$DI$135,AC26,FALSE))*E72*Faktorer!O22+(1-VLOOKUP($AB$9,'Matris - Länk'!$K$9:$DI$135,AB26,FALSE))*E81*Faktorer!N26+(1-VLOOKUP($AB$9,'Matris - Länk'!$K$9:$DI$135,AC26,FALSE))*E82*Faktorer!O26</f>
        <v>523.91163671909715</v>
      </c>
      <c r="F95" s="607">
        <f>SUM(C95:E95)</f>
        <v>21705.346245229466</v>
      </c>
      <c r="G95" s="173" t="s">
        <v>307</v>
      </c>
      <c r="H95" s="232"/>
      <c r="I95" s="232"/>
      <c r="J95" s="232"/>
      <c r="K95" s="232"/>
      <c r="L95" s="232"/>
      <c r="M95" s="232"/>
      <c r="N95" s="510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67"/>
      <c r="Z95" s="174"/>
    </row>
    <row r="96" spans="1:26" hidden="1" x14ac:dyDescent="0.25">
      <c r="A96" s="177"/>
      <c r="B96" s="131" t="s">
        <v>329</v>
      </c>
      <c r="C96" s="607"/>
      <c r="D96" s="607"/>
      <c r="E96" s="607"/>
      <c r="F96" s="607">
        <f>VLOOKUP($AB$9,'Matris - Länk'!$K$9:$AX$135,$AB$36,FALSE)*(Faktorer!F9*Faktorer!F8)^(C31-2010)*Faktorer!P22+(VLOOKUP($AB$9,'Matris - Länk'!$K$9:$AX$135,$AB$36,FALSE)*(Faktorer!F9*Faktorer!F8)^(C30-2010)*Faktorer!P26)</f>
        <v>4163.833235961446</v>
      </c>
      <c r="G96" s="173" t="s">
        <v>307</v>
      </c>
      <c r="H96" s="232"/>
      <c r="I96" s="232"/>
      <c r="J96" s="218"/>
      <c r="K96" s="218"/>
      <c r="L96" s="232"/>
      <c r="M96" s="232"/>
      <c r="N96" s="510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67"/>
      <c r="Z96" s="174"/>
    </row>
    <row r="97" spans="1:26" hidden="1" x14ac:dyDescent="0.25">
      <c r="A97" s="177"/>
      <c r="B97" s="173"/>
      <c r="C97" s="173"/>
      <c r="D97" s="173"/>
      <c r="E97" s="173"/>
      <c r="F97" s="173"/>
      <c r="G97" s="87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67"/>
      <c r="Z97" s="174"/>
    </row>
    <row r="98" spans="1:26" hidden="1" x14ac:dyDescent="0.25">
      <c r="A98" s="185"/>
      <c r="B98" s="132"/>
      <c r="C98" s="132"/>
      <c r="D98" s="132"/>
      <c r="E98" s="132"/>
      <c r="F98" s="132"/>
      <c r="G98" s="87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68"/>
      <c r="Z98" s="174"/>
    </row>
    <row r="99" spans="1:26" x14ac:dyDescent="0.25">
      <c r="A99" s="218"/>
      <c r="B99" s="218"/>
      <c r="C99" s="242"/>
      <c r="D99" s="242"/>
      <c r="E99" s="242"/>
      <c r="F99" s="242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67"/>
      <c r="Z99" s="174"/>
    </row>
    <row r="100" spans="1:26" x14ac:dyDescent="0.25">
      <c r="A100" s="218"/>
      <c r="B100" s="236" t="str">
        <f>"Kostnad beräknad på kalkylperioden "&amp;C25&amp;"-"&amp;C28&amp;" inklusive kompensation för bortfall"</f>
        <v>Kostnad beräknad på kalkylperioden 2019-2088 inklusive kompensation för bortfall</v>
      </c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67"/>
      <c r="Z100" s="174"/>
    </row>
    <row r="101" spans="1:26" x14ac:dyDescent="0.25">
      <c r="A101" s="218"/>
      <c r="B101" s="236" t="str">
        <f>"Inkluderar trafikökning, systemeffekter, diskonteringsränta "&amp;Faktorer!C11*100&amp;"% per år och värdeökningsfaktor "&amp;Faktorer!C12&amp;" per år för riskvärderingen"</f>
        <v>Inkluderar trafikökning, systemeffekter, diskonteringsränta 3.5% per år och värdeökningsfaktor 1.0115 per år för riskvärderingen</v>
      </c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67"/>
      <c r="Z101" s="174"/>
    </row>
    <row r="102" spans="1:26" x14ac:dyDescent="0.25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67"/>
      <c r="Z102" s="174"/>
    </row>
    <row r="103" spans="1:26" x14ac:dyDescent="0.25">
      <c r="A103" s="218"/>
      <c r="B103" s="427" t="s">
        <v>240</v>
      </c>
      <c r="C103" s="519">
        <f>F92</f>
        <v>9228.1091143910762</v>
      </c>
      <c r="D103" s="237" t="s">
        <v>307</v>
      </c>
      <c r="E103" s="24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67"/>
      <c r="Z103" s="174"/>
    </row>
    <row r="104" spans="1:26" x14ac:dyDescent="0.25">
      <c r="A104" s="218"/>
      <c r="B104" s="428" t="s">
        <v>243</v>
      </c>
      <c r="C104" s="361">
        <f>F93</f>
        <v>13828.362141213187</v>
      </c>
      <c r="D104" s="237" t="s">
        <v>307</v>
      </c>
      <c r="E104" s="24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67"/>
      <c r="Z104" s="174"/>
    </row>
    <row r="105" spans="1:26" x14ac:dyDescent="0.25">
      <c r="A105" s="218"/>
      <c r="B105" s="428" t="s">
        <v>334</v>
      </c>
      <c r="C105" s="361">
        <f>F94</f>
        <v>48695.859325062549</v>
      </c>
      <c r="D105" s="237" t="s">
        <v>307</v>
      </c>
      <c r="E105" s="237" t="s">
        <v>333</v>
      </c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67"/>
      <c r="Z105" s="174"/>
    </row>
    <row r="106" spans="1:26" x14ac:dyDescent="0.25">
      <c r="A106" s="218"/>
      <c r="B106" s="430" t="s">
        <v>331</v>
      </c>
      <c r="C106" s="361">
        <f>SUM(C103:C105)</f>
        <v>71752.330580666807</v>
      </c>
      <c r="D106" s="237" t="s">
        <v>307</v>
      </c>
      <c r="E106" s="24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67"/>
      <c r="Z106" s="174"/>
    </row>
    <row r="107" spans="1:26" x14ac:dyDescent="0.25">
      <c r="A107" s="213"/>
      <c r="B107" s="243"/>
      <c r="C107" s="215"/>
      <c r="D107" s="237"/>
      <c r="E107" s="24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67"/>
      <c r="Z107" s="174"/>
    </row>
    <row r="108" spans="1:26" x14ac:dyDescent="0.25">
      <c r="A108" s="218"/>
      <c r="B108" s="427" t="s">
        <v>328</v>
      </c>
      <c r="C108" s="429">
        <f>F95</f>
        <v>21705.346245229466</v>
      </c>
      <c r="D108" s="237" t="s">
        <v>307</v>
      </c>
      <c r="E108" s="24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67"/>
      <c r="Z108" s="174"/>
    </row>
    <row r="109" spans="1:26" x14ac:dyDescent="0.25">
      <c r="A109" s="218"/>
      <c r="B109" s="431" t="s">
        <v>329</v>
      </c>
      <c r="C109" s="361">
        <f>F96</f>
        <v>4163.833235961446</v>
      </c>
      <c r="D109" s="237" t="s">
        <v>307</v>
      </c>
      <c r="E109" s="24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67"/>
      <c r="Z109" s="174"/>
    </row>
    <row r="110" spans="1:26" x14ac:dyDescent="0.25">
      <c r="A110" s="218"/>
      <c r="B110" s="430" t="s">
        <v>332</v>
      </c>
      <c r="C110" s="361">
        <f>SUM(C108:C109)</f>
        <v>25869.179481190913</v>
      </c>
      <c r="D110" s="237" t="s">
        <v>307</v>
      </c>
      <c r="E110" s="24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67"/>
      <c r="Z110" s="174"/>
    </row>
    <row r="111" spans="1:26" x14ac:dyDescent="0.25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67"/>
      <c r="Z111" s="174"/>
    </row>
    <row r="112" spans="1:26" x14ac:dyDescent="0.25">
      <c r="A112" s="218"/>
      <c r="B112" s="213"/>
      <c r="C112" s="213"/>
      <c r="D112" s="213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67"/>
      <c r="Z112" s="174"/>
    </row>
    <row r="113" spans="1:26" x14ac:dyDescent="0.25">
      <c r="A113" s="218"/>
      <c r="B113" s="244"/>
      <c r="C113" s="245"/>
      <c r="D113" s="246"/>
      <c r="E113" s="229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67"/>
      <c r="Z113" s="174"/>
    </row>
    <row r="114" spans="1:26" x14ac:dyDescent="0.25">
      <c r="A114" s="218"/>
      <c r="B114" s="244"/>
      <c r="C114" s="245"/>
      <c r="D114" s="246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67"/>
      <c r="Z114" s="174"/>
    </row>
    <row r="115" spans="1:26" x14ac:dyDescent="0.25">
      <c r="A115" s="218"/>
      <c r="B115" s="244"/>
      <c r="C115" s="245"/>
      <c r="D115" s="246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67"/>
      <c r="Z115" s="174"/>
    </row>
    <row r="116" spans="1:26" x14ac:dyDescent="0.25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68"/>
      <c r="Z116" s="174"/>
    </row>
    <row r="117" spans="1:26" x14ac:dyDescent="0.25">
      <c r="A117" s="251"/>
      <c r="B117" s="251"/>
      <c r="C117" s="251"/>
      <c r="D117" s="251"/>
      <c r="E117" s="251"/>
      <c r="F117" s="251"/>
      <c r="G117" s="251"/>
      <c r="H117" s="251"/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  <c r="U117" s="251"/>
      <c r="V117" s="251"/>
      <c r="W117" s="251"/>
      <c r="X117" s="251"/>
      <c r="Y117" s="251"/>
      <c r="Z117" s="4"/>
    </row>
    <row r="119" spans="1:26" x14ac:dyDescent="0.25"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</row>
    <row r="120" spans="1:26" x14ac:dyDescent="0.25"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</row>
    <row r="121" spans="1:26" x14ac:dyDescent="0.25">
      <c r="I121" s="251"/>
      <c r="J121" s="251"/>
      <c r="K121" s="251"/>
      <c r="L121" s="251"/>
      <c r="M121" s="251"/>
      <c r="N121" s="251"/>
      <c r="O121" s="251"/>
      <c r="P121" s="251"/>
      <c r="Q121" s="251"/>
      <c r="R121" s="251"/>
      <c r="S121" s="251"/>
    </row>
    <row r="122" spans="1:26" x14ac:dyDescent="0.25">
      <c r="I122" s="251"/>
      <c r="J122" s="251"/>
      <c r="K122" s="251"/>
      <c r="L122" s="251"/>
      <c r="M122" s="251"/>
      <c r="N122" s="251"/>
      <c r="O122" s="251"/>
      <c r="P122" s="251"/>
      <c r="Q122" s="251"/>
      <c r="R122" s="251"/>
      <c r="S122" s="251"/>
    </row>
    <row r="123" spans="1:26" x14ac:dyDescent="0.25"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</row>
    <row r="124" spans="1:26" x14ac:dyDescent="0.25"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</row>
    <row r="125" spans="1:26" x14ac:dyDescent="0.25"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</row>
    <row r="126" spans="1:26" x14ac:dyDescent="0.25">
      <c r="I126" s="251"/>
      <c r="J126" s="251"/>
      <c r="K126" s="251"/>
      <c r="L126" s="251"/>
      <c r="M126" s="251"/>
      <c r="N126" s="251"/>
      <c r="O126" s="251"/>
      <c r="P126" s="251"/>
      <c r="Q126" s="251"/>
      <c r="R126" s="251"/>
      <c r="S126" s="251"/>
    </row>
    <row r="127" spans="1:26" x14ac:dyDescent="0.25">
      <c r="I127" s="251"/>
      <c r="J127" s="251"/>
      <c r="K127" s="251"/>
      <c r="L127" s="253"/>
      <c r="M127" s="253"/>
      <c r="N127" s="253"/>
      <c r="O127" s="253"/>
      <c r="P127" s="253"/>
      <c r="Q127" s="253"/>
      <c r="R127" s="253"/>
      <c r="S127" s="253"/>
    </row>
    <row r="128" spans="1:26" x14ac:dyDescent="0.25">
      <c r="I128" s="251"/>
      <c r="J128" s="251"/>
      <c r="K128" s="251"/>
      <c r="L128" s="254"/>
      <c r="M128" s="255"/>
      <c r="N128" s="255"/>
      <c r="O128" s="255"/>
      <c r="P128" s="251"/>
      <c r="Q128" s="251"/>
      <c r="R128" s="251"/>
      <c r="S128" s="251"/>
    </row>
    <row r="129" spans="1:19" x14ac:dyDescent="0.25">
      <c r="I129" s="251"/>
      <c r="J129" s="251"/>
      <c r="K129" s="251"/>
      <c r="L129" s="256"/>
      <c r="M129" s="257"/>
      <c r="N129" s="256"/>
      <c r="O129" s="257"/>
      <c r="P129" s="251"/>
      <c r="Q129" s="251"/>
      <c r="R129" s="251"/>
      <c r="S129" s="251"/>
    </row>
    <row r="130" spans="1:19" x14ac:dyDescent="0.25">
      <c r="I130" s="251"/>
      <c r="J130" s="251"/>
      <c r="K130" s="251"/>
      <c r="L130" s="256"/>
      <c r="M130" s="257"/>
      <c r="N130" s="256"/>
      <c r="O130" s="256"/>
      <c r="P130" s="251"/>
      <c r="Q130" s="251"/>
      <c r="R130" s="251"/>
      <c r="S130" s="251"/>
    </row>
    <row r="131" spans="1:19" ht="13" x14ac:dyDescent="0.3">
      <c r="A131" s="258"/>
      <c r="I131" s="251"/>
      <c r="J131" s="251"/>
      <c r="K131" s="251"/>
      <c r="L131" s="256"/>
      <c r="M131" s="259"/>
      <c r="N131" s="259"/>
      <c r="O131" s="257"/>
      <c r="P131" s="251"/>
      <c r="Q131" s="251"/>
      <c r="R131" s="251"/>
      <c r="S131" s="251"/>
    </row>
    <row r="132" spans="1:19" ht="13" x14ac:dyDescent="0.3">
      <c r="A132" s="258"/>
      <c r="I132" s="251"/>
      <c r="J132" s="251"/>
      <c r="K132" s="251"/>
      <c r="L132" s="256"/>
      <c r="M132" s="259"/>
      <c r="N132" s="259"/>
      <c r="O132" s="256"/>
      <c r="P132" s="251"/>
      <c r="Q132" s="251"/>
      <c r="R132" s="251"/>
      <c r="S132" s="251"/>
    </row>
    <row r="133" spans="1:19" ht="13" x14ac:dyDescent="0.3">
      <c r="A133" s="258"/>
      <c r="I133" s="251"/>
      <c r="J133" s="251"/>
      <c r="K133" s="251"/>
      <c r="L133" s="256"/>
      <c r="M133" s="259"/>
      <c r="N133" s="256"/>
      <c r="O133" s="256"/>
      <c r="P133" s="251"/>
      <c r="Q133" s="251"/>
      <c r="R133" s="251"/>
      <c r="S133" s="251"/>
    </row>
    <row r="134" spans="1:19" ht="13" x14ac:dyDescent="0.3">
      <c r="A134" s="260"/>
      <c r="I134" s="251"/>
      <c r="J134" s="251"/>
      <c r="K134" s="251"/>
      <c r="L134" s="259"/>
      <c r="M134" s="251"/>
      <c r="N134" s="251"/>
      <c r="O134" s="257"/>
      <c r="P134" s="251"/>
      <c r="Q134" s="251"/>
      <c r="R134" s="251"/>
      <c r="S134" s="251"/>
    </row>
    <row r="135" spans="1:19" ht="13" x14ac:dyDescent="0.3">
      <c r="A135" s="260"/>
      <c r="I135" s="251"/>
      <c r="J135" s="251"/>
      <c r="K135" s="251"/>
      <c r="L135" s="261"/>
      <c r="M135" s="251"/>
      <c r="N135" s="251"/>
      <c r="O135" s="251"/>
      <c r="P135" s="251"/>
      <c r="Q135" s="251"/>
      <c r="R135" s="251"/>
      <c r="S135" s="251"/>
    </row>
    <row r="136" spans="1:19" ht="13" x14ac:dyDescent="0.3">
      <c r="A136" s="260"/>
      <c r="I136" s="251"/>
      <c r="J136" s="251"/>
      <c r="K136" s="251"/>
      <c r="L136" s="261"/>
      <c r="M136" s="251"/>
      <c r="N136" s="251"/>
      <c r="O136" s="251"/>
      <c r="P136" s="251"/>
      <c r="Q136" s="251"/>
      <c r="R136" s="251"/>
      <c r="S136" s="251"/>
    </row>
    <row r="137" spans="1:19" ht="13" x14ac:dyDescent="0.3">
      <c r="A137" s="260"/>
      <c r="I137" s="251"/>
      <c r="J137" s="251"/>
      <c r="K137" s="251"/>
      <c r="L137" s="261"/>
      <c r="M137" s="251"/>
      <c r="N137" s="251"/>
      <c r="O137" s="251"/>
      <c r="P137" s="251"/>
      <c r="Q137" s="251"/>
      <c r="R137" s="251"/>
      <c r="S137" s="251"/>
    </row>
    <row r="138" spans="1:19" ht="13" x14ac:dyDescent="0.3">
      <c r="A138" s="260"/>
      <c r="I138" s="253"/>
      <c r="J138" s="253"/>
      <c r="K138" s="253"/>
      <c r="L138" s="253"/>
      <c r="M138" s="251"/>
      <c r="N138" s="251"/>
      <c r="O138" s="251"/>
      <c r="P138" s="251"/>
      <c r="Q138" s="251"/>
      <c r="R138" s="251"/>
      <c r="S138" s="251"/>
    </row>
    <row r="139" spans="1:19" x14ac:dyDescent="0.25">
      <c r="I139" s="253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</row>
    <row r="140" spans="1:19" x14ac:dyDescent="0.25">
      <c r="I140" s="253"/>
      <c r="J140" s="251"/>
      <c r="K140" s="251"/>
      <c r="L140" s="251"/>
      <c r="M140" s="251"/>
      <c r="N140" s="251"/>
      <c r="O140" s="251"/>
      <c r="P140" s="251"/>
      <c r="Q140" s="251"/>
      <c r="R140" s="251"/>
      <c r="S140" s="251"/>
    </row>
    <row r="141" spans="1:19" x14ac:dyDescent="0.25">
      <c r="I141" s="253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</row>
    <row r="142" spans="1:19" x14ac:dyDescent="0.25">
      <c r="I142" s="253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</row>
    <row r="143" spans="1:19" x14ac:dyDescent="0.25">
      <c r="I143" s="253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</row>
    <row r="144" spans="1:19" x14ac:dyDescent="0.25">
      <c r="I144" s="253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</row>
    <row r="145" spans="7:19" x14ac:dyDescent="0.25">
      <c r="I145" s="253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</row>
    <row r="146" spans="7:19" x14ac:dyDescent="0.25">
      <c r="I146" s="253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</row>
    <row r="147" spans="7:19" x14ac:dyDescent="0.25">
      <c r="I147" s="253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</row>
    <row r="148" spans="7:19" x14ac:dyDescent="0.25">
      <c r="I148" s="253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</row>
    <row r="149" spans="7:19" x14ac:dyDescent="0.25">
      <c r="I149" s="253"/>
      <c r="J149" s="251"/>
      <c r="K149" s="251"/>
      <c r="L149" s="251"/>
      <c r="M149" s="251"/>
      <c r="N149" s="251"/>
      <c r="O149" s="251"/>
      <c r="P149" s="251"/>
      <c r="Q149" s="251"/>
      <c r="R149" s="251"/>
      <c r="S149" s="251"/>
    </row>
    <row r="150" spans="7:19" x14ac:dyDescent="0.25">
      <c r="I150" s="253"/>
      <c r="J150" s="251"/>
      <c r="K150" s="251"/>
      <c r="L150" s="251"/>
      <c r="M150" s="251"/>
      <c r="N150" s="251"/>
      <c r="O150" s="251"/>
      <c r="P150" s="251"/>
      <c r="Q150" s="251"/>
      <c r="R150" s="251"/>
      <c r="S150" s="251"/>
    </row>
    <row r="151" spans="7:19" x14ac:dyDescent="0.25">
      <c r="I151" s="253"/>
      <c r="J151" s="251"/>
      <c r="K151" s="251"/>
      <c r="L151" s="251"/>
      <c r="M151" s="251"/>
      <c r="N151" s="251"/>
      <c r="O151" s="251"/>
      <c r="P151" s="251"/>
      <c r="Q151" s="251"/>
      <c r="R151" s="251"/>
      <c r="S151" s="251"/>
    </row>
    <row r="152" spans="7:19" x14ac:dyDescent="0.25">
      <c r="I152" s="253"/>
      <c r="J152" s="251"/>
      <c r="K152" s="251"/>
      <c r="L152" s="251"/>
      <c r="M152" s="251"/>
      <c r="N152" s="251"/>
      <c r="O152" s="251"/>
      <c r="P152" s="251"/>
      <c r="Q152" s="251"/>
      <c r="R152" s="251"/>
      <c r="S152" s="251"/>
    </row>
    <row r="153" spans="7:19" x14ac:dyDescent="0.25">
      <c r="I153" s="253"/>
      <c r="J153" s="251"/>
      <c r="K153" s="251"/>
      <c r="L153" s="251"/>
      <c r="M153" s="251"/>
      <c r="N153" s="251"/>
      <c r="O153" s="251"/>
      <c r="P153" s="251"/>
      <c r="Q153" s="251"/>
      <c r="R153" s="251"/>
      <c r="S153" s="251"/>
    </row>
    <row r="154" spans="7:19" x14ac:dyDescent="0.25">
      <c r="I154" s="251"/>
      <c r="J154" s="251"/>
      <c r="K154" s="251"/>
      <c r="L154" s="251"/>
      <c r="M154" s="251"/>
      <c r="N154" s="251"/>
      <c r="O154" s="251"/>
      <c r="P154" s="251"/>
      <c r="Q154" s="251"/>
      <c r="R154" s="251"/>
      <c r="S154" s="251"/>
    </row>
    <row r="155" spans="7:19" x14ac:dyDescent="0.25">
      <c r="I155" s="251"/>
      <c r="J155" s="251"/>
      <c r="K155" s="251"/>
      <c r="L155" s="251"/>
      <c r="M155" s="251"/>
      <c r="N155" s="251"/>
      <c r="O155" s="251"/>
      <c r="P155" s="251"/>
      <c r="Q155" s="251"/>
      <c r="R155" s="251"/>
      <c r="S155" s="251"/>
    </row>
    <row r="156" spans="7:19" x14ac:dyDescent="0.25">
      <c r="I156" s="251"/>
      <c r="J156" s="251"/>
      <c r="K156" s="251"/>
      <c r="L156" s="251"/>
      <c r="M156" s="251"/>
      <c r="N156" s="251"/>
      <c r="O156" s="251"/>
      <c r="P156" s="251"/>
      <c r="Q156" s="251"/>
      <c r="R156" s="251"/>
      <c r="S156" s="251"/>
    </row>
    <row r="157" spans="7:19" x14ac:dyDescent="0.25">
      <c r="I157" s="251"/>
      <c r="J157" s="251"/>
      <c r="K157" s="251"/>
      <c r="L157" s="251"/>
      <c r="M157" s="251"/>
      <c r="N157" s="251"/>
      <c r="O157" s="251"/>
      <c r="P157" s="251"/>
      <c r="Q157" s="251"/>
      <c r="R157" s="251"/>
      <c r="S157" s="251"/>
    </row>
    <row r="158" spans="7:19" x14ac:dyDescent="0.25">
      <c r="G158" s="262"/>
      <c r="I158" s="251"/>
      <c r="J158" s="251"/>
      <c r="K158" s="251"/>
      <c r="L158" s="251"/>
      <c r="M158" s="251"/>
      <c r="N158" s="251"/>
      <c r="O158" s="251"/>
      <c r="P158" s="251"/>
      <c r="Q158" s="251"/>
      <c r="R158" s="251"/>
      <c r="S158" s="251"/>
    </row>
    <row r="159" spans="7:19" x14ac:dyDescent="0.25">
      <c r="G159" s="263"/>
      <c r="I159" s="251"/>
      <c r="J159" s="251"/>
      <c r="K159" s="251"/>
      <c r="L159" s="251"/>
      <c r="M159" s="251"/>
      <c r="N159" s="251"/>
      <c r="O159" s="251"/>
      <c r="P159" s="251"/>
      <c r="Q159" s="251"/>
      <c r="R159" s="251"/>
      <c r="S159" s="251"/>
    </row>
    <row r="160" spans="7:19" x14ac:dyDescent="0.25">
      <c r="G160" s="262"/>
      <c r="I160" s="251"/>
      <c r="J160" s="251"/>
      <c r="K160" s="251"/>
      <c r="L160" s="251"/>
      <c r="M160" s="251"/>
      <c r="N160" s="251"/>
      <c r="O160" s="251"/>
      <c r="P160" s="251"/>
      <c r="Q160" s="251"/>
      <c r="R160" s="251"/>
      <c r="S160" s="251"/>
    </row>
    <row r="161" spans="9:19" x14ac:dyDescent="0.25">
      <c r="I161" s="251"/>
      <c r="J161" s="251"/>
      <c r="K161" s="251"/>
      <c r="L161" s="251"/>
      <c r="M161" s="251"/>
      <c r="N161" s="251"/>
      <c r="O161" s="251"/>
      <c r="P161" s="251"/>
      <c r="Q161" s="251"/>
      <c r="R161" s="251"/>
      <c r="S161" s="251"/>
    </row>
    <row r="162" spans="9:19" x14ac:dyDescent="0.25">
      <c r="I162" s="251"/>
      <c r="J162" s="251"/>
      <c r="K162" s="251"/>
      <c r="L162" s="251"/>
      <c r="M162" s="251"/>
      <c r="N162" s="251"/>
      <c r="O162" s="251"/>
      <c r="P162" s="251"/>
      <c r="Q162" s="251"/>
      <c r="R162" s="251"/>
      <c r="S162" s="251"/>
    </row>
    <row r="163" spans="9:19" x14ac:dyDescent="0.25">
      <c r="I163" s="253"/>
      <c r="J163" s="251"/>
      <c r="K163" s="251"/>
      <c r="L163" s="251"/>
      <c r="M163" s="251"/>
      <c r="N163" s="251"/>
      <c r="O163" s="251"/>
      <c r="P163" s="251"/>
      <c r="Q163" s="251"/>
      <c r="R163" s="251"/>
      <c r="S163" s="251"/>
    </row>
    <row r="164" spans="9:19" x14ac:dyDescent="0.25">
      <c r="I164" s="251"/>
      <c r="J164" s="251"/>
      <c r="K164" s="251"/>
      <c r="L164" s="251"/>
      <c r="M164" s="251"/>
      <c r="N164" s="251"/>
      <c r="O164" s="251"/>
      <c r="P164" s="251"/>
      <c r="Q164" s="251"/>
      <c r="R164" s="251"/>
      <c r="S164" s="251"/>
    </row>
    <row r="165" spans="9:19" x14ac:dyDescent="0.25">
      <c r="I165" s="251"/>
      <c r="J165" s="251"/>
      <c r="K165" s="251"/>
      <c r="L165" s="251"/>
      <c r="M165" s="251"/>
      <c r="N165" s="251"/>
      <c r="O165" s="251"/>
      <c r="P165" s="251"/>
      <c r="Q165" s="251"/>
      <c r="R165" s="251"/>
      <c r="S165" s="251"/>
    </row>
    <row r="166" spans="9:19" x14ac:dyDescent="0.25">
      <c r="I166" s="251"/>
      <c r="J166" s="251"/>
      <c r="K166" s="251"/>
      <c r="L166" s="251"/>
      <c r="M166" s="251"/>
      <c r="N166" s="251"/>
      <c r="O166" s="251"/>
      <c r="P166" s="251"/>
      <c r="Q166" s="251"/>
      <c r="R166" s="251"/>
      <c r="S166" s="251"/>
    </row>
    <row r="167" spans="9:19" x14ac:dyDescent="0.25"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</row>
    <row r="168" spans="9:19" x14ac:dyDescent="0.25">
      <c r="I168" s="251"/>
      <c r="J168" s="251"/>
      <c r="K168" s="251"/>
      <c r="L168" s="251"/>
      <c r="M168" s="251"/>
      <c r="N168" s="251"/>
      <c r="O168" s="251"/>
      <c r="P168" s="251"/>
      <c r="Q168" s="251"/>
      <c r="R168" s="251"/>
      <c r="S168" s="251"/>
    </row>
    <row r="169" spans="9:19" x14ac:dyDescent="0.25">
      <c r="I169" s="251"/>
      <c r="J169" s="251"/>
      <c r="K169" s="251"/>
      <c r="L169" s="251"/>
      <c r="M169" s="251"/>
      <c r="N169" s="251"/>
      <c r="O169" s="251"/>
      <c r="P169" s="251"/>
      <c r="Q169" s="251"/>
      <c r="R169" s="251"/>
      <c r="S169" s="251"/>
    </row>
    <row r="170" spans="9:19" x14ac:dyDescent="0.25">
      <c r="I170" s="251"/>
      <c r="J170" s="251"/>
      <c r="K170" s="251"/>
      <c r="L170" s="251"/>
      <c r="M170" s="251"/>
      <c r="N170" s="251"/>
      <c r="O170" s="251"/>
      <c r="P170" s="251"/>
      <c r="Q170" s="251"/>
      <c r="R170" s="251"/>
      <c r="S170" s="251"/>
    </row>
    <row r="171" spans="9:19" x14ac:dyDescent="0.25">
      <c r="I171" s="251"/>
      <c r="J171" s="251"/>
      <c r="K171" s="251"/>
      <c r="L171" s="251"/>
      <c r="M171" s="251"/>
      <c r="N171" s="251"/>
      <c r="O171" s="251"/>
      <c r="P171" s="251"/>
      <c r="Q171" s="251"/>
      <c r="R171" s="251"/>
      <c r="S171" s="251"/>
    </row>
    <row r="172" spans="9:19" x14ac:dyDescent="0.25">
      <c r="I172" s="251"/>
      <c r="J172" s="251"/>
      <c r="K172" s="251"/>
      <c r="L172" s="251"/>
      <c r="M172" s="251"/>
      <c r="N172" s="251"/>
      <c r="O172" s="251"/>
      <c r="P172" s="251"/>
      <c r="Q172" s="251"/>
      <c r="R172" s="251"/>
      <c r="S172" s="251"/>
    </row>
    <row r="173" spans="9:19" x14ac:dyDescent="0.25">
      <c r="I173" s="251"/>
      <c r="J173" s="251"/>
      <c r="K173" s="251"/>
      <c r="L173" s="251"/>
      <c r="M173" s="251"/>
      <c r="N173" s="251"/>
      <c r="O173" s="251"/>
      <c r="P173" s="251"/>
      <c r="Q173" s="251"/>
      <c r="R173" s="251"/>
      <c r="S173" s="251"/>
    </row>
    <row r="174" spans="9:19" x14ac:dyDescent="0.25"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</row>
    <row r="175" spans="9:19" x14ac:dyDescent="0.25">
      <c r="I175" s="251"/>
      <c r="J175" s="251"/>
      <c r="K175" s="251"/>
      <c r="L175" s="251"/>
      <c r="M175" s="251"/>
      <c r="N175" s="251"/>
      <c r="O175" s="251"/>
      <c r="P175" s="251"/>
      <c r="Q175" s="251"/>
      <c r="R175" s="251"/>
      <c r="S175" s="251"/>
    </row>
    <row r="176" spans="9:19" x14ac:dyDescent="0.25">
      <c r="I176" s="251"/>
      <c r="J176" s="251"/>
      <c r="K176" s="251"/>
      <c r="L176" s="251"/>
      <c r="M176" s="251"/>
      <c r="N176" s="251"/>
      <c r="O176" s="251"/>
      <c r="P176" s="251"/>
      <c r="Q176" s="251"/>
      <c r="R176" s="251"/>
      <c r="S176" s="251"/>
    </row>
    <row r="177" spans="9:19" x14ac:dyDescent="0.25">
      <c r="I177" s="251"/>
      <c r="J177" s="251"/>
      <c r="K177" s="251"/>
      <c r="L177" s="251"/>
      <c r="M177" s="251"/>
      <c r="N177" s="251"/>
      <c r="O177" s="251"/>
      <c r="P177" s="251"/>
      <c r="Q177" s="251"/>
      <c r="R177" s="251"/>
      <c r="S177" s="251"/>
    </row>
    <row r="178" spans="9:19" x14ac:dyDescent="0.25">
      <c r="I178" s="251"/>
      <c r="J178" s="251"/>
      <c r="K178" s="251"/>
      <c r="L178" s="251"/>
      <c r="M178" s="251"/>
      <c r="N178" s="251"/>
      <c r="O178" s="251"/>
      <c r="P178" s="251"/>
      <c r="Q178" s="251"/>
      <c r="R178" s="251"/>
      <c r="S178" s="251"/>
    </row>
    <row r="179" spans="9:19" x14ac:dyDescent="0.25">
      <c r="I179" s="251"/>
      <c r="J179" s="251"/>
      <c r="K179" s="251"/>
      <c r="L179" s="251"/>
      <c r="M179" s="251"/>
      <c r="N179" s="251"/>
      <c r="O179" s="251"/>
      <c r="P179" s="251"/>
      <c r="Q179" s="251"/>
      <c r="R179" s="251"/>
      <c r="S179" s="251"/>
    </row>
    <row r="180" spans="9:19" x14ac:dyDescent="0.25">
      <c r="I180" s="251"/>
      <c r="J180" s="251"/>
      <c r="K180" s="251"/>
      <c r="L180" s="251"/>
      <c r="M180" s="251"/>
      <c r="N180" s="251"/>
      <c r="O180" s="251"/>
      <c r="P180" s="251"/>
      <c r="Q180" s="251"/>
      <c r="R180" s="251"/>
      <c r="S180" s="251"/>
    </row>
    <row r="181" spans="9:19" x14ac:dyDescent="0.25">
      <c r="I181" s="251"/>
      <c r="J181" s="251"/>
      <c r="K181" s="251"/>
      <c r="L181" s="251"/>
      <c r="M181" s="251"/>
      <c r="N181" s="251"/>
      <c r="O181" s="251"/>
      <c r="P181" s="251"/>
      <c r="Q181" s="251"/>
      <c r="R181" s="251"/>
      <c r="S181" s="251"/>
    </row>
    <row r="182" spans="9:19" x14ac:dyDescent="0.25">
      <c r="I182" s="251"/>
      <c r="J182" s="251"/>
      <c r="K182" s="251"/>
      <c r="L182" s="251"/>
      <c r="M182" s="251"/>
      <c r="N182" s="251"/>
      <c r="O182" s="251"/>
      <c r="P182" s="251"/>
      <c r="Q182" s="251"/>
      <c r="R182" s="251"/>
      <c r="S182" s="251"/>
    </row>
    <row r="183" spans="9:19" x14ac:dyDescent="0.25">
      <c r="I183" s="251"/>
      <c r="J183" s="251"/>
      <c r="K183" s="251"/>
      <c r="L183" s="251"/>
      <c r="M183" s="251"/>
      <c r="N183" s="251"/>
      <c r="O183" s="251"/>
      <c r="P183" s="251"/>
      <c r="Q183" s="251"/>
      <c r="R183" s="251"/>
      <c r="S183" s="251"/>
    </row>
    <row r="184" spans="9:19" x14ac:dyDescent="0.25">
      <c r="I184" s="251"/>
      <c r="J184" s="251"/>
      <c r="K184" s="251"/>
      <c r="L184" s="251"/>
      <c r="M184" s="251"/>
      <c r="N184" s="251"/>
      <c r="O184" s="251"/>
      <c r="P184" s="251"/>
      <c r="Q184" s="251"/>
      <c r="R184" s="251"/>
      <c r="S184" s="251"/>
    </row>
    <row r="185" spans="9:19" x14ac:dyDescent="0.25">
      <c r="I185" s="251"/>
      <c r="J185" s="251"/>
      <c r="K185" s="251"/>
      <c r="L185" s="251"/>
      <c r="M185" s="251"/>
      <c r="N185" s="251"/>
      <c r="O185" s="251"/>
      <c r="P185" s="251"/>
      <c r="Q185" s="251"/>
      <c r="R185" s="251"/>
      <c r="S185" s="251"/>
    </row>
    <row r="186" spans="9:19" x14ac:dyDescent="0.25">
      <c r="I186" s="251"/>
      <c r="J186" s="251"/>
      <c r="K186" s="251"/>
      <c r="L186" s="251"/>
      <c r="M186" s="251"/>
      <c r="N186" s="251"/>
      <c r="O186" s="251"/>
      <c r="P186" s="251"/>
      <c r="Q186" s="251"/>
      <c r="R186" s="251"/>
      <c r="S186" s="251"/>
    </row>
    <row r="187" spans="9:19" x14ac:dyDescent="0.25">
      <c r="I187" s="251"/>
      <c r="J187" s="251"/>
      <c r="K187" s="251"/>
      <c r="L187" s="251"/>
      <c r="M187" s="251"/>
      <c r="N187" s="251"/>
      <c r="O187" s="251"/>
      <c r="P187" s="251"/>
      <c r="Q187" s="251"/>
      <c r="R187" s="251"/>
      <c r="S187" s="251"/>
    </row>
    <row r="188" spans="9:19" x14ac:dyDescent="0.25">
      <c r="I188" s="251"/>
      <c r="J188" s="251"/>
      <c r="K188" s="251"/>
      <c r="L188" s="251"/>
      <c r="M188" s="251"/>
      <c r="N188" s="251"/>
      <c r="O188" s="251"/>
      <c r="P188" s="251"/>
      <c r="Q188" s="251"/>
      <c r="R188" s="251"/>
      <c r="S188" s="251"/>
    </row>
    <row r="189" spans="9:19" x14ac:dyDescent="0.25">
      <c r="I189" s="251"/>
      <c r="J189" s="251"/>
      <c r="K189" s="251"/>
      <c r="L189" s="251"/>
      <c r="M189" s="251"/>
      <c r="N189" s="251"/>
      <c r="O189" s="251"/>
      <c r="P189" s="251"/>
      <c r="Q189" s="251"/>
      <c r="R189" s="251"/>
      <c r="S189" s="251"/>
    </row>
  </sheetData>
  <sortState xmlns:xlrd2="http://schemas.microsoft.com/office/spreadsheetml/2017/richdata2" ref="AI6:AI9">
    <sortCondition ref="AI6"/>
  </sortState>
  <dataValidations count="7">
    <dataValidation type="list" allowBlank="1" showInputMessage="1" showErrorMessage="1" sqref="C12" xr:uid="{00000000-0002-0000-0100-000000000000}">
      <formula1>$AD$40:$AD$41</formula1>
    </dataValidation>
    <dataValidation type="list" allowBlank="1" showInputMessage="1" showErrorMessage="1" sqref="C13" xr:uid="{00000000-0002-0000-0100-000001000000}">
      <formula1>IF(C12="Kommunal",$AE$40,$AE$40:$AE$41)</formula1>
    </dataValidation>
    <dataValidation type="list" allowBlank="1" showInputMessage="1" showErrorMessage="1" sqref="C15" xr:uid="{00000000-0002-0000-0100-000002000000}">
      <formula1>IF(C12="Statlig",IF(C13="Tätort",$AG$40:$AG$42,IF(C14="VV",$AG$43:$AG$46,IF(C14="ML",$AG$41:$AG$47,IF(C14="MLV",$AG$44:$AG$47,IF(C14="MML",$AG$45:$AG$47,IF(C14="4F",$AG$44:$AG$47,IF(C14="MV",$AG$41:$AG$48,$AG$40:$AG$48))))))),IF(C14="VV",$AG$40:$AG$44,$AG$40:$AG$45))</formula1>
    </dataValidation>
    <dataValidation type="list" allowBlank="1" showInputMessage="1" showErrorMessage="1" sqref="C16" xr:uid="{00000000-0002-0000-0100-000003000000}">
      <formula1>IF(C12="Kommunal",Q32,IF(C13="Tätort",IF(C15=50,S11:S16,S10),IF(C14="VV",U10:U15,IF(C14="ML",S22,IF(C14="MML",S25,IF(C14="MLV",IF(C15=80,S24,IF(C15=110,S24,S23:S24)),IF(C14="4F",IF(C15=80,Y20,IF(C15=90,Y21:Y22,Y26:Y28)),W10:W15)))))))</formula1>
    </dataValidation>
    <dataValidation type="list" allowBlank="1" showInputMessage="1" showErrorMessage="1" sqref="C17" xr:uid="{00000000-0002-0000-0100-000004000000}">
      <formula1>IF(C12="Statlig",$R$32,IF(C15=40,$AI$40:$AI$42,IF(C15=50,$AI$40:$AI$42,$AI$41:$AI$42)))</formula1>
    </dataValidation>
    <dataValidation type="list" allowBlank="1" showInputMessage="1" showErrorMessage="1" sqref="C14" xr:uid="{00000000-0002-0000-0100-000005000000}">
      <formula1>IF(C12="Statlig",IF(C13="Tätort",$Q$10,$AF$50:$AF$55),$AF$44:$AF$45)</formula1>
    </dataValidation>
    <dataValidation type="list" allowBlank="1" showInputMessage="1" showErrorMessage="1" sqref="C18" xr:uid="{00000000-0002-0000-0100-000006000000}">
      <formula1>IF(C12="Statlig",S32,IF(C14="VV",IF(C15=40,AJ40:AJ41,IF(C15=50,IF(C17="City",AJ40:AJ41,AJ40:AJ42),IF(C15=80,AJ42,AJ41:AJ42))),IF(C17="City",AJ40:AJ41,IF(C15=40,AJ40,IF(C15=50,AJ40:AJ42,IF(OR(C15=80,C15=90),AJ42,AJ41:AJ42))))))</formula1>
    </dataValidation>
  </dataValidations>
  <pageMargins left="0.7" right="0.7" top="0.75" bottom="0.75" header="0.3" footer="0.3"/>
  <pageSetup paperSize="9" orientation="portrait" horizont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497B0"/>
  </sheetPr>
  <dimension ref="A1:AB131"/>
  <sheetViews>
    <sheetView zoomScaleNormal="100" workbookViewId="0">
      <selection activeCell="C135" sqref="C135"/>
    </sheetView>
  </sheetViews>
  <sheetFormatPr defaultColWidth="9.1796875" defaultRowHeight="12.5" x14ac:dyDescent="0.25"/>
  <cols>
    <col min="1" max="1" width="19.26953125" style="252" customWidth="1"/>
    <col min="2" max="2" width="44" style="252" customWidth="1"/>
    <col min="3" max="3" width="16.54296875" style="252" customWidth="1"/>
    <col min="4" max="4" width="11.26953125" style="252" customWidth="1"/>
    <col min="5" max="5" width="11.81640625" style="252" customWidth="1"/>
    <col min="6" max="6" width="11.26953125" style="252" customWidth="1"/>
    <col min="7" max="7" width="9.1796875" style="252"/>
    <col min="8" max="8" width="10.7265625" style="252" bestFit="1" customWidth="1"/>
    <col min="9" max="9" width="16.1796875" style="252" customWidth="1"/>
    <col min="10" max="10" width="19" style="252" customWidth="1"/>
    <col min="11" max="11" width="13.453125" style="252" customWidth="1"/>
    <col min="12" max="12" width="5.54296875" style="252" customWidth="1"/>
    <col min="13" max="13" width="18.26953125" style="252" customWidth="1"/>
    <col min="14" max="15" width="6.81640625" style="252" customWidth="1"/>
    <col min="16" max="16" width="15.81640625" style="252" customWidth="1"/>
    <col min="17" max="17" width="11.1796875" style="252" customWidth="1"/>
    <col min="18" max="18" width="9.1796875" hidden="1" customWidth="1"/>
    <col min="19" max="19" width="14.1796875" hidden="1" customWidth="1"/>
    <col min="20" max="20" width="9.1796875" hidden="1" customWidth="1"/>
    <col min="21" max="21" width="11.26953125" hidden="1" customWidth="1"/>
    <col min="22" max="22" width="9.1796875" hidden="1" customWidth="1"/>
    <col min="23" max="23" width="13.1796875" hidden="1" customWidth="1"/>
    <col min="24" max="27" width="9.1796875" hidden="1" customWidth="1"/>
    <col min="28" max="16384" width="9.1796875" style="252"/>
  </cols>
  <sheetData>
    <row r="1" spans="1:28" ht="13" x14ac:dyDescent="0.3">
      <c r="A1" s="269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86" t="s">
        <v>330</v>
      </c>
      <c r="S1" s="174"/>
      <c r="T1" s="174"/>
      <c r="U1" s="174"/>
      <c r="V1" s="174"/>
      <c r="W1" s="174"/>
      <c r="X1" s="174"/>
      <c r="Y1" s="174"/>
      <c r="Z1" s="174"/>
      <c r="AA1" s="174"/>
    </row>
    <row r="2" spans="1:28" ht="13" x14ac:dyDescent="0.3">
      <c r="A2" s="269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74"/>
      <c r="S2" s="4"/>
      <c r="T2" s="4"/>
      <c r="U2" s="4"/>
      <c r="V2" s="4"/>
      <c r="W2" s="4"/>
    </row>
    <row r="3" spans="1:28" ht="13" x14ac:dyDescent="0.3">
      <c r="A3" s="269"/>
      <c r="B3" s="197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74"/>
      <c r="S3" s="4"/>
      <c r="T3" s="4"/>
      <c r="U3" s="4"/>
      <c r="V3" s="4"/>
      <c r="W3" s="4"/>
    </row>
    <row r="4" spans="1:28" ht="13" x14ac:dyDescent="0.3">
      <c r="A4" s="269"/>
      <c r="B4" s="198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567" t="s">
        <v>363</v>
      </c>
      <c r="O4" s="191"/>
      <c r="P4" s="191"/>
      <c r="Q4" s="191"/>
      <c r="R4" s="174"/>
      <c r="S4" s="4"/>
      <c r="T4" s="4"/>
      <c r="U4" s="4"/>
      <c r="V4" s="4"/>
      <c r="W4" s="4"/>
    </row>
    <row r="5" spans="1:28" ht="59" x14ac:dyDescent="0.65">
      <c r="A5" s="463" t="s">
        <v>287</v>
      </c>
      <c r="B5" s="191"/>
      <c r="C5" s="191"/>
      <c r="D5" s="191"/>
      <c r="E5" s="191"/>
      <c r="F5" s="191"/>
      <c r="G5" s="191"/>
      <c r="H5" s="191"/>
      <c r="I5" s="201"/>
      <c r="J5" s="191"/>
      <c r="K5" s="191"/>
      <c r="L5" s="191"/>
      <c r="M5" s="567" t="s">
        <v>362</v>
      </c>
      <c r="N5" s="568" t="s">
        <v>365</v>
      </c>
      <c r="O5" s="191"/>
      <c r="P5" s="191"/>
      <c r="Q5" s="191"/>
      <c r="R5" s="174"/>
      <c r="S5" s="4"/>
      <c r="T5" s="4"/>
      <c r="U5" s="4"/>
      <c r="V5" s="4"/>
      <c r="W5" s="4"/>
    </row>
    <row r="6" spans="1:28" x14ac:dyDescent="0.25">
      <c r="A6" s="414"/>
      <c r="B6" s="414"/>
      <c r="C6" s="414"/>
      <c r="D6" s="414"/>
      <c r="E6" s="414"/>
      <c r="F6" s="414"/>
      <c r="G6" s="414"/>
      <c r="H6" s="414"/>
      <c r="I6" s="414"/>
      <c r="J6" s="191"/>
      <c r="K6" s="191"/>
      <c r="L6" s="191"/>
      <c r="M6" s="565"/>
      <c r="N6" s="570"/>
      <c r="O6" s="565"/>
      <c r="P6" s="569" t="s">
        <v>366</v>
      </c>
      <c r="Q6" s="191"/>
      <c r="R6" s="174"/>
      <c r="S6" s="102" t="s">
        <v>268</v>
      </c>
      <c r="T6" s="103"/>
      <c r="U6" s="103"/>
      <c r="V6" s="103"/>
      <c r="W6" s="103"/>
      <c r="X6" s="103"/>
      <c r="Y6" s="103"/>
      <c r="Z6" s="103"/>
      <c r="AA6" s="104"/>
    </row>
    <row r="7" spans="1:28" ht="25" x14ac:dyDescent="0.5">
      <c r="A7" s="453" t="s">
        <v>223</v>
      </c>
      <c r="B7" s="414"/>
      <c r="C7" s="414"/>
      <c r="D7" s="414"/>
      <c r="E7" s="414"/>
      <c r="F7" s="414"/>
      <c r="G7" s="414"/>
      <c r="H7" s="414"/>
      <c r="I7" s="414"/>
      <c r="J7" s="191"/>
      <c r="K7" s="191"/>
      <c r="L7" s="191"/>
      <c r="M7" s="566" t="s">
        <v>365</v>
      </c>
      <c r="N7" s="565"/>
      <c r="O7" s="565"/>
      <c r="P7" s="565"/>
      <c r="Q7" s="191"/>
      <c r="R7" s="175"/>
      <c r="S7" s="172"/>
      <c r="T7" s="171"/>
      <c r="U7" s="171"/>
      <c r="V7" s="171"/>
      <c r="W7" s="171"/>
      <c r="X7" s="171"/>
      <c r="Y7" s="171"/>
      <c r="Z7" s="171"/>
      <c r="AA7" s="171"/>
      <c r="AB7" s="251"/>
    </row>
    <row r="8" spans="1:28" ht="59" x14ac:dyDescent="0.25">
      <c r="A8" s="414"/>
      <c r="B8" s="454" t="s">
        <v>226</v>
      </c>
      <c r="C8" s="414"/>
      <c r="D8" s="414"/>
      <c r="E8" s="414"/>
      <c r="F8" s="414"/>
      <c r="G8" s="414"/>
      <c r="H8" s="414"/>
      <c r="I8" s="414"/>
      <c r="J8" s="191"/>
      <c r="K8" s="191"/>
      <c r="L8" s="191"/>
      <c r="M8" s="414"/>
      <c r="N8" s="191"/>
      <c r="O8" s="571" t="s">
        <v>365</v>
      </c>
      <c r="P8" s="191"/>
      <c r="Q8" s="191"/>
      <c r="R8" s="174"/>
      <c r="S8" s="73" t="s">
        <v>189</v>
      </c>
      <c r="T8" s="67" t="str">
        <f>C12&amp;" "&amp;C13&amp;" "&amp;C14&amp;" "&amp;C16&amp;" "&amp;C17</f>
        <v>Kommunal 60 Y 3 A</v>
      </c>
      <c r="U8" s="69"/>
      <c r="V8" s="69"/>
      <c r="W8" s="69"/>
      <c r="X8" s="69"/>
      <c r="Y8" s="69"/>
      <c r="Z8" s="69"/>
      <c r="AA8" s="68"/>
    </row>
    <row r="9" spans="1:28" ht="13" x14ac:dyDescent="0.3">
      <c r="A9" s="414"/>
      <c r="B9" s="454" t="s">
        <v>227</v>
      </c>
      <c r="C9" s="414"/>
      <c r="D9" s="414"/>
      <c r="E9" s="414"/>
      <c r="F9" s="414"/>
      <c r="G9" s="414"/>
      <c r="H9" s="414"/>
      <c r="I9" s="414"/>
      <c r="J9" s="191"/>
      <c r="K9" s="191"/>
      <c r="L9" s="191"/>
      <c r="M9" s="414"/>
      <c r="N9" s="191"/>
      <c r="O9" s="567" t="s">
        <v>364</v>
      </c>
      <c r="P9" s="191"/>
      <c r="Q9" s="191"/>
      <c r="R9" s="174"/>
      <c r="S9" s="74" t="s">
        <v>190</v>
      </c>
      <c r="T9" s="70" t="str">
        <f>VLOOKUP(T8,'Matris - Nod'!$G$15:$CX$350,1,FALSE)</f>
        <v>Kommunal 60 Y 3 A</v>
      </c>
      <c r="U9" s="72"/>
      <c r="V9" s="72"/>
      <c r="W9" s="72"/>
      <c r="X9" s="72"/>
      <c r="Y9" s="72"/>
      <c r="Z9" s="72"/>
      <c r="AA9" s="71"/>
    </row>
    <row r="10" spans="1:28" ht="13" x14ac:dyDescent="0.3">
      <c r="A10" s="414"/>
      <c r="B10" s="454" t="s">
        <v>288</v>
      </c>
      <c r="C10" s="414"/>
      <c r="D10" s="414"/>
      <c r="E10" s="414"/>
      <c r="F10" s="414"/>
      <c r="G10" s="414"/>
      <c r="H10" s="414"/>
      <c r="I10" s="414"/>
      <c r="J10" s="191"/>
      <c r="K10" s="191"/>
      <c r="L10" s="191"/>
      <c r="M10" s="567" t="s">
        <v>367</v>
      </c>
      <c r="N10" s="191"/>
      <c r="O10" s="191"/>
      <c r="P10" s="191"/>
      <c r="Q10" s="191"/>
      <c r="R10" s="174"/>
      <c r="S10" s="158" t="s">
        <v>19</v>
      </c>
      <c r="T10" s="157" t="s">
        <v>106</v>
      </c>
      <c r="U10" s="158" t="s">
        <v>37</v>
      </c>
      <c r="V10" s="159" t="s">
        <v>261</v>
      </c>
      <c r="W10" s="159" t="s">
        <v>61</v>
      </c>
      <c r="X10" s="108"/>
      <c r="Y10" s="108"/>
      <c r="Z10" s="108"/>
      <c r="AA10" s="138"/>
    </row>
    <row r="11" spans="1:28" ht="15.5" x14ac:dyDescent="0.35">
      <c r="A11" s="191"/>
      <c r="B11" s="457" t="s">
        <v>231</v>
      </c>
      <c r="C11" s="271" t="s">
        <v>163</v>
      </c>
      <c r="D11" s="191"/>
      <c r="E11" s="191"/>
      <c r="F11" s="462" t="s">
        <v>342</v>
      </c>
      <c r="G11" s="414"/>
      <c r="H11" s="414"/>
      <c r="I11" s="414"/>
      <c r="J11" s="191"/>
      <c r="K11" s="191"/>
      <c r="L11" s="191"/>
      <c r="M11" s="191"/>
      <c r="N11" s="191"/>
      <c r="O11" s="191"/>
      <c r="P11" s="191"/>
      <c r="Q11" s="191"/>
      <c r="R11" s="174"/>
      <c r="S11" s="105" t="s">
        <v>26</v>
      </c>
      <c r="T11" s="97">
        <v>40</v>
      </c>
      <c r="U11" s="106" t="s">
        <v>99</v>
      </c>
      <c r="V11" s="97">
        <v>3</v>
      </c>
      <c r="W11" s="123" t="s">
        <v>12</v>
      </c>
      <c r="X11" s="123" t="s">
        <v>12</v>
      </c>
      <c r="Y11" s="123" t="s">
        <v>12</v>
      </c>
      <c r="Z11" s="160" t="s">
        <v>12</v>
      </c>
      <c r="AA11" s="123" t="s">
        <v>12</v>
      </c>
    </row>
    <row r="12" spans="1:28" x14ac:dyDescent="0.25">
      <c r="A12" s="191"/>
      <c r="B12" s="421" t="s">
        <v>19</v>
      </c>
      <c r="C12" s="422" t="s">
        <v>36</v>
      </c>
      <c r="D12" s="191"/>
      <c r="E12" s="191"/>
      <c r="F12" s="416"/>
      <c r="G12" s="432"/>
      <c r="H12" s="417"/>
      <c r="I12" s="433"/>
      <c r="J12" s="417"/>
      <c r="K12" s="434"/>
      <c r="L12" s="191"/>
      <c r="M12" s="191"/>
      <c r="N12" s="191"/>
      <c r="O12" s="191"/>
      <c r="P12" s="191"/>
      <c r="Q12" s="191"/>
      <c r="R12" s="174"/>
      <c r="S12" s="105" t="s">
        <v>36</v>
      </c>
      <c r="T12" s="97">
        <v>50</v>
      </c>
      <c r="U12" s="97" t="s">
        <v>4</v>
      </c>
      <c r="V12" s="97" t="s">
        <v>91</v>
      </c>
      <c r="W12" s="105" t="s">
        <v>13</v>
      </c>
      <c r="X12" s="105" t="s">
        <v>13</v>
      </c>
      <c r="Y12" s="105" t="s">
        <v>13</v>
      </c>
      <c r="Z12" s="151" t="s">
        <v>13</v>
      </c>
      <c r="AA12" s="105" t="s">
        <v>13</v>
      </c>
    </row>
    <row r="13" spans="1:28" x14ac:dyDescent="0.25">
      <c r="A13" s="191"/>
      <c r="B13" s="437" t="s">
        <v>269</v>
      </c>
      <c r="C13" s="276">
        <v>60</v>
      </c>
      <c r="D13" s="191"/>
      <c r="E13" s="191"/>
      <c r="F13" s="435"/>
      <c r="G13" s="281" t="s">
        <v>26</v>
      </c>
      <c r="H13" s="282"/>
      <c r="I13" s="283"/>
      <c r="J13" s="215"/>
      <c r="K13" s="267"/>
      <c r="L13" s="191"/>
      <c r="M13" s="191"/>
      <c r="N13" s="191"/>
      <c r="O13" s="191"/>
      <c r="P13" s="191"/>
      <c r="Q13" s="191"/>
      <c r="R13" s="175"/>
      <c r="S13" s="154"/>
      <c r="T13" s="107">
        <v>60</v>
      </c>
      <c r="U13" s="97" t="s">
        <v>5</v>
      </c>
      <c r="V13" s="97" t="s">
        <v>254</v>
      </c>
      <c r="W13" s="105" t="s">
        <v>70</v>
      </c>
      <c r="X13" s="105" t="s">
        <v>70</v>
      </c>
      <c r="Y13" s="105" t="s">
        <v>70</v>
      </c>
      <c r="Z13" s="151" t="s">
        <v>70</v>
      </c>
      <c r="AA13" s="105" t="s">
        <v>70</v>
      </c>
    </row>
    <row r="14" spans="1:28" x14ac:dyDescent="0.25">
      <c r="A14" s="191"/>
      <c r="B14" s="423" t="s">
        <v>37</v>
      </c>
      <c r="C14" s="276" t="s">
        <v>6</v>
      </c>
      <c r="D14" s="191"/>
      <c r="E14" s="191"/>
      <c r="F14" s="435"/>
      <c r="G14" s="441" t="s">
        <v>106</v>
      </c>
      <c r="H14" s="442" t="s">
        <v>261</v>
      </c>
      <c r="I14" s="443" t="s">
        <v>61</v>
      </c>
      <c r="J14" s="215"/>
      <c r="K14" s="267"/>
      <c r="L14" s="191"/>
      <c r="M14" s="191"/>
      <c r="N14" s="191"/>
      <c r="O14" s="191"/>
      <c r="P14" s="191"/>
      <c r="Q14" s="191"/>
      <c r="R14" s="175"/>
      <c r="S14" s="154"/>
      <c r="T14" s="97">
        <v>70</v>
      </c>
      <c r="U14" s="97" t="s">
        <v>6</v>
      </c>
      <c r="V14" s="154"/>
      <c r="W14" s="105" t="s">
        <v>71</v>
      </c>
      <c r="X14" s="105" t="s">
        <v>71</v>
      </c>
      <c r="Y14" s="105" t="s">
        <v>71</v>
      </c>
      <c r="Z14" s="105" t="s">
        <v>71</v>
      </c>
      <c r="AA14" s="105" t="s">
        <v>71</v>
      </c>
    </row>
    <row r="15" spans="1:28" x14ac:dyDescent="0.25">
      <c r="A15" s="191"/>
      <c r="B15" s="457" t="s">
        <v>273</v>
      </c>
      <c r="C15" s="271" t="s">
        <v>163</v>
      </c>
      <c r="D15" s="192"/>
      <c r="E15" s="191"/>
      <c r="F15" s="435"/>
      <c r="G15" s="444">
        <v>60</v>
      </c>
      <c r="H15" s="204" t="s">
        <v>263</v>
      </c>
      <c r="I15" s="280" t="s">
        <v>264</v>
      </c>
      <c r="J15" s="215"/>
      <c r="K15" s="267"/>
      <c r="L15" s="191"/>
      <c r="M15" s="191"/>
      <c r="N15" s="191"/>
      <c r="O15" s="191"/>
      <c r="P15" s="191"/>
      <c r="Q15" s="191"/>
      <c r="R15" s="175"/>
      <c r="S15" s="154"/>
      <c r="T15" s="97">
        <v>80</v>
      </c>
      <c r="U15" s="154"/>
      <c r="V15" s="154"/>
      <c r="W15" s="105" t="s">
        <v>0</v>
      </c>
      <c r="X15" s="105" t="s">
        <v>0</v>
      </c>
      <c r="Y15" s="105" t="s">
        <v>0</v>
      </c>
      <c r="Z15" s="105" t="s">
        <v>64</v>
      </c>
      <c r="AA15" s="105" t="s">
        <v>0</v>
      </c>
    </row>
    <row r="16" spans="1:28" x14ac:dyDescent="0.25">
      <c r="A16" s="191"/>
      <c r="B16" s="421" t="s">
        <v>232</v>
      </c>
      <c r="C16" s="422">
        <v>3</v>
      </c>
      <c r="D16" s="200" t="str">
        <f>IF(AND(C16=3,C24&gt;0,C25&gt;0),"Välj 4 eller ändra ÅDT",IF(OR(AND(C16="4L",C24&lt;100,C25&gt;100),AND(C16="4L",C24&gt;100,C25&lt;100)),"Välj 4S eller ändra ÅDT"," "))</f>
        <v xml:space="preserve"> </v>
      </c>
      <c r="E16" s="191"/>
      <c r="F16" s="435"/>
      <c r="G16" s="444">
        <v>70</v>
      </c>
      <c r="H16" s="204" t="s">
        <v>263</v>
      </c>
      <c r="I16" s="280" t="s">
        <v>264</v>
      </c>
      <c r="J16" s="215"/>
      <c r="K16" s="267"/>
      <c r="L16" s="191"/>
      <c r="M16" s="191"/>
      <c r="N16" s="191"/>
      <c r="O16" s="191"/>
      <c r="P16" s="191"/>
      <c r="Q16" s="191"/>
      <c r="R16" s="175"/>
      <c r="S16" s="154"/>
      <c r="T16" s="97">
        <v>90</v>
      </c>
      <c r="U16" s="154"/>
      <c r="V16" s="154"/>
      <c r="W16" s="105" t="s">
        <v>62</v>
      </c>
      <c r="X16" s="105" t="s">
        <v>63</v>
      </c>
      <c r="Y16" s="105" t="s">
        <v>62</v>
      </c>
      <c r="Z16" s="154"/>
      <c r="AA16" s="105" t="s">
        <v>62</v>
      </c>
    </row>
    <row r="17" spans="1:27" x14ac:dyDescent="0.25">
      <c r="A17" s="191"/>
      <c r="B17" s="423" t="s">
        <v>61</v>
      </c>
      <c r="C17" s="276" t="s">
        <v>12</v>
      </c>
      <c r="D17" s="192"/>
      <c r="E17" s="191"/>
      <c r="F17" s="435"/>
      <c r="G17" s="444">
        <v>80</v>
      </c>
      <c r="H17" s="204" t="s">
        <v>263</v>
      </c>
      <c r="I17" s="280" t="s">
        <v>262</v>
      </c>
      <c r="J17" s="215"/>
      <c r="K17" s="267"/>
      <c r="L17" s="191"/>
      <c r="M17" s="191"/>
      <c r="N17" s="191"/>
      <c r="O17" s="191"/>
      <c r="P17" s="191"/>
      <c r="Q17" s="191"/>
      <c r="R17" s="175"/>
      <c r="S17" s="154"/>
      <c r="T17" s="97">
        <v>100</v>
      </c>
      <c r="U17" s="154"/>
      <c r="V17" s="154"/>
      <c r="W17" s="105" t="s">
        <v>63</v>
      </c>
      <c r="X17" s="105" t="s">
        <v>64</v>
      </c>
      <c r="Y17" s="105" t="s">
        <v>63</v>
      </c>
      <c r="Z17" s="24"/>
      <c r="AA17" s="105" t="s">
        <v>63</v>
      </c>
    </row>
    <row r="18" spans="1:27" ht="13.5" customHeight="1" x14ac:dyDescent="0.25">
      <c r="A18" s="272"/>
      <c r="B18" s="456" t="s">
        <v>274</v>
      </c>
      <c r="C18" s="273" t="s">
        <v>222</v>
      </c>
      <c r="D18" s="272"/>
      <c r="E18" s="191"/>
      <c r="F18" s="435"/>
      <c r="G18" s="444">
        <v>90</v>
      </c>
      <c r="H18" s="204" t="s">
        <v>263</v>
      </c>
      <c r="I18" s="280" t="s">
        <v>262</v>
      </c>
      <c r="J18" s="215"/>
      <c r="K18" s="267"/>
      <c r="L18" s="191"/>
      <c r="M18" s="191"/>
      <c r="N18" s="191"/>
      <c r="O18" s="191"/>
      <c r="P18" s="191"/>
      <c r="Q18" s="191"/>
      <c r="R18" s="175"/>
      <c r="S18" s="154"/>
      <c r="T18" s="97">
        <v>110</v>
      </c>
      <c r="U18" s="154"/>
      <c r="V18" s="154"/>
      <c r="W18" s="105" t="s">
        <v>64</v>
      </c>
      <c r="X18" s="4"/>
      <c r="Z18" s="24"/>
      <c r="AA18" s="105" t="s">
        <v>64</v>
      </c>
    </row>
    <row r="19" spans="1:27" x14ac:dyDescent="0.25">
      <c r="A19" s="191"/>
      <c r="B19" s="421" t="s">
        <v>233</v>
      </c>
      <c r="C19" s="438">
        <v>1</v>
      </c>
      <c r="D19" s="205"/>
      <c r="E19" s="191"/>
      <c r="F19" s="435"/>
      <c r="G19" s="444">
        <v>100</v>
      </c>
      <c r="H19" s="204" t="s">
        <v>263</v>
      </c>
      <c r="I19" s="280" t="s">
        <v>262</v>
      </c>
      <c r="J19" s="215"/>
      <c r="K19" s="267"/>
      <c r="L19" s="191"/>
      <c r="M19" s="191"/>
      <c r="N19" s="191"/>
      <c r="O19" s="191"/>
      <c r="P19" s="191"/>
      <c r="Q19" s="191"/>
      <c r="R19" s="175"/>
      <c r="S19" s="24"/>
      <c r="T19" s="24"/>
      <c r="U19" s="24"/>
      <c r="V19" s="24"/>
      <c r="W19" s="24"/>
      <c r="X19" s="24"/>
      <c r="Z19" s="3"/>
    </row>
    <row r="20" spans="1:27" x14ac:dyDescent="0.25">
      <c r="A20" s="191"/>
      <c r="B20" s="425" t="s">
        <v>259</v>
      </c>
      <c r="C20" s="359">
        <v>1</v>
      </c>
      <c r="D20" s="205"/>
      <c r="E20" s="191"/>
      <c r="F20" s="435"/>
      <c r="G20" s="444">
        <v>110</v>
      </c>
      <c r="H20" s="204" t="s">
        <v>263</v>
      </c>
      <c r="I20" s="280" t="s">
        <v>262</v>
      </c>
      <c r="J20" s="215"/>
      <c r="K20" s="267"/>
      <c r="L20" s="191"/>
      <c r="M20" s="191"/>
      <c r="N20" s="191"/>
      <c r="O20" s="191"/>
      <c r="P20" s="191"/>
      <c r="Q20" s="191"/>
      <c r="R20" s="174"/>
      <c r="S20" s="24"/>
      <c r="T20" s="24"/>
      <c r="U20" s="24"/>
      <c r="V20" s="24"/>
    </row>
    <row r="21" spans="1:27" x14ac:dyDescent="0.25">
      <c r="A21" s="191"/>
      <c r="B21" s="423" t="s">
        <v>301</v>
      </c>
      <c r="C21" s="276">
        <v>1</v>
      </c>
      <c r="D21" s="205"/>
      <c r="E21" s="191"/>
      <c r="F21" s="435"/>
      <c r="G21" s="215"/>
      <c r="H21" s="215"/>
      <c r="I21" s="215"/>
      <c r="J21" s="215"/>
      <c r="K21" s="267"/>
      <c r="L21" s="191"/>
      <c r="M21" s="191"/>
      <c r="N21" s="191"/>
      <c r="O21" s="191"/>
      <c r="P21" s="191"/>
      <c r="Q21" s="191"/>
      <c r="R21" s="174"/>
      <c r="S21" s="152"/>
      <c r="T21" s="156" t="s">
        <v>270</v>
      </c>
      <c r="U21" s="155"/>
      <c r="V21" s="24"/>
    </row>
    <row r="22" spans="1:27" x14ac:dyDescent="0.25">
      <c r="A22" s="272"/>
      <c r="B22" s="526" t="s">
        <v>357</v>
      </c>
      <c r="C22" s="273" t="s">
        <v>222</v>
      </c>
      <c r="D22" s="270"/>
      <c r="E22" s="191"/>
      <c r="F22" s="435"/>
      <c r="G22" s="281" t="s">
        <v>36</v>
      </c>
      <c r="H22" s="281"/>
      <c r="I22" s="282"/>
      <c r="J22" s="282"/>
      <c r="K22" s="267"/>
      <c r="L22" s="191"/>
      <c r="M22" s="191"/>
      <c r="N22" s="191"/>
      <c r="O22" s="191"/>
      <c r="P22" s="191"/>
      <c r="Q22" s="191"/>
      <c r="R22" s="174"/>
      <c r="S22" s="76" t="s">
        <v>207</v>
      </c>
      <c r="T22" s="109">
        <v>26</v>
      </c>
      <c r="U22" s="110">
        <v>55</v>
      </c>
      <c r="V22" s="111">
        <v>81</v>
      </c>
    </row>
    <row r="23" spans="1:27" x14ac:dyDescent="0.25">
      <c r="A23" s="274"/>
      <c r="B23" s="421" t="s">
        <v>359</v>
      </c>
      <c r="C23" s="439">
        <v>4000</v>
      </c>
      <c r="D23" s="275"/>
      <c r="E23" s="191"/>
      <c r="F23" s="435"/>
      <c r="G23" s="441" t="s">
        <v>106</v>
      </c>
      <c r="H23" s="442" t="s">
        <v>37</v>
      </c>
      <c r="I23" s="442" t="s">
        <v>261</v>
      </c>
      <c r="J23" s="443" t="s">
        <v>61</v>
      </c>
      <c r="K23" s="267"/>
      <c r="L23" s="191"/>
      <c r="M23" s="191"/>
      <c r="N23" s="191"/>
      <c r="O23" s="191"/>
      <c r="P23" s="191"/>
      <c r="Q23" s="191"/>
      <c r="R23" s="174"/>
      <c r="S23" s="153"/>
      <c r="T23" s="112">
        <v>27</v>
      </c>
      <c r="U23" s="113">
        <v>56</v>
      </c>
      <c r="V23" s="114">
        <v>82</v>
      </c>
    </row>
    <row r="24" spans="1:27" x14ac:dyDescent="0.25">
      <c r="A24" s="191"/>
      <c r="B24" s="437" t="s">
        <v>360</v>
      </c>
      <c r="C24" s="276">
        <v>500</v>
      </c>
      <c r="D24" s="205"/>
      <c r="E24" s="191"/>
      <c r="F24" s="435"/>
      <c r="G24" s="444">
        <v>40</v>
      </c>
      <c r="H24" s="204" t="s">
        <v>4</v>
      </c>
      <c r="I24" s="204" t="s">
        <v>263</v>
      </c>
      <c r="J24" s="280" t="s">
        <v>266</v>
      </c>
      <c r="K24" s="267"/>
      <c r="L24" s="191"/>
      <c r="M24" s="191"/>
      <c r="N24" s="191"/>
      <c r="O24" s="191"/>
      <c r="P24" s="191"/>
      <c r="Q24" s="191"/>
      <c r="R24" s="174"/>
      <c r="S24" s="153"/>
      <c r="T24" s="112">
        <v>28</v>
      </c>
      <c r="U24" s="113">
        <v>57</v>
      </c>
      <c r="V24" s="114">
        <v>83</v>
      </c>
    </row>
    <row r="25" spans="1:27" ht="13" x14ac:dyDescent="0.3">
      <c r="A25" s="191"/>
      <c r="B25" s="437" t="s">
        <v>361</v>
      </c>
      <c r="C25" s="276">
        <v>0</v>
      </c>
      <c r="D25" s="205"/>
      <c r="E25" s="191"/>
      <c r="F25" s="435"/>
      <c r="G25" s="444">
        <v>40</v>
      </c>
      <c r="H25" s="204" t="s">
        <v>260</v>
      </c>
      <c r="I25" s="204" t="s">
        <v>263</v>
      </c>
      <c r="J25" s="280" t="s">
        <v>267</v>
      </c>
      <c r="K25" s="267"/>
      <c r="L25" s="191"/>
      <c r="M25" s="191"/>
      <c r="N25" s="191"/>
      <c r="O25" s="191"/>
      <c r="P25" s="191"/>
      <c r="Q25" s="191"/>
      <c r="R25" s="174"/>
      <c r="S25" s="163" t="s">
        <v>315</v>
      </c>
      <c r="T25" s="164">
        <v>41</v>
      </c>
      <c r="U25" s="165">
        <v>43</v>
      </c>
      <c r="V25" s="150" t="s">
        <v>38</v>
      </c>
    </row>
    <row r="26" spans="1:27" ht="13" x14ac:dyDescent="0.3">
      <c r="A26" s="191"/>
      <c r="B26" s="437" t="s">
        <v>235</v>
      </c>
      <c r="C26" s="276">
        <v>20</v>
      </c>
      <c r="D26" s="205"/>
      <c r="E26" s="191"/>
      <c r="F26" s="435"/>
      <c r="G26" s="444">
        <v>40</v>
      </c>
      <c r="H26" s="204" t="s">
        <v>260</v>
      </c>
      <c r="I26" s="204" t="s">
        <v>263</v>
      </c>
      <c r="J26" s="280" t="s">
        <v>267</v>
      </c>
      <c r="K26" s="267"/>
      <c r="L26" s="191"/>
      <c r="M26" s="191"/>
      <c r="N26" s="191"/>
      <c r="O26" s="191"/>
      <c r="P26" s="191"/>
      <c r="Q26" s="191"/>
      <c r="R26" s="174"/>
      <c r="S26" s="163"/>
      <c r="T26" s="136">
        <v>42</v>
      </c>
      <c r="U26" s="137">
        <v>44</v>
      </c>
      <c r="V26" s="146" t="s">
        <v>39</v>
      </c>
    </row>
    <row r="27" spans="1:27" ht="13" x14ac:dyDescent="0.3">
      <c r="A27" s="191"/>
      <c r="B27" s="437" t="s">
        <v>234</v>
      </c>
      <c r="C27" s="276">
        <v>75</v>
      </c>
      <c r="D27" s="205"/>
      <c r="E27" s="196"/>
      <c r="F27" s="435"/>
      <c r="G27" s="444">
        <v>50</v>
      </c>
      <c r="H27" s="204" t="s">
        <v>4</v>
      </c>
      <c r="I27" s="204" t="s">
        <v>263</v>
      </c>
      <c r="J27" s="280" t="s">
        <v>266</v>
      </c>
      <c r="K27" s="267"/>
      <c r="L27" s="191"/>
      <c r="M27" s="191"/>
      <c r="N27" s="191"/>
      <c r="O27" s="191"/>
      <c r="P27" s="191"/>
      <c r="Q27" s="191"/>
      <c r="R27" s="174"/>
      <c r="S27" s="163" t="s">
        <v>8</v>
      </c>
      <c r="T27" s="148">
        <v>67</v>
      </c>
      <c r="U27" s="149">
        <v>69</v>
      </c>
      <c r="V27" s="150" t="s">
        <v>38</v>
      </c>
      <c r="W27" s="24"/>
      <c r="X27" s="24"/>
      <c r="Y27" s="24"/>
    </row>
    <row r="28" spans="1:27" ht="13" x14ac:dyDescent="0.3">
      <c r="A28" s="191"/>
      <c r="B28" s="423" t="s">
        <v>271</v>
      </c>
      <c r="C28" s="276">
        <v>2019</v>
      </c>
      <c r="D28" s="205"/>
      <c r="E28" s="196"/>
      <c r="F28" s="435"/>
      <c r="G28" s="444">
        <v>50</v>
      </c>
      <c r="H28" s="204" t="s">
        <v>260</v>
      </c>
      <c r="I28" s="204" t="s">
        <v>263</v>
      </c>
      <c r="J28" s="280" t="s">
        <v>267</v>
      </c>
      <c r="K28" s="267"/>
      <c r="L28" s="191"/>
      <c r="M28" s="191"/>
      <c r="N28" s="191"/>
      <c r="O28" s="191"/>
      <c r="P28" s="191"/>
      <c r="Q28" s="191"/>
      <c r="R28" s="174"/>
      <c r="S28" s="163"/>
      <c r="T28" s="142">
        <v>68</v>
      </c>
      <c r="U28" s="143">
        <v>70</v>
      </c>
      <c r="V28" s="146" t="s">
        <v>39</v>
      </c>
    </row>
    <row r="29" spans="1:27" ht="13" x14ac:dyDescent="0.3">
      <c r="A29" s="191"/>
      <c r="B29" s="437" t="s">
        <v>272</v>
      </c>
      <c r="C29" s="276">
        <v>1</v>
      </c>
      <c r="D29" s="205"/>
      <c r="E29" s="196"/>
      <c r="F29" s="435"/>
      <c r="G29" s="444">
        <v>50</v>
      </c>
      <c r="H29" s="204" t="s">
        <v>260</v>
      </c>
      <c r="I29" s="204" t="s">
        <v>263</v>
      </c>
      <c r="J29" s="280" t="s">
        <v>267</v>
      </c>
      <c r="K29" s="267"/>
      <c r="L29" s="191"/>
      <c r="M29" s="191"/>
      <c r="N29" s="191"/>
      <c r="O29" s="191"/>
      <c r="P29" s="191"/>
      <c r="Q29" s="191"/>
      <c r="R29" s="174"/>
      <c r="S29" s="163" t="s">
        <v>7</v>
      </c>
      <c r="T29" s="140">
        <v>93</v>
      </c>
      <c r="U29" s="141">
        <v>95</v>
      </c>
      <c r="V29" s="145" t="s">
        <v>38</v>
      </c>
    </row>
    <row r="30" spans="1:27" ht="13" x14ac:dyDescent="0.3">
      <c r="A30" s="191"/>
      <c r="B30" s="437" t="s">
        <v>236</v>
      </c>
      <c r="C30" s="276">
        <v>2088</v>
      </c>
      <c r="D30" s="205"/>
      <c r="E30" s="196"/>
      <c r="F30" s="435"/>
      <c r="G30" s="444">
        <v>60</v>
      </c>
      <c r="H30" s="204" t="s">
        <v>260</v>
      </c>
      <c r="I30" s="204" t="s">
        <v>263</v>
      </c>
      <c r="J30" s="280" t="s">
        <v>267</v>
      </c>
      <c r="K30" s="267"/>
      <c r="L30" s="191"/>
      <c r="M30" s="191"/>
      <c r="N30" s="191"/>
      <c r="O30" s="191"/>
      <c r="P30" s="191"/>
      <c r="Q30" s="191"/>
      <c r="R30" s="174"/>
      <c r="S30" s="153"/>
      <c r="T30" s="142">
        <v>94</v>
      </c>
      <c r="U30" s="143">
        <v>96</v>
      </c>
      <c r="V30" s="146" t="s">
        <v>39</v>
      </c>
    </row>
    <row r="31" spans="1:27" ht="13" x14ac:dyDescent="0.3">
      <c r="A31" s="272"/>
      <c r="B31" s="564" t="s">
        <v>350</v>
      </c>
      <c r="C31" s="276">
        <v>2045</v>
      </c>
      <c r="D31" s="270"/>
      <c r="E31" s="191"/>
      <c r="F31" s="435"/>
      <c r="G31" s="444">
        <v>70</v>
      </c>
      <c r="H31" s="204" t="s">
        <v>260</v>
      </c>
      <c r="I31" s="204" t="s">
        <v>263</v>
      </c>
      <c r="J31" s="280" t="s">
        <v>267</v>
      </c>
      <c r="K31" s="267"/>
      <c r="L31" s="191"/>
      <c r="M31" s="191"/>
      <c r="N31" s="191"/>
      <c r="O31" s="191"/>
      <c r="P31" s="191"/>
      <c r="Q31" s="191"/>
      <c r="R31" s="174"/>
      <c r="S31" s="153"/>
      <c r="T31" s="147" t="s">
        <v>1</v>
      </c>
      <c r="U31" s="147" t="s">
        <v>2</v>
      </c>
    </row>
    <row r="32" spans="1:27" x14ac:dyDescent="0.25">
      <c r="A32" s="191"/>
      <c r="B32" s="564" t="s">
        <v>351</v>
      </c>
      <c r="C32" s="276">
        <v>2065</v>
      </c>
      <c r="D32" s="205"/>
      <c r="E32" s="191"/>
      <c r="F32" s="436"/>
      <c r="G32" s="278"/>
      <c r="H32" s="278"/>
      <c r="I32" s="278"/>
      <c r="J32" s="278"/>
      <c r="K32" s="279"/>
      <c r="L32" s="191"/>
      <c r="M32" s="191"/>
      <c r="N32" s="191"/>
      <c r="O32" s="191"/>
      <c r="P32" s="191"/>
      <c r="Q32" s="191"/>
      <c r="R32" s="174"/>
      <c r="S32" s="153"/>
    </row>
    <row r="33" spans="1:23" x14ac:dyDescent="0.25">
      <c r="A33" s="191"/>
      <c r="B33" s="564" t="s">
        <v>352</v>
      </c>
      <c r="C33" s="277">
        <v>2028</v>
      </c>
      <c r="D33" s="205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74"/>
      <c r="S33" s="77" t="s">
        <v>316</v>
      </c>
      <c r="T33" s="115">
        <v>26</v>
      </c>
      <c r="U33" s="116">
        <v>55</v>
      </c>
      <c r="V33" s="117">
        <v>81</v>
      </c>
    </row>
    <row r="34" spans="1:23" x14ac:dyDescent="0.25">
      <c r="A34" s="191"/>
      <c r="B34" s="457" t="s">
        <v>298</v>
      </c>
      <c r="C34" s="273" t="s">
        <v>222</v>
      </c>
      <c r="D34" s="205"/>
      <c r="E34" s="196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74"/>
      <c r="S34" s="154"/>
      <c r="T34" s="118">
        <v>32</v>
      </c>
      <c r="U34" s="119">
        <v>60</v>
      </c>
      <c r="V34" s="120">
        <v>86</v>
      </c>
    </row>
    <row r="35" spans="1:23" x14ac:dyDescent="0.25">
      <c r="A35" s="191"/>
      <c r="B35" s="421" t="s">
        <v>245</v>
      </c>
      <c r="C35" s="422">
        <v>0.98</v>
      </c>
      <c r="D35" s="205"/>
      <c r="E35" s="196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74"/>
      <c r="S35" s="153"/>
      <c r="T35" s="118">
        <v>33</v>
      </c>
      <c r="U35" s="119">
        <v>61</v>
      </c>
      <c r="V35" s="120">
        <v>87</v>
      </c>
    </row>
    <row r="36" spans="1:23" x14ac:dyDescent="0.25">
      <c r="A36" s="191"/>
      <c r="B36" s="423" t="s">
        <v>246</v>
      </c>
      <c r="C36" s="276">
        <v>0.99</v>
      </c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74"/>
      <c r="S36" s="153"/>
      <c r="T36" s="148"/>
      <c r="U36" s="149"/>
      <c r="V36" s="166"/>
    </row>
    <row r="37" spans="1:23" x14ac:dyDescent="0.25">
      <c r="A37" s="191"/>
      <c r="B37" s="423" t="s">
        <v>247</v>
      </c>
      <c r="C37" s="276">
        <v>1</v>
      </c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74"/>
      <c r="S37" s="153"/>
      <c r="T37" s="142"/>
      <c r="U37" s="143"/>
      <c r="V37" s="144"/>
    </row>
    <row r="38" spans="1:23" x14ac:dyDescent="0.25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74"/>
      <c r="S38" s="153"/>
      <c r="T38" s="24"/>
      <c r="U38" s="24"/>
      <c r="V38" s="24"/>
    </row>
    <row r="39" spans="1:23" x14ac:dyDescent="0.25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74"/>
      <c r="S39" s="153"/>
      <c r="T39" s="24"/>
      <c r="U39" s="24"/>
      <c r="V39" s="24"/>
    </row>
    <row r="40" spans="1:23" x14ac:dyDescent="0.25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74"/>
      <c r="S40" s="77" t="s">
        <v>308</v>
      </c>
      <c r="T40" s="139">
        <v>12</v>
      </c>
      <c r="U40" s="24"/>
      <c r="V40" s="24"/>
      <c r="W40" s="24"/>
    </row>
    <row r="41" spans="1:23" x14ac:dyDescent="0.25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74"/>
      <c r="S41" s="153"/>
    </row>
    <row r="42" spans="1:23" x14ac:dyDescent="0.25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74"/>
      <c r="S42" s="153"/>
    </row>
    <row r="43" spans="1:23" ht="25" x14ac:dyDescent="0.5">
      <c r="A43" s="461" t="s">
        <v>224</v>
      </c>
      <c r="B43" s="228"/>
      <c r="C43" s="228"/>
      <c r="D43" s="228"/>
      <c r="E43" s="228"/>
      <c r="F43" s="228"/>
      <c r="G43" s="228"/>
      <c r="H43" s="228"/>
      <c r="I43" s="284"/>
      <c r="J43" s="228"/>
      <c r="K43" s="228"/>
      <c r="L43" s="228"/>
      <c r="M43" s="228"/>
      <c r="N43" s="228"/>
      <c r="O43" s="228"/>
      <c r="P43" s="228"/>
      <c r="Q43" s="228"/>
      <c r="R43" s="174"/>
      <c r="S43" s="153"/>
    </row>
    <row r="44" spans="1:23" x14ac:dyDescent="0.25">
      <c r="A44" s="218"/>
      <c r="B44" s="218"/>
      <c r="C44" s="232"/>
      <c r="D44" s="218"/>
      <c r="E44" s="218"/>
      <c r="F44" s="218"/>
      <c r="G44" s="218"/>
      <c r="H44" s="218"/>
      <c r="I44" s="285"/>
      <c r="J44" s="218"/>
      <c r="K44" s="218"/>
      <c r="L44" s="218"/>
      <c r="M44" s="218"/>
      <c r="N44" s="218"/>
      <c r="O44" s="218"/>
      <c r="P44" s="218"/>
      <c r="Q44" s="218"/>
      <c r="R44" s="174"/>
      <c r="S44" s="169" t="s">
        <v>317</v>
      </c>
      <c r="T44" s="168">
        <v>96</v>
      </c>
    </row>
    <row r="45" spans="1:23" x14ac:dyDescent="0.25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174"/>
      <c r="S45" s="170" t="s">
        <v>318</v>
      </c>
      <c r="T45" s="167">
        <f>VLOOKUP($T$8,'Matris - Nod'!$G$15:$CX$350,U30,FALSE)</f>
        <v>0.15</v>
      </c>
    </row>
    <row r="46" spans="1:23" x14ac:dyDescent="0.25">
      <c r="A46" s="218"/>
      <c r="B46" s="236" t="str">
        <f>"Avser år "&amp;C28&amp;", för motorfordon, fotgängare och cyklister är inkommande ÅDT "&amp;C23+C24+C25&amp;", "&amp;C26&amp;", "&amp;C27&amp;", trafikökningsfaktorn "&amp;C29&amp;" och med systemeffekter för D, SS och LS per år från 2010"</f>
        <v>Avser år 2019, för motorfordon, fotgängare och cyklister är inkommande ÅDT 4500, 20, 75, trafikökningsfaktorn 1 och med systemeffekter för D, SS och LS per år från 2010</v>
      </c>
      <c r="C46" s="291"/>
      <c r="D46" s="291"/>
      <c r="E46" s="291"/>
      <c r="F46" s="291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174"/>
    </row>
    <row r="47" spans="1:23" x14ac:dyDescent="0.25">
      <c r="A47" s="218"/>
      <c r="B47" s="248"/>
      <c r="C47" s="291"/>
      <c r="D47" s="291"/>
      <c r="E47" s="291"/>
      <c r="F47" s="291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174"/>
    </row>
    <row r="48" spans="1:23" x14ac:dyDescent="0.25">
      <c r="A48" s="218"/>
      <c r="B48" s="238" t="str">
        <f>"Antal dödade och skadade år "&amp;C28&amp;" exklusive bortfall"</f>
        <v>Antal dödade och skadade år 2019 exklusive bortfall</v>
      </c>
      <c r="C48" s="237"/>
      <c r="D48" s="248"/>
      <c r="E48" s="248"/>
      <c r="F48" s="248"/>
      <c r="G48" s="218"/>
      <c r="H48" s="232"/>
      <c r="I48" s="285"/>
      <c r="J48" s="218"/>
      <c r="K48" s="218"/>
      <c r="L48" s="218"/>
      <c r="M48" s="218"/>
      <c r="N48" s="218"/>
      <c r="O48" s="218"/>
      <c r="P48" s="218"/>
      <c r="Q48" s="218"/>
      <c r="R48" s="174"/>
    </row>
    <row r="49" spans="1:25" x14ac:dyDescent="0.25">
      <c r="A49" s="218"/>
      <c r="B49" s="238"/>
      <c r="C49" s="239" t="s">
        <v>315</v>
      </c>
      <c r="D49" s="239" t="s">
        <v>8</v>
      </c>
      <c r="E49" s="239" t="s">
        <v>7</v>
      </c>
      <c r="F49" s="239" t="s">
        <v>158</v>
      </c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174"/>
    </row>
    <row r="50" spans="1:25" x14ac:dyDescent="0.25">
      <c r="A50" s="218"/>
      <c r="B50" s="427" t="s">
        <v>240</v>
      </c>
      <c r="C50" s="558">
        <f>VLOOKUP($T$8,'Matris - Nod'!$G$15:$CX$350,T22,FALSE)*(C29*C35)^(C28-2010)</f>
        <v>5.2804097561458881E-4</v>
      </c>
      <c r="D50" s="558">
        <f>VLOOKUP($T$8,'Matris - Nod'!$G$15:$CX$350,U22,FALSE)*(C29*C35)^(C28-2010)</f>
        <v>2.9687728592620515E-4</v>
      </c>
      <c r="E50" s="558">
        <f>VLOOKUP($T$8,'Matris - Nod'!$G$15:$CX$350,V22,FALSE)*(C29*C35)^(C28-2010)</f>
        <v>4.9167465383077218E-4</v>
      </c>
      <c r="F50" s="558">
        <f>SUM(C50:E50)</f>
        <v>1.3165929153715662E-3</v>
      </c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174"/>
    </row>
    <row r="51" spans="1:25" x14ac:dyDescent="0.25">
      <c r="A51" s="218"/>
      <c r="B51" s="428" t="s">
        <v>241</v>
      </c>
      <c r="C51" s="360">
        <f>VLOOKUP($T$8,'Matris - Nod'!$G$15:$CX$350,T23,FALSE)*(C29*C36)^(C28-2010)</f>
        <v>1.6876151569924891E-2</v>
      </c>
      <c r="D51" s="360">
        <f>VLOOKUP($T$8,'Matris - Nod'!$G$15:$CX$350,U23,FALSE)*(C29*C36)^(C28-2010)</f>
        <v>1.4369883164178732E-3</v>
      </c>
      <c r="E51" s="360">
        <f>VLOOKUP($T$8,'Matris - Nod'!$G$15:$CX$350,V23,FALSE)*(C29*C36)^(C28-2010)</f>
        <v>3.6010989995571884E-3</v>
      </c>
      <c r="F51" s="360">
        <f>SUM(C51:E51)</f>
        <v>2.1914238885899953E-2</v>
      </c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174"/>
    </row>
    <row r="52" spans="1:25" x14ac:dyDescent="0.25">
      <c r="A52" s="218"/>
      <c r="B52" s="428" t="s">
        <v>242</v>
      </c>
      <c r="C52" s="360">
        <f>VLOOKUP($T$8,'Matris - Nod'!$G$15:$CX$350,T24,FALSE)*(C29*C37)^(C28-2010)</f>
        <v>6.9504112530064707E-2</v>
      </c>
      <c r="D52" s="360">
        <f>VLOOKUP($T$8,'Matris - Nod'!$G$15:$CX$350,U24,FALSE)*(C29*C37)^(C28-2010)</f>
        <v>1.4721276257553735E-3</v>
      </c>
      <c r="E52" s="360">
        <f>VLOOKUP($T$8,'Matris - Nod'!$G$15:$CX$350,V24,FALSE)*(C29*C37)^(C28-2010)</f>
        <v>1.5963611988578746E-2</v>
      </c>
      <c r="F52" s="360">
        <f t="shared" ref="F52:F54" si="0">SUM(C52:E52)</f>
        <v>8.6939852144398824E-2</v>
      </c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174"/>
    </row>
    <row r="53" spans="1:25" x14ac:dyDescent="0.25">
      <c r="A53" s="218"/>
      <c r="B53" s="428" t="s">
        <v>243</v>
      </c>
      <c r="C53" s="360">
        <f>VLOOKUP($T$8,'Matris - Nod'!$G$15:$CX$350,T25,FALSE)*C51+VLOOKUP($T$8,'Matris - Nod'!$G$15:$CX$350,U25,FALSE)*C52</f>
        <v>2.4492807870058319E-3</v>
      </c>
      <c r="D53" s="360">
        <f>VLOOKUP($T$8,'Matris - Nod'!$G$15:$CX$350,T27,FALSE)*D51+VLOOKUP($T$8,'Matris - Nod'!$G$15:$CX$350,U27,FALSE)*D52</f>
        <v>2.1348247494460773E-4</v>
      </c>
      <c r="E53" s="360">
        <f>VLOOKUP($T$8,'Matris - Nod'!$G$15:$CX$350,T29,FALSE)*E51+VLOOKUP($T$8,'Matris - Nod'!$G$15:$CX$350,U29,FALSE)*E52</f>
        <v>6.9534575171587248E-4</v>
      </c>
      <c r="F53" s="360">
        <f>SUM(C53:E53)</f>
        <v>3.3581090136663118E-3</v>
      </c>
      <c r="G53" s="286"/>
      <c r="H53" s="286"/>
      <c r="I53" s="218"/>
      <c r="J53" s="218"/>
      <c r="K53" s="218"/>
      <c r="L53" s="218"/>
      <c r="M53" s="218"/>
      <c r="N53" s="218"/>
      <c r="O53" s="218"/>
      <c r="P53" s="218"/>
      <c r="Q53" s="218"/>
      <c r="R53" s="174"/>
    </row>
    <row r="54" spans="1:25" x14ac:dyDescent="0.25">
      <c r="A54" s="218"/>
      <c r="B54" s="428" t="s">
        <v>244</v>
      </c>
      <c r="C54" s="360">
        <f>VLOOKUP($T$8,'Matris - Nod'!$G$15:$CX$350,T26,FALSE)*C51+VLOOKUP($T$8,'Matris - Nod'!$G$15:$CX$350,U26,FALSE)*C52</f>
        <v>1.3760857068487384E-2</v>
      </c>
      <c r="D54" s="360">
        <f>VLOOKUP($T$8,'Matris - Nod'!$G$15:$CX$350,T28,FALSE)*D51+VLOOKUP($T$8,'Matris - Nod'!$G$15:$CX$350,U28,FALSE)*D52</f>
        <v>8.9796061804658142E-4</v>
      </c>
      <c r="E54" s="360">
        <f>VLOOKUP($T$8,'Matris - Nod'!$G$15:$CX$350,T30,FALSE)*E51+VLOOKUP($T$8,'Matris - Nod'!$G$15:$CX$350,U30,FALSE)*E52</f>
        <v>3.798970408114115E-3</v>
      </c>
      <c r="F54" s="360">
        <f t="shared" si="0"/>
        <v>1.845778809464808E-2</v>
      </c>
      <c r="G54" s="218"/>
      <c r="H54" s="287"/>
      <c r="I54" s="218"/>
      <c r="J54" s="218"/>
      <c r="K54" s="218"/>
      <c r="L54" s="218"/>
      <c r="M54" s="218"/>
      <c r="N54" s="218"/>
      <c r="O54" s="218"/>
      <c r="P54" s="218"/>
      <c r="Q54" s="218"/>
      <c r="R54" s="174"/>
    </row>
    <row r="55" spans="1:25" x14ac:dyDescent="0.25">
      <c r="A55" s="218"/>
      <c r="B55" s="229"/>
      <c r="C55" s="560"/>
      <c r="D55" s="286"/>
      <c r="E55" s="286"/>
      <c r="F55" s="286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174"/>
    </row>
    <row r="56" spans="1:25" x14ac:dyDescent="0.25">
      <c r="A56" s="218"/>
      <c r="B56" s="238" t="str">
        <f>"Antal dödade och skadade år "&amp;C28&amp;" inklusive bortfall"</f>
        <v>Antal dödade och skadade år 2019 inklusive bortfall</v>
      </c>
      <c r="C56" s="561"/>
      <c r="D56" s="562"/>
      <c r="E56" s="562"/>
      <c r="F56" s="562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174"/>
    </row>
    <row r="57" spans="1:25" x14ac:dyDescent="0.25">
      <c r="A57" s="218"/>
      <c r="B57" s="238"/>
      <c r="C57" s="563" t="s">
        <v>315</v>
      </c>
      <c r="D57" s="563" t="s">
        <v>8</v>
      </c>
      <c r="E57" s="563" t="s">
        <v>7</v>
      </c>
      <c r="F57" s="563" t="s">
        <v>158</v>
      </c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174"/>
    </row>
    <row r="58" spans="1:25" x14ac:dyDescent="0.25">
      <c r="A58" s="218"/>
      <c r="B58" s="427" t="s">
        <v>240</v>
      </c>
      <c r="C58" s="558">
        <f>VLOOKUP($T$8,'Matris - Nod'!$G$15:$CX$350,T33,FALSE)*(C29*C35)^(C28-2010)</f>
        <v>5.2804097561458881E-4</v>
      </c>
      <c r="D58" s="558">
        <f>VLOOKUP($T$8,'Matris - Nod'!$G$15:$CX$350,U33,FALSE)*(C29*C35)^(C28-2010)</f>
        <v>2.9687728592620515E-4</v>
      </c>
      <c r="E58" s="558">
        <f>VLOOKUP($T$8,'Matris - Nod'!$G$15:$CX$350,V33,FALSE)*(C29*C35)^(C28-2010)</f>
        <v>4.9167465383077218E-4</v>
      </c>
      <c r="F58" s="558">
        <f>SUM(C58:E58)</f>
        <v>1.3165929153715662E-3</v>
      </c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174"/>
    </row>
    <row r="59" spans="1:25" x14ac:dyDescent="0.25">
      <c r="A59" s="218"/>
      <c r="B59" s="428" t="s">
        <v>241</v>
      </c>
      <c r="C59" s="360">
        <f>VLOOKUP($T$8,'Matris - Nod'!$G$15:$CX$350,T34,FALSE)*(C29*C36)^(C28-2010)</f>
        <v>2.5314227354887336E-2</v>
      </c>
      <c r="D59" s="360">
        <f>VLOOKUP($T$8,'Matris - Nod'!$G$15:$CX$350,U34,FALSE)*(C29*C36)^(C28-2010)</f>
        <v>2.1554824746268099E-3</v>
      </c>
      <c r="E59" s="360">
        <f>VLOOKUP($T$8,'Matris - Nod'!$G$15:$CX$350,V34,FALSE)*(C29*C36)^(C28-2010)</f>
        <v>5.4016484993357821E-3</v>
      </c>
      <c r="F59" s="360">
        <f t="shared" ref="F59:F61" si="1">SUM(C59:E59)</f>
        <v>3.287135832884993E-2</v>
      </c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174"/>
    </row>
    <row r="60" spans="1:25" x14ac:dyDescent="0.25">
      <c r="A60" s="218"/>
      <c r="B60" s="428" t="s">
        <v>242</v>
      </c>
      <c r="C60" s="360">
        <f>VLOOKUP($T$8,'Matris - Nod'!$G$15:$CX$350,T35,FALSE)*(C29*C37)^(C28-2010)</f>
        <v>0.10425616879509705</v>
      </c>
      <c r="D60" s="360">
        <f>VLOOKUP($T$8,'Matris - Nod'!$G$15:$CX$350,U35,FALSE)*(C29*C37)^(C28-2010)</f>
        <v>2.2081914386330604E-3</v>
      </c>
      <c r="E60" s="360">
        <f>VLOOKUP($T$8,'Matris - Nod'!$G$15:$CX$350,V35,FALSE)*(C29*C37)^(C28-2010)</f>
        <v>2.3945417982868117E-2</v>
      </c>
      <c r="F60" s="360">
        <f t="shared" si="1"/>
        <v>0.13040977821659822</v>
      </c>
      <c r="G60" s="218"/>
      <c r="H60" s="286"/>
      <c r="I60" s="218"/>
      <c r="J60" s="218"/>
      <c r="K60" s="218"/>
      <c r="L60" s="218"/>
      <c r="M60" s="218"/>
      <c r="N60" s="218"/>
      <c r="O60" s="218"/>
      <c r="P60" s="218"/>
      <c r="Q60" s="218"/>
      <c r="R60" s="174"/>
    </row>
    <row r="61" spans="1:25" x14ac:dyDescent="0.25">
      <c r="A61" s="218"/>
      <c r="B61" s="428" t="s">
        <v>243</v>
      </c>
      <c r="C61" s="360">
        <f>VLOOKUP($T$8,'Matris - Nod'!$G$15:$CX$350,T25,FALSE)*C59+VLOOKUP($T$8,'Matris - Nod'!$G$15:$CX$350,U25,FALSE)*C60</f>
        <v>3.6739211805087478E-3</v>
      </c>
      <c r="D61" s="360">
        <f>VLOOKUP($T$8,'Matris - Nod'!$G$15:$CX$350,T27,FALSE)*D59+VLOOKUP($T$8,'Matris - Nod'!$G$15:$CX$350,U27,FALSE)*D60</f>
        <v>3.2022371241691161E-4</v>
      </c>
      <c r="E61" s="360">
        <f>VLOOKUP($T$8,'Matris - Nod'!$G$15:$CX$350,T29,FALSE)*E59+VLOOKUP($T$8,'Matris - Nod'!$G$15:$CX$350,U29,FALSE)*E60</f>
        <v>1.0430186275738086E-3</v>
      </c>
      <c r="F61" s="360">
        <f t="shared" si="1"/>
        <v>5.0371635204994681E-3</v>
      </c>
      <c r="G61" s="218"/>
      <c r="H61" s="287"/>
      <c r="I61" s="218"/>
      <c r="J61" s="218"/>
      <c r="K61" s="218"/>
      <c r="L61" s="218"/>
      <c r="M61" s="218"/>
      <c r="N61" s="218"/>
      <c r="O61" s="218"/>
      <c r="P61" s="218"/>
      <c r="Q61" s="218"/>
      <c r="R61" s="174"/>
    </row>
    <row r="62" spans="1:25" x14ac:dyDescent="0.25">
      <c r="A62" s="218"/>
      <c r="B62" s="428" t="s">
        <v>244</v>
      </c>
      <c r="C62" s="360">
        <f>VLOOKUP($T$8,'Matris - Nod'!$G$15:$CX$350,T26,FALSE)*C59+VLOOKUP($T$8,'Matris - Nod'!$G$15:$CX$350,U26,FALSE)*C60</f>
        <v>2.0641285602731072E-2</v>
      </c>
      <c r="D62" s="360">
        <f>VLOOKUP($T$8,'Matris - Nod'!$G$15:$CX$350,T28,FALSE)*D59+VLOOKUP($T$8,'Matris - Nod'!$G$15:$CX$350,U28,FALSE)*D60</f>
        <v>1.3469409270698723E-3</v>
      </c>
      <c r="E62" s="360">
        <f>VLOOKUP($T$8,'Matris - Nod'!$G$15:$CX$350,T30,FALSE)*E59+VLOOKUP($T$8,'Matris - Nod'!$G$15:$CX$350,U30,FALSE)*E60</f>
        <v>5.698455612171173E-3</v>
      </c>
      <c r="F62" s="360">
        <f>SUM(C62:E62)</f>
        <v>2.7686682141972119E-2</v>
      </c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174"/>
    </row>
    <row r="63" spans="1:25" x14ac:dyDescent="0.25">
      <c r="A63" s="218"/>
      <c r="B63" s="218"/>
      <c r="C63" s="287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174"/>
    </row>
    <row r="64" spans="1:25" x14ac:dyDescent="0.25">
      <c r="A64" s="235"/>
      <c r="B64" s="235"/>
      <c r="C64" s="235"/>
      <c r="D64" s="235"/>
      <c r="E64" s="235"/>
      <c r="F64" s="235"/>
      <c r="G64" s="235"/>
      <c r="H64" s="235"/>
      <c r="I64" s="288"/>
      <c r="J64" s="235"/>
      <c r="K64" s="235"/>
      <c r="L64" s="235"/>
      <c r="M64" s="235"/>
      <c r="N64" s="235"/>
      <c r="O64" s="235"/>
      <c r="P64" s="235"/>
      <c r="Q64" s="235"/>
      <c r="R64" s="175"/>
      <c r="S64" s="24"/>
      <c r="T64" s="24"/>
      <c r="U64" s="24"/>
      <c r="V64" s="24"/>
      <c r="W64" s="24"/>
      <c r="X64" s="24"/>
      <c r="Y64" s="24"/>
    </row>
    <row r="65" spans="1:26" hidden="1" x14ac:dyDescent="0.25">
      <c r="A65" s="180" t="s">
        <v>330</v>
      </c>
      <c r="B65" s="98"/>
      <c r="C65" s="188"/>
      <c r="D65" s="98"/>
      <c r="E65" s="98"/>
      <c r="F65" s="98"/>
      <c r="G65" s="9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175"/>
      <c r="S65" s="24"/>
      <c r="T65" s="24"/>
      <c r="U65" s="24"/>
      <c r="V65" s="24"/>
      <c r="W65" s="24"/>
      <c r="X65" s="24"/>
      <c r="Y65" s="24"/>
    </row>
    <row r="66" spans="1:26" hidden="1" x14ac:dyDescent="0.25">
      <c r="A66" s="181"/>
      <c r="B66" s="88" t="str">
        <f>"Antal skadade år "&amp;C34&amp;" inklusive kompensation för bortfall"</f>
        <v>Antal skadade år Ange tal inklusive kompensation för bortfall</v>
      </c>
      <c r="C66" s="92"/>
      <c r="D66" s="92"/>
      <c r="E66" s="92"/>
      <c r="F66" s="92"/>
      <c r="G66" s="92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175"/>
      <c r="S66" s="24"/>
      <c r="T66" s="24"/>
      <c r="U66" s="24"/>
      <c r="V66" s="24"/>
      <c r="W66" s="24"/>
      <c r="X66" s="24"/>
      <c r="Y66" s="24"/>
    </row>
    <row r="67" spans="1:26" hidden="1" x14ac:dyDescent="0.25">
      <c r="A67" s="182"/>
      <c r="B67" s="86"/>
      <c r="C67" s="89" t="s">
        <v>315</v>
      </c>
      <c r="D67" s="89" t="s">
        <v>8</v>
      </c>
      <c r="E67" s="89" t="s">
        <v>7</v>
      </c>
      <c r="F67" s="89" t="s">
        <v>158</v>
      </c>
      <c r="G67" s="86"/>
      <c r="H67" s="286"/>
      <c r="I67" s="218"/>
      <c r="J67" s="218"/>
      <c r="K67" s="218"/>
      <c r="L67" s="218"/>
      <c r="M67" s="218"/>
      <c r="N67" s="218"/>
      <c r="O67" s="218"/>
      <c r="P67" s="218"/>
      <c r="Q67" s="218"/>
      <c r="R67" s="175"/>
      <c r="S67" s="24"/>
      <c r="T67" s="24"/>
      <c r="U67" s="24"/>
      <c r="V67" s="24"/>
      <c r="W67" s="24"/>
      <c r="X67" s="24"/>
      <c r="Y67" s="24"/>
    </row>
    <row r="68" spans="1:26" hidden="1" x14ac:dyDescent="0.25">
      <c r="A68" s="182"/>
      <c r="B68" s="65" t="s">
        <v>322</v>
      </c>
      <c r="C68" s="190">
        <f>VLOOKUP($T$8,'Matris - Nod'!$G$15:$CX$350,T26,FALSE)*C59+VLOOKUP($T$8,'Matris - Nod'!$G$15:$CX$350,U26,FALSE)*C60-(VLOOKUP($T$8,'Matris - Nod'!$G$15:$CX$350,T25,FALSE)*C59+VLOOKUP($T$8,'Matris - Nod'!$G$15:$CX$350,U25,FALSE)*C60)</f>
        <v>1.6967364422222325E-2</v>
      </c>
      <c r="D68" s="190">
        <f>VLOOKUP($T$8,'Matris - Nod'!$G$15:$CX$350,T28,FALSE)*D59+VLOOKUP($T$8,'Matris - Nod'!$G$15:$CX$350,U28,FALSE)*D60-(VLOOKUP($T$8,'Matris - Nod'!$G$15:$CX$350,T27,FALSE)*D59+VLOOKUP($T$8,'Matris - Nod'!$G$15:$CX$350,U27,FALSE)*D60)</f>
        <v>1.0267172146529607E-3</v>
      </c>
      <c r="E68" s="190">
        <f>VLOOKUP($T$8,'Matris - Nod'!$G$15:$CX$350,T30,FALSE)*E59+VLOOKUP($T$8,'Matris - Nod'!$G$15:$CX$350,U30,FALSE)*E60-(VLOOKUP($T$8,'Matris - Nod'!$G$15:$CX$350,T29,FALSE)*E59+VLOOKUP($T$8,'Matris - Nod'!$G$15:$CX$350,U29,FALSE)*E60)</f>
        <v>4.6554369845973644E-3</v>
      </c>
      <c r="F68" s="190">
        <f>SUM(C68:E68)</f>
        <v>2.2649518621472652E-2</v>
      </c>
      <c r="G68" s="86"/>
      <c r="H68" s="287"/>
      <c r="I68" s="218"/>
      <c r="J68" s="218"/>
      <c r="K68" s="218"/>
      <c r="L68" s="218"/>
      <c r="M68" s="218"/>
      <c r="N68" s="218"/>
      <c r="O68" s="218"/>
      <c r="P68" s="218"/>
      <c r="Q68" s="218"/>
      <c r="R68" s="175"/>
      <c r="S68" s="24"/>
      <c r="T68" s="24"/>
      <c r="U68" s="24"/>
      <c r="V68" s="24"/>
      <c r="W68" s="24"/>
      <c r="X68" s="24"/>
      <c r="Y68" s="24"/>
    </row>
    <row r="69" spans="1:26" hidden="1" x14ac:dyDescent="0.25">
      <c r="A69" s="182"/>
      <c r="B69" s="65" t="s">
        <v>328</v>
      </c>
      <c r="C69" s="190">
        <f>(1-VLOOKUP($T$8,'Matris - Nod'!$G$15:$CX$350,T26,FALSE))*C59+(1-VLOOKUP($T$8,'Matris - Nod'!$G$15:$CX$350,U26,FALSE))*C60</f>
        <v>0.10892911054725332</v>
      </c>
      <c r="D69" s="190">
        <f>(1-VLOOKUP($T$8,'Matris - Nod'!$G$15:$CX$350,T26,FALSE))*D59+(1-VLOOKUP($T$8,'Matris - Nod'!$G$15:$CX$350,U26,FALSE))*D60</f>
        <v>3.4730739333420652E-3</v>
      </c>
      <c r="E69" s="190">
        <f>(1-VLOOKUP($T$8,'Matris - Nod'!$G$15:$CX$350,T26,FALSE))*E59+(1-VLOOKUP($T$8,'Matris - Nod'!$G$15:$CX$350,U26,FALSE))*E60</f>
        <v>2.4721700564617026E-2</v>
      </c>
      <c r="F69" s="190">
        <f>SUM(C69:E69)</f>
        <v>0.13712388504521242</v>
      </c>
      <c r="G69" s="86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175"/>
      <c r="S69" s="24"/>
      <c r="T69" s="24"/>
      <c r="U69" s="24"/>
      <c r="V69" s="24"/>
      <c r="W69" s="24"/>
      <c r="X69" s="24"/>
      <c r="Y69" s="24"/>
    </row>
    <row r="70" spans="1:26" hidden="1" x14ac:dyDescent="0.25">
      <c r="A70" s="182"/>
      <c r="B70" s="92"/>
      <c r="C70" s="187"/>
      <c r="D70" s="92"/>
      <c r="E70" s="92"/>
      <c r="F70" s="92"/>
      <c r="G70" s="92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175"/>
      <c r="S70" s="24"/>
      <c r="T70" s="24"/>
      <c r="U70" s="24"/>
      <c r="V70" s="24"/>
      <c r="W70" s="24"/>
      <c r="X70" s="24"/>
      <c r="Y70" s="24"/>
    </row>
    <row r="71" spans="1:26" hidden="1" x14ac:dyDescent="0.25">
      <c r="A71" s="183"/>
      <c r="B71" s="127"/>
      <c r="C71" s="538"/>
      <c r="D71" s="127"/>
      <c r="E71" s="127"/>
      <c r="F71" s="127"/>
      <c r="G71" s="127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175"/>
      <c r="S71" s="24"/>
      <c r="T71" s="24"/>
      <c r="U71" s="24"/>
      <c r="V71" s="24"/>
      <c r="W71" s="24"/>
      <c r="X71" s="24"/>
      <c r="Y71" s="24"/>
      <c r="Z71" s="24"/>
    </row>
    <row r="72" spans="1:26" hidden="1" x14ac:dyDescent="0.25">
      <c r="A72" s="530"/>
      <c r="B72" s="546"/>
      <c r="C72" s="547"/>
      <c r="D72" s="547"/>
      <c r="E72" s="547"/>
      <c r="F72" s="547"/>
      <c r="G72" s="547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175"/>
      <c r="S72" s="24"/>
      <c r="T72" s="24"/>
      <c r="U72" s="24"/>
      <c r="V72" s="24"/>
      <c r="W72" s="24"/>
      <c r="X72" s="24"/>
      <c r="Y72" s="24"/>
      <c r="Z72" s="24"/>
    </row>
    <row r="73" spans="1:26" hidden="1" x14ac:dyDescent="0.25">
      <c r="A73" s="548" t="s">
        <v>330</v>
      </c>
      <c r="B73" s="529" t="str">
        <f>"Antal skadade år "&amp;2028&amp;" (diskonteringsåret) inklusive kompensation för bortfall"</f>
        <v>Antal skadade år 2028 (diskonteringsåret) inklusive kompensation för bortfall</v>
      </c>
      <c r="C73" s="528"/>
      <c r="D73" s="529"/>
      <c r="E73" s="528"/>
      <c r="F73" s="527"/>
      <c r="G73" s="527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175"/>
      <c r="S73" s="24"/>
      <c r="T73" s="24"/>
      <c r="U73" s="24"/>
      <c r="V73" s="24"/>
      <c r="W73" s="24"/>
      <c r="X73" s="24"/>
      <c r="Y73" s="24"/>
      <c r="Z73" s="24"/>
    </row>
    <row r="74" spans="1:26" hidden="1" x14ac:dyDescent="0.25">
      <c r="A74" s="530"/>
      <c r="B74" s="529"/>
      <c r="C74" s="549" t="s">
        <v>315</v>
      </c>
      <c r="D74" s="549" t="s">
        <v>8</v>
      </c>
      <c r="E74" s="549" t="s">
        <v>7</v>
      </c>
      <c r="F74" s="549" t="s">
        <v>158</v>
      </c>
      <c r="G74" s="527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175"/>
      <c r="S74" s="24"/>
      <c r="T74" s="24"/>
      <c r="U74" s="24"/>
      <c r="V74" s="24"/>
      <c r="W74" s="24"/>
      <c r="X74" s="24"/>
      <c r="Y74" s="24"/>
      <c r="Z74" s="24"/>
    </row>
    <row r="75" spans="1:26" hidden="1" x14ac:dyDescent="0.25">
      <c r="A75" s="530"/>
      <c r="B75" s="543" t="s">
        <v>240</v>
      </c>
      <c r="C75" s="360">
        <f>VLOOKUP($T$8,'Matris - Nod'!$G$15:$CX$350,T33,FALSE)*(C29*C35)^(C33-2010)</f>
        <v>4.4025298173168436E-4</v>
      </c>
      <c r="D75" s="360">
        <f>VLOOKUP($T$8,'Matris - Nod'!$G$15:$CX$350,U33,FALSE)*(C29*C35)^(C33-2010)</f>
        <v>2.4752077276824608E-4</v>
      </c>
      <c r="E75" s="360">
        <f>VLOOKUP($T$8,'Matris - Nod'!$G$15:$CX$350,V33,FALSE)*(C29*C35)^(C33-2010)</f>
        <v>4.0993264232752228E-4</v>
      </c>
      <c r="F75" s="190">
        <f>SUM(C75:E75)</f>
        <v>1.0977063968274528E-3</v>
      </c>
      <c r="G75" s="527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175"/>
      <c r="S75" s="24"/>
      <c r="T75" s="24"/>
      <c r="U75" s="24"/>
      <c r="V75" s="24"/>
      <c r="W75" s="24"/>
      <c r="X75" s="24"/>
      <c r="Y75" s="24"/>
      <c r="Z75" s="24"/>
    </row>
    <row r="76" spans="1:26" hidden="1" x14ac:dyDescent="0.25">
      <c r="A76" s="530"/>
      <c r="B76" s="543" t="s">
        <v>241</v>
      </c>
      <c r="C76" s="360">
        <f>VLOOKUP($T$8,'Matris - Nod'!$G$15:$CX$350,T34,FALSE)*(C29*C36)^(C33-2010)</f>
        <v>2.3124983295411766E-2</v>
      </c>
      <c r="D76" s="360">
        <f>VLOOKUP($T$8,'Matris - Nod'!$G$15:$CX$350,U34,FALSE)*(C29*C36)^(C33-2010)</f>
        <v>1.9690704172203098E-3</v>
      </c>
      <c r="E76" s="360">
        <f>VLOOKUP($T$8,'Matris - Nod'!$G$15:$CX$350,V34,FALSE)*(C29*C36)^(C33-2010)</f>
        <v>4.9344990689873629E-3</v>
      </c>
      <c r="F76" s="360">
        <f>SUM(C76:E76)</f>
        <v>3.0028552781619439E-2</v>
      </c>
      <c r="G76" s="527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175"/>
      <c r="S76" s="24"/>
      <c r="T76" s="24"/>
      <c r="U76" s="24"/>
      <c r="V76" s="24"/>
      <c r="W76" s="24"/>
      <c r="X76" s="24"/>
      <c r="Y76" s="24"/>
      <c r="Z76" s="24"/>
    </row>
    <row r="77" spans="1:26" hidden="1" x14ac:dyDescent="0.25">
      <c r="A77" s="530"/>
      <c r="B77" s="543" t="s">
        <v>242</v>
      </c>
      <c r="C77" s="360">
        <f>VLOOKUP($T$8,'Matris - Nod'!$G$15:$CX$350,T35,FALSE)*(C29*C37)^(C33-2010)</f>
        <v>0.10425616879509705</v>
      </c>
      <c r="D77" s="360">
        <f>VLOOKUP($T$8,'Matris - Nod'!$G$15:$CX$350,U35,FALSE)*(C29*C37)^(C33-2010)</f>
        <v>2.2081914386330604E-3</v>
      </c>
      <c r="E77" s="360">
        <f>VLOOKUP($T$8,'Matris - Nod'!$G$15:$CX$350,V35,FALSE)*(C29*C37)^(C33-2010)</f>
        <v>2.3945417982868117E-2</v>
      </c>
      <c r="F77" s="360">
        <f t="shared" ref="F77" si="2">SUM(C77:E77)</f>
        <v>0.13040977821659822</v>
      </c>
      <c r="G77" s="527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175"/>
      <c r="S77" s="24"/>
      <c r="T77" s="24"/>
      <c r="U77" s="24"/>
      <c r="V77" s="24"/>
      <c r="W77" s="24"/>
      <c r="X77" s="24"/>
      <c r="Y77" s="24"/>
      <c r="Z77" s="24"/>
    </row>
    <row r="78" spans="1:26" hidden="1" x14ac:dyDescent="0.25">
      <c r="A78" s="530"/>
      <c r="B78" s="543" t="s">
        <v>243</v>
      </c>
      <c r="C78" s="360">
        <f>VLOOKUP($T$8,'Matris - Nod'!$G$15:$CX$350,T25,FALSE)*C76+VLOOKUP($T$8,'Matris - Nod'!$G$15:$CX$350,U25,FALSE)*C77</f>
        <v>3.5184848522859819E-3</v>
      </c>
      <c r="D78" s="360">
        <f>VLOOKUP($T$8,'Matris - Nod'!$G$15:$CX$350,T27,FALSE)*D76+VLOOKUP($T$8,'Matris - Nod'!$G$15:$CX$350,U27,FALSE)*D77</f>
        <v>2.969222052410991E-4</v>
      </c>
      <c r="E78" s="360">
        <f>VLOOKUP($T$8,'Matris - Nod'!$G$15:$CX$350,T29,FALSE)*E76+VLOOKUP($T$8,'Matris - Nod'!$G$15:$CX$350,U29,FALSE)*E77</f>
        <v>9.9630368453896678E-4</v>
      </c>
      <c r="F78" s="360">
        <f>SUM(C78:E78)</f>
        <v>4.8117107420660478E-3</v>
      </c>
      <c r="G78" s="527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175"/>
      <c r="S78" s="24"/>
      <c r="T78" s="24"/>
      <c r="U78" s="24"/>
      <c r="V78" s="24"/>
      <c r="W78" s="24"/>
      <c r="X78" s="24"/>
      <c r="Y78" s="24"/>
      <c r="Z78" s="24"/>
    </row>
    <row r="79" spans="1:26" hidden="1" x14ac:dyDescent="0.25">
      <c r="A79" s="530"/>
      <c r="B79" s="543" t="s">
        <v>244</v>
      </c>
      <c r="C79" s="360">
        <f>VLOOKUP($T$8,'Matris - Nod'!$G$15:$CX$350,T26,FALSE)*C76+VLOOKUP($T$8,'Matris - Nod'!$G$15:$CX$350,U26,FALSE)*C77</f>
        <v>2.0028297266077914E-2</v>
      </c>
      <c r="D79" s="360">
        <f>VLOOKUP($T$8,'Matris - Nod'!$G$15:$CX$350,T28,FALSE)*D76+VLOOKUP($T$8,'Matris - Nod'!$G$15:$CX$350,U28,FALSE)*D77</f>
        <v>1.2686478629591422E-3</v>
      </c>
      <c r="E79" s="360">
        <f>VLOOKUP($T$8,'Matris - Nod'!$G$15:$CX$350,T30,FALSE)*E76+VLOOKUP($T$8,'Matris - Nod'!$G$15:$CX$350,U30,FALSE)*E77</f>
        <v>5.5162673343352887E-3</v>
      </c>
      <c r="F79" s="360">
        <f>SUM(C79:E79)</f>
        <v>2.6813212463372343E-2</v>
      </c>
      <c r="G79" s="542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175"/>
      <c r="S79" s="24"/>
      <c r="T79" s="24"/>
      <c r="U79" s="24"/>
      <c r="V79" s="24"/>
      <c r="W79" s="24"/>
      <c r="X79" s="24"/>
      <c r="Y79" s="24"/>
      <c r="Z79" s="24"/>
    </row>
    <row r="80" spans="1:26" hidden="1" x14ac:dyDescent="0.25">
      <c r="A80" s="530"/>
      <c r="B80" s="542"/>
      <c r="C80" s="542"/>
      <c r="D80" s="542"/>
      <c r="E80" s="542"/>
      <c r="F80" s="542"/>
      <c r="G80" s="542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175"/>
      <c r="S80" s="24"/>
      <c r="T80" s="24"/>
      <c r="U80" s="24"/>
      <c r="V80" s="24"/>
      <c r="W80" s="24"/>
      <c r="X80" s="24"/>
      <c r="Y80" s="24"/>
      <c r="Z80" s="24"/>
    </row>
    <row r="81" spans="1:26" hidden="1" x14ac:dyDescent="0.25">
      <c r="A81" s="540"/>
      <c r="B81" s="541"/>
      <c r="C81" s="541"/>
      <c r="D81" s="541"/>
      <c r="E81" s="541"/>
      <c r="F81" s="541"/>
      <c r="G81" s="541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175"/>
      <c r="S81" s="24"/>
      <c r="T81" s="24"/>
      <c r="U81" s="24"/>
      <c r="V81" s="24"/>
      <c r="W81" s="24"/>
      <c r="X81" s="24"/>
      <c r="Y81" s="24"/>
      <c r="Z81" s="24"/>
    </row>
    <row r="82" spans="1:26" hidden="1" x14ac:dyDescent="0.25">
      <c r="A82" s="534"/>
      <c r="B82" s="545"/>
      <c r="C82" s="545"/>
      <c r="D82" s="545"/>
      <c r="E82" s="545"/>
      <c r="F82" s="545"/>
      <c r="G82" s="545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175"/>
      <c r="S82" s="24"/>
      <c r="T82" s="24"/>
      <c r="U82" s="24"/>
      <c r="V82" s="24"/>
      <c r="W82" s="24"/>
      <c r="X82" s="24"/>
      <c r="Y82" s="24"/>
      <c r="Z82" s="24"/>
    </row>
    <row r="83" spans="1:26" hidden="1" x14ac:dyDescent="0.25">
      <c r="A83" s="539" t="s">
        <v>330</v>
      </c>
      <c r="B83" s="533" t="str">
        <f>"Antal skadade år "&amp;2065&amp;" (prognosår 2) inklusive kompensation för bortfall"</f>
        <v>Antal skadade år 2065 (prognosår 2) inklusive kompensation för bortfall</v>
      </c>
      <c r="C83" s="532"/>
      <c r="D83" s="531"/>
      <c r="E83" s="531"/>
      <c r="F83" s="531"/>
      <c r="G83" s="531"/>
      <c r="H83" s="286"/>
      <c r="I83" s="218"/>
      <c r="J83" s="218"/>
      <c r="K83" s="218"/>
      <c r="L83" s="218"/>
      <c r="M83" s="218"/>
      <c r="N83" s="218"/>
      <c r="O83" s="218"/>
      <c r="P83" s="218"/>
      <c r="Q83" s="218"/>
      <c r="R83" s="175"/>
      <c r="S83" s="24"/>
      <c r="T83" s="24"/>
      <c r="U83" s="24"/>
      <c r="V83" s="24"/>
      <c r="W83" s="24"/>
      <c r="X83" s="24"/>
      <c r="Y83" s="24"/>
      <c r="Z83" s="24"/>
    </row>
    <row r="84" spans="1:26" hidden="1" x14ac:dyDescent="0.25">
      <c r="A84" s="534"/>
      <c r="B84" s="533"/>
      <c r="C84" s="550" t="s">
        <v>315</v>
      </c>
      <c r="D84" s="550" t="s">
        <v>8</v>
      </c>
      <c r="E84" s="550" t="s">
        <v>7</v>
      </c>
      <c r="F84" s="550" t="s">
        <v>158</v>
      </c>
      <c r="G84" s="531"/>
      <c r="H84" s="287"/>
      <c r="I84" s="218"/>
      <c r="J84" s="218"/>
      <c r="K84" s="218"/>
      <c r="L84" s="218"/>
      <c r="M84" s="218"/>
      <c r="N84" s="218"/>
      <c r="O84" s="218"/>
      <c r="P84" s="218"/>
      <c r="Q84" s="218"/>
      <c r="R84" s="175"/>
      <c r="S84" s="24"/>
      <c r="T84" s="24"/>
      <c r="U84" s="24"/>
      <c r="V84" s="24"/>
      <c r="W84" s="24"/>
      <c r="X84" s="24"/>
      <c r="Y84" s="24"/>
      <c r="Z84" s="24"/>
    </row>
    <row r="85" spans="1:26" hidden="1" x14ac:dyDescent="0.25">
      <c r="A85" s="534"/>
      <c r="B85" s="554" t="s">
        <v>240</v>
      </c>
      <c r="C85" s="360">
        <f>VLOOKUP($T$8,'Matris - Nod'!$G$15:$CX$350,T33,FALSE)*(C29*C35)^(C32-2010)</f>
        <v>2.0848130009437201E-4</v>
      </c>
      <c r="D85" s="360">
        <f>VLOOKUP($T$8,'Matris - Nod'!$G$15:$CX$350,U33,FALSE)*(C29*C35)^(C32-2010)</f>
        <v>1.1721318116713563E-4</v>
      </c>
      <c r="E85" s="360">
        <f>VLOOKUP($T$8,'Matris - Nod'!$G$15:$CX$350,V33,FALSE)*(C29*C35)^(C32-2010)</f>
        <v>1.9412313776366269E-4</v>
      </c>
      <c r="F85" s="190">
        <f>SUM(C85:E85)</f>
        <v>5.1981761902517032E-4</v>
      </c>
      <c r="G85" s="531"/>
      <c r="H85" s="218"/>
      <c r="I85" s="218"/>
      <c r="J85" s="218"/>
      <c r="K85" s="557"/>
      <c r="L85" s="218"/>
      <c r="M85" s="218"/>
      <c r="N85" s="218"/>
      <c r="O85" s="218"/>
      <c r="P85" s="218"/>
      <c r="Q85" s="218"/>
      <c r="R85" s="175"/>
      <c r="S85" s="24"/>
      <c r="T85" s="24"/>
      <c r="U85" s="24"/>
      <c r="V85" s="24"/>
      <c r="W85" s="24"/>
      <c r="X85" s="24"/>
      <c r="Y85" s="24"/>
      <c r="Z85" s="24"/>
    </row>
    <row r="86" spans="1:26" hidden="1" x14ac:dyDescent="0.25">
      <c r="A86" s="534"/>
      <c r="B86" s="554" t="s">
        <v>241</v>
      </c>
      <c r="C86" s="360">
        <f>VLOOKUP($T$8,'Matris - Nod'!$G$15:$CX$350,T34,FALSE)*(C29*C36)^(C32-2010)</f>
        <v>1.5943498593759334E-2</v>
      </c>
      <c r="D86" s="360">
        <f>VLOOKUP($T$8,'Matris - Nod'!$G$15:$CX$350,U34,FALSE)*(C29*C36)^(C32-2010)</f>
        <v>1.3575737991643859E-3</v>
      </c>
      <c r="E86" s="360">
        <f>VLOOKUP($T$8,'Matris - Nod'!$G$15:$CX$350,V34,FALSE)*(C29*C36)^(C32-2010)</f>
        <v>3.402085872335152E-3</v>
      </c>
      <c r="F86" s="360">
        <f>SUM(C86:E86)</f>
        <v>2.070315826525887E-2</v>
      </c>
      <c r="G86" s="531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175"/>
      <c r="S86" s="24"/>
      <c r="T86" s="24"/>
      <c r="U86" s="24"/>
      <c r="V86" s="24"/>
      <c r="W86" s="24"/>
      <c r="X86" s="24"/>
      <c r="Y86" s="24"/>
      <c r="Z86" s="24"/>
    </row>
    <row r="87" spans="1:26" hidden="1" x14ac:dyDescent="0.25">
      <c r="A87" s="534"/>
      <c r="B87" s="554" t="s">
        <v>242</v>
      </c>
      <c r="C87" s="360">
        <f>VLOOKUP($T$8,'Matris - Nod'!$G$15:$CX$350,T35,FALSE)*(C29*C37)^(C32-2010)</f>
        <v>0.10425616879509705</v>
      </c>
      <c r="D87" s="360">
        <f>VLOOKUP($T$8,'Matris - Nod'!$G$15:$CX$350,U35,FALSE)*(C29*C37)^(C32-2010)</f>
        <v>2.2081914386330604E-3</v>
      </c>
      <c r="E87" s="360">
        <f>VLOOKUP($T$8,'Matris - Nod'!$G$15:$CX$350,V35,FALSE)*(C29*C37)^(C32-2010)</f>
        <v>2.3945417982868117E-2</v>
      </c>
      <c r="F87" s="360">
        <f t="shared" ref="F87" si="3">SUM(C87:E87)</f>
        <v>0.13040977821659822</v>
      </c>
      <c r="G87" s="531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175"/>
      <c r="S87" s="24"/>
      <c r="T87" s="24"/>
      <c r="U87" s="24"/>
      <c r="V87" s="24"/>
      <c r="W87" s="24"/>
      <c r="X87" s="24"/>
      <c r="Y87" s="24"/>
      <c r="Z87" s="24"/>
    </row>
    <row r="88" spans="1:26" hidden="1" x14ac:dyDescent="0.25">
      <c r="A88" s="534"/>
      <c r="B88" s="554" t="s">
        <v>243</v>
      </c>
      <c r="C88" s="360">
        <f>VLOOKUP($T$8,'Matris - Nod'!$G$15:$CX$350,T25,FALSE)*C86+VLOOKUP($T$8,'Matris - Nod'!$G$15:$CX$350,U25,FALSE)*C87</f>
        <v>3.0085994384686596E-3</v>
      </c>
      <c r="D88" s="360">
        <f>VLOOKUP($T$8,'Matris - Nod'!$G$15:$CX$350,T27,FALSE)*D86+VLOOKUP($T$8,'Matris - Nod'!$G$15:$CX$350,U27,FALSE)*D87</f>
        <v>2.2048512798410864E-4</v>
      </c>
      <c r="E88" s="360">
        <f>VLOOKUP($T$8,'Matris - Nod'!$G$15:$CX$350,T29,FALSE)*E86+VLOOKUP($T$8,'Matris - Nod'!$G$15:$CX$350,U29,FALSE)*E87</f>
        <v>8.4306236487374569E-4</v>
      </c>
      <c r="F88" s="360">
        <f>SUM(C88:E88)</f>
        <v>4.0721469313265146E-3</v>
      </c>
      <c r="G88" s="531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175"/>
      <c r="S88" s="24"/>
      <c r="T88" s="24"/>
      <c r="U88" s="24"/>
      <c r="V88" s="24"/>
      <c r="W88" s="24"/>
      <c r="X88" s="24"/>
      <c r="Y88" s="24"/>
      <c r="Z88" s="24"/>
    </row>
    <row r="89" spans="1:26" hidden="1" x14ac:dyDescent="0.25">
      <c r="A89" s="534"/>
      <c r="B89" s="554" t="s">
        <v>244</v>
      </c>
      <c r="C89" s="360">
        <f>VLOOKUP($T$8,'Matris - Nod'!$G$15:$CX$350,T26,FALSE)*C86+VLOOKUP($T$8,'Matris - Nod'!$G$15:$CX$350,U26,FALSE)*C87</f>
        <v>1.801748154961523E-2</v>
      </c>
      <c r="D89" s="360">
        <f>VLOOKUP($T$8,'Matris - Nod'!$G$15:$CX$350,T28,FALSE)*D86+VLOOKUP($T$8,'Matris - Nod'!$G$15:$CX$350,U28,FALSE)*D87</f>
        <v>1.0118192833756543E-3</v>
      </c>
      <c r="E89" s="360">
        <f>VLOOKUP($T$8,'Matris - Nod'!$G$15:$CX$350,T30,FALSE)*E86+VLOOKUP($T$8,'Matris - Nod'!$G$15:$CX$350,U30,FALSE)*E87</f>
        <v>4.9186261876409268E-3</v>
      </c>
      <c r="F89" s="360">
        <f>SUM(C89:E89)</f>
        <v>2.394792702063181E-2</v>
      </c>
      <c r="G89" s="531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175"/>
      <c r="S89" s="24"/>
      <c r="T89" s="24"/>
      <c r="U89" s="24"/>
      <c r="V89" s="24"/>
      <c r="W89" s="24"/>
      <c r="X89" s="24"/>
      <c r="Y89" s="24"/>
      <c r="Z89" s="24"/>
    </row>
    <row r="90" spans="1:26" hidden="1" x14ac:dyDescent="0.25">
      <c r="A90" s="534"/>
      <c r="B90" s="552"/>
      <c r="C90" s="553"/>
      <c r="D90" s="553"/>
      <c r="E90" s="553"/>
      <c r="F90" s="553"/>
      <c r="G90" s="545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175"/>
      <c r="S90" s="24"/>
      <c r="T90" s="24"/>
      <c r="U90" s="24"/>
      <c r="V90" s="24"/>
      <c r="W90" s="24"/>
      <c r="X90" s="24"/>
      <c r="Y90" s="24"/>
      <c r="Z90" s="24"/>
    </row>
    <row r="91" spans="1:26" hidden="1" x14ac:dyDescent="0.25">
      <c r="A91" s="551"/>
      <c r="B91" s="544"/>
      <c r="C91" s="544"/>
      <c r="D91" s="544"/>
      <c r="E91" s="544"/>
      <c r="F91" s="544"/>
      <c r="G91" s="544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175"/>
      <c r="S91" s="24"/>
      <c r="T91" s="24"/>
      <c r="U91" s="24"/>
      <c r="V91" s="24"/>
      <c r="W91" s="24"/>
      <c r="X91" s="24"/>
      <c r="Y91" s="24"/>
      <c r="Z91" s="24"/>
    </row>
    <row r="92" spans="1:26" hidden="1" x14ac:dyDescent="0.25">
      <c r="A92" s="184" t="s">
        <v>330</v>
      </c>
      <c r="B92" s="128"/>
      <c r="C92" s="128"/>
      <c r="D92" s="128"/>
      <c r="E92" s="128"/>
      <c r="F92" s="128"/>
      <c r="G92" s="12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175"/>
      <c r="S92" s="24"/>
      <c r="T92" s="24"/>
      <c r="U92" s="24"/>
      <c r="V92" s="24"/>
      <c r="W92" s="24"/>
      <c r="X92" s="24"/>
      <c r="Y92" s="24"/>
      <c r="Z92" s="24"/>
    </row>
    <row r="93" spans="1:26" hidden="1" x14ac:dyDescent="0.25">
      <c r="A93" s="177"/>
      <c r="B93" s="129" t="str">
        <f>"Kostnad beräknad på kalkylperioden "&amp;2028&amp;"-"&amp;C30&amp;" inklusive kompensation för bortfall"</f>
        <v>Kostnad beräknad på kalkylperioden 2028-2088 inklusive kompensation för bortfall</v>
      </c>
      <c r="C93" s="87"/>
      <c r="D93" s="87"/>
      <c r="E93" s="87"/>
      <c r="F93" s="87"/>
      <c r="G93" s="87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175"/>
      <c r="S93" s="24"/>
      <c r="T93" s="24"/>
      <c r="U93" s="24"/>
      <c r="V93" s="24"/>
      <c r="W93" s="24"/>
      <c r="X93" s="24"/>
      <c r="Y93" s="24"/>
      <c r="Z93" s="24"/>
    </row>
    <row r="94" spans="1:26" hidden="1" x14ac:dyDescent="0.25">
      <c r="A94" s="177"/>
      <c r="B94" s="130" t="str">
        <f>"Inkluderar trafikökning, systemeffekter, diskonteringsränta "&amp;Faktorer!C30*100&amp;"% per år och värdeökningsfaktor "&amp;Faktorer!C31&amp;" per år för riskvärderingen"</f>
        <v>Inkluderar trafikökning, systemeffekter, diskonteringsränta 3,5% per år och värdeökningsfaktor 1,0115 per år för riskvärderingen</v>
      </c>
      <c r="C94" s="87"/>
      <c r="D94" s="87"/>
      <c r="E94" s="87"/>
      <c r="F94" s="87"/>
      <c r="G94" s="87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175"/>
      <c r="S94" s="24"/>
      <c r="T94" s="24"/>
      <c r="U94" s="24"/>
      <c r="V94" s="24"/>
      <c r="W94" s="24"/>
      <c r="X94" s="24"/>
      <c r="Y94" s="24"/>
      <c r="Z94" s="24"/>
    </row>
    <row r="95" spans="1:26" hidden="1" x14ac:dyDescent="0.25">
      <c r="A95" s="177"/>
      <c r="B95" s="87"/>
      <c r="C95" s="87"/>
      <c r="D95" s="87"/>
      <c r="E95" s="87"/>
      <c r="F95" s="87"/>
      <c r="G95" s="87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175"/>
      <c r="S95" s="24"/>
      <c r="T95" s="24"/>
      <c r="U95" s="24"/>
      <c r="V95" s="24"/>
      <c r="W95" s="24"/>
      <c r="X95" s="24"/>
      <c r="Y95" s="24"/>
      <c r="Z95" s="24"/>
    </row>
    <row r="96" spans="1:26" hidden="1" x14ac:dyDescent="0.25">
      <c r="A96" s="177"/>
      <c r="B96" s="129"/>
      <c r="C96" s="176" t="s">
        <v>315</v>
      </c>
      <c r="D96" s="176" t="s">
        <v>8</v>
      </c>
      <c r="E96" s="176" t="s">
        <v>7</v>
      </c>
      <c r="F96" s="176" t="s">
        <v>158</v>
      </c>
      <c r="G96" s="87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175"/>
      <c r="S96" s="24"/>
      <c r="T96" s="24"/>
      <c r="U96" s="24"/>
      <c r="V96" s="24"/>
      <c r="W96" s="24"/>
      <c r="X96" s="24"/>
      <c r="Y96" s="24"/>
      <c r="Z96" s="24"/>
    </row>
    <row r="97" spans="1:26" hidden="1" x14ac:dyDescent="0.25">
      <c r="A97" s="177"/>
      <c r="B97" s="131" t="s">
        <v>240</v>
      </c>
      <c r="C97" s="607">
        <f>C75*Faktorer!I45+'Beräkna - Nod'!C85*Faktorer!I49</f>
        <v>549.05511840074962</v>
      </c>
      <c r="D97" s="607">
        <f>D75*Faktorer!I45+'Beräkna - Nod'!D85*Faktorer!I49</f>
        <v>308.69194040289608</v>
      </c>
      <c r="E97" s="607">
        <f>E75*Faktorer!I45+'Beräkna - Nod'!E85*Faktorer!I49</f>
        <v>511.24154703997897</v>
      </c>
      <c r="F97" s="607">
        <f>SUM(C97:E97)</f>
        <v>1368.9886058436246</v>
      </c>
      <c r="G97" s="173" t="s">
        <v>307</v>
      </c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175"/>
      <c r="S97" s="24"/>
      <c r="T97" s="24"/>
      <c r="U97" s="24"/>
      <c r="V97" s="24"/>
      <c r="W97" s="24"/>
      <c r="X97" s="24"/>
      <c r="Y97" s="24"/>
      <c r="Z97" s="24"/>
    </row>
    <row r="98" spans="1:26" hidden="1" x14ac:dyDescent="0.25">
      <c r="A98" s="177"/>
      <c r="B98" s="131" t="s">
        <v>243</v>
      </c>
      <c r="C98" s="607">
        <f>VLOOKUP($T$8,'Matris - Nod'!$G$15:$CX$350,T25,FALSE)*C76*Faktorer!J45+VLOOKUP($T$8,'Matris - Nod'!$G$15:$CX$350,U25,FALSE)*C77*Faktorer!K45+VLOOKUP($T$8,'Matris - Nod'!$G$15:$CX$350,T25,FALSE)*C86*Faktorer!J49+VLOOKUP($T$8,'Matris - Nod'!$G$15:$CX$350,U25,FALSE)*C87*Faktorer!K49</f>
        <v>2079.1006578092042</v>
      </c>
      <c r="D98" s="607">
        <f>VLOOKUP($T$8,'Matris - Nod'!$G$15:$CX$350,T27,FALSE)*D76*Faktorer!J45+VLOOKUP($T$8,'Matris - Nod'!$G$15:$CX$350,U27,FALSE)*D77*Faktorer!K45+VLOOKUP($T$8,'Matris - Nod'!$G$15:$CX$350,T27,FALSE)*D86*Faktorer!J49+VLOOKUP($T$8,'Matris - Nod'!$G$15:$CX$350,U27,FALSE)*D87*Faktorer!K49</f>
        <v>162.85266711479235</v>
      </c>
      <c r="E98" s="607">
        <f>VLOOKUP($T$8,'Matris - Nod'!$G$15:$CX$350,T29,FALSE)*E76*Faktorer!J45+VLOOKUP($T$8,'Matris - Nod'!$G$15:$CX$350,U29,FALSE)*E77*Faktorer!K45+VLOOKUP($T$8,'Matris - Nod'!$G$15:$CX$350,T29,FALSE)*E86*Faktorer!J49+VLOOKUP($T$8,'Matris - Nod'!$G$15:$CX$350,U29,FALSE)*E87*Faktorer!K49</f>
        <v>585.38162518897116</v>
      </c>
      <c r="F98" s="607">
        <f>SUM(C98:E98)</f>
        <v>2827.3349501129678</v>
      </c>
      <c r="G98" s="173" t="s">
        <v>307</v>
      </c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175"/>
      <c r="S98" s="24"/>
      <c r="T98" s="24"/>
      <c r="U98" s="24"/>
      <c r="V98" s="24"/>
      <c r="W98" s="24"/>
      <c r="X98" s="24"/>
      <c r="Y98" s="24"/>
      <c r="Z98" s="24"/>
    </row>
    <row r="99" spans="1:26" hidden="1" x14ac:dyDescent="0.25">
      <c r="A99" s="177"/>
      <c r="B99" s="131" t="s">
        <v>322</v>
      </c>
      <c r="C99" s="607">
        <f>((VLOOKUP($T$8,'Matris - Nod'!$G$15:$CX$350,T26,FALSE)*C76-VLOOKUP($T$8,'Matris - Nod'!$G$15:$CX$350,T25,FALSE)*C76)*Faktorer!L45)+((VLOOKUP($T$8,'Matris - Nod'!$G$15:$CX$350,U26,FALSE)*C77-VLOOKUP($T$8,'Matris - Nod'!$G$15:$CX$350,U25,FALSE)*C77)*Faktorer!M45)+((VLOOKUP($T$8,'Matris - Nod'!$G$15:$CX$350,T26,FALSE)*C86-VLOOKUP($T$8,'Matris - Nod'!$G$15:$CX$350,T25,FALSE)*C86)*Faktorer!L49)+((VLOOKUP($T$8,'Matris - Nod'!$G$15:$CX$350,U26,FALSE)*C87-VLOOKUP($T$8,'Matris - Nod'!$G$15:$CX$350,U25,FALSE)*C87)*Faktorer!M49)</f>
        <v>6793.7576804369473</v>
      </c>
      <c r="D99" s="607">
        <f>((VLOOKUP($T$8,'Matris - Nod'!$G$15:$CX$350,T28,FALSE)*D76-VLOOKUP($T$8,'Matris - Nod'!$G$15:$CX$350,T27,FALSE)*D76)*Faktorer!L45)+((VLOOKUP($T$8,'Matris - Nod'!$G$15:$CX$350,U28,FALSE)*D77-VLOOKUP($T$8,'Matris - Nod'!$G$15:$CX$350,U27,FALSE)*D77)*Faktorer!M45)+((VLOOKUP($T$8,'Matris - Nod'!$G$15:$CX$350,T28,FALSE)*D86-VLOOKUP($T$8,'Matris - Nod'!$G$15:$CX$350,T27,FALSE)*D86)*Faktorer!L49)+((VLOOKUP($T$8,'Matris - Nod'!$G$15:$CX$350,U28,FALSE)*D87-VLOOKUP($T$8,'Matris - Nod'!$G$15:$CX$350,U27,FALSE)*D87)*Faktorer!M49)</f>
        <v>376.39919118762504</v>
      </c>
      <c r="E99" s="607">
        <f>((VLOOKUP($T$8,'Matris - Nod'!$G$15:$CX$350,T30,FALSE)*E76-VLOOKUP($T$8,'Matris - Nod'!$G$15:$CX$350,T29,FALSE)*E76)*Faktorer!L45)+((VLOOKUP($T$8,'Matris - Nod'!$G$15:$CX$350,U30,FALSE)*E77-VLOOKUP($T$8,'Matris - Nod'!$G$15:$CX$350,U29,FALSE)*E77)*Faktorer!M45)+((VLOOKUP($T$8,'Matris - Nod'!$G$15:$CX$350,T30,FALSE)*E86-VLOOKUP($T$8,'Matris - Nod'!$G$15:$CX$350,T29,FALSE)*E86)*Faktorer!L49)+((VLOOKUP($T$8,'Matris - Nod'!$G$15:$CX$350,U30,FALSE)*E87-VLOOKUP($T$8,'Matris - Nod'!$G$15:$CX$350,U29,FALSE)*E87)*Faktorer!M49)</f>
        <v>1851.4216666010925</v>
      </c>
      <c r="F99" s="607">
        <f>SUM(C99:E99)</f>
        <v>9021.5785382256654</v>
      </c>
      <c r="G99" s="173" t="s">
        <v>307</v>
      </c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175"/>
      <c r="S99" s="24"/>
      <c r="T99" s="24"/>
      <c r="U99" s="24"/>
      <c r="V99" s="24"/>
      <c r="W99" s="24"/>
      <c r="X99" s="24"/>
      <c r="Y99" s="24"/>
      <c r="Z99" s="24"/>
    </row>
    <row r="100" spans="1:26" hidden="1" x14ac:dyDescent="0.25">
      <c r="A100" s="177"/>
      <c r="B100" s="131" t="s">
        <v>328</v>
      </c>
      <c r="C100" s="607">
        <f>(1-VLOOKUP($T$8,'Matris - Nod'!$G$15:$CX$350,T26,FALSE))*C76*Faktorer!N45+(1-VLOOKUP($T$8,'Matris - Nod'!$G$15:$CX$350,U26,FALSE))*C77*Faktorer!O45+(1-VLOOKUP($T$8,'Matris - Nod'!$G$15:$CX$350,T26,FALSE))*C86*Faktorer!N49+(1-VLOOKUP($T$8,'Matris - Nod'!$G$15:$CX$350,U26,FALSE))*C87*Faktorer!O49</f>
        <v>2674.6108571186514</v>
      </c>
      <c r="D100" s="607">
        <f>(1-VLOOKUP($T$8,'Matris - Nod'!$G$15:$CX$350,T28,FALSE))*D76*Faktorer!N45+(1-VLOOKUP($T$8,'Matris - Nod'!$G$15:$CX$350,U28,FALSE))*D77*Faktorer!O45+(1-VLOOKUP($T$8,'Matris - Nod'!$G$15:$CX$350,T28,FALSE))*D86*Faktorer!N49+(1-VLOOKUP($T$8,'Matris - Nod'!$G$15:$CX$350,U28,FALSE))*D87*Faktorer!O49</f>
        <v>69.244435738727262</v>
      </c>
      <c r="E100" s="607">
        <f>(1-VLOOKUP($T$8,'Matris - Nod'!$G$15:$CX$350,T30,FALSE))*E76*Faktorer!N45+(1-VLOOKUP($T$8,'Matris - Nod'!$G$15:$CX$350,U30,FALSE))*E77*Faktorer!O45+(1-VLOOKUP($T$8,'Matris - Nod'!$G$15:$CX$350,T30,FALSE))*E86*Faktorer!N49+(1-VLOOKUP($T$8,'Matris - Nod'!$G$15:$CX$350,U30,FALSE))*E87*Faktorer!O49</f>
        <v>584.947298115737</v>
      </c>
      <c r="F100" s="607">
        <f>SUM(C100:E100)</f>
        <v>3328.8025909731155</v>
      </c>
      <c r="G100" s="173" t="s">
        <v>307</v>
      </c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175"/>
      <c r="S100" s="24"/>
      <c r="T100" s="24"/>
      <c r="U100" s="24"/>
      <c r="V100" s="24"/>
      <c r="W100" s="24"/>
      <c r="X100" s="24"/>
      <c r="Y100" s="24"/>
      <c r="Z100" s="24"/>
    </row>
    <row r="101" spans="1:26" hidden="1" x14ac:dyDescent="0.25">
      <c r="A101" s="177"/>
      <c r="B101" s="131" t="s">
        <v>329</v>
      </c>
      <c r="C101" s="607"/>
      <c r="D101" s="607"/>
      <c r="E101" s="607"/>
      <c r="F101" s="607">
        <f>VLOOKUP($T$8,'Matris - Nod'!$G$15:$CX$350,$T$40,FALSE)*(Faktorer!F28*Faktorer!F27)^(2028-2010)*Faktorer!P45+(VLOOKUP($T$8,'Matris - Nod'!$G$15:$CX$350,$T$40,FALSE)*(Faktorer!F28*Faktorer!F27)^(2065-2010)*Faktorer!P49)</f>
        <v>482.35659143057944</v>
      </c>
      <c r="G101" s="173" t="s">
        <v>307</v>
      </c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175"/>
      <c r="S101" s="24"/>
      <c r="T101" s="24"/>
      <c r="U101" s="24"/>
      <c r="V101" s="24"/>
      <c r="W101" s="24"/>
      <c r="X101" s="24"/>
      <c r="Y101" s="24"/>
      <c r="Z101" s="24"/>
    </row>
    <row r="102" spans="1:26" hidden="1" x14ac:dyDescent="0.25">
      <c r="A102" s="177"/>
      <c r="B102" s="173"/>
      <c r="C102" s="173"/>
      <c r="D102" s="173"/>
      <c r="E102" s="173"/>
      <c r="F102" s="173"/>
      <c r="G102" s="173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175"/>
      <c r="S102" s="24"/>
      <c r="T102" s="24"/>
      <c r="U102" s="24"/>
      <c r="V102" s="24"/>
      <c r="W102" s="24"/>
      <c r="X102" s="24"/>
      <c r="Y102" s="24"/>
      <c r="Z102" s="24"/>
    </row>
    <row r="103" spans="1:26" hidden="1" x14ac:dyDescent="0.25">
      <c r="A103" s="185"/>
      <c r="B103" s="132"/>
      <c r="C103" s="132"/>
      <c r="D103" s="132"/>
      <c r="E103" s="132"/>
      <c r="F103" s="132"/>
      <c r="G103" s="132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175"/>
      <c r="S103" s="24"/>
      <c r="T103" s="24"/>
      <c r="U103" s="24"/>
      <c r="V103" s="24"/>
      <c r="W103" s="24"/>
      <c r="X103" s="24"/>
      <c r="Y103" s="24"/>
      <c r="Z103" s="24"/>
    </row>
    <row r="104" spans="1:26" x14ac:dyDescent="0.25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175"/>
      <c r="S104" s="24"/>
      <c r="T104" s="24"/>
      <c r="U104" s="24"/>
      <c r="V104" s="24"/>
      <c r="W104" s="24"/>
      <c r="X104" s="24"/>
      <c r="Y104" s="24"/>
      <c r="Z104" s="24"/>
    </row>
    <row r="105" spans="1:26" x14ac:dyDescent="0.25">
      <c r="A105" s="218"/>
      <c r="B105" s="236" t="str">
        <f>"Kostnad beräknad på kalkylperioden "&amp;2028&amp;"-"&amp;C30&amp;" inklusive kompensation för bortfall"</f>
        <v>Kostnad beräknad på kalkylperioden 2028-2088 inklusive kompensation för bortfall</v>
      </c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175"/>
      <c r="S105" s="24"/>
      <c r="T105" s="24"/>
      <c r="U105" s="24"/>
      <c r="V105" s="24"/>
      <c r="W105" s="24"/>
      <c r="X105" s="24"/>
      <c r="Y105" s="24"/>
      <c r="Z105" s="24"/>
    </row>
    <row r="106" spans="1:26" x14ac:dyDescent="0.25">
      <c r="A106" s="218"/>
      <c r="B106" s="236" t="str">
        <f>"Inkluderar trafikökning, systemeffekter, diskonteringsränta "&amp;Faktorer!C30*100&amp;"% per år och värdeökningsfaktor "&amp;Faktorer!C31&amp;" per år för riskvärderingen"</f>
        <v>Inkluderar trafikökning, systemeffekter, diskonteringsränta 3,5% per år och värdeökningsfaktor 1,0115 per år för riskvärderingen</v>
      </c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175"/>
      <c r="S106" s="24"/>
      <c r="T106" s="24"/>
      <c r="U106" s="24"/>
      <c r="V106" s="24"/>
      <c r="W106" s="24"/>
      <c r="X106" s="24"/>
      <c r="Y106" s="24"/>
      <c r="Z106" s="24"/>
    </row>
    <row r="107" spans="1:26" x14ac:dyDescent="0.25">
      <c r="A107" s="218"/>
      <c r="B107" s="248"/>
      <c r="C107" s="218"/>
      <c r="D107" s="248"/>
      <c r="E107" s="248"/>
      <c r="F107" s="248"/>
      <c r="G107" s="248"/>
      <c r="H107" s="248"/>
      <c r="I107" s="218"/>
      <c r="J107" s="218"/>
      <c r="K107" s="218"/>
      <c r="L107" s="218"/>
      <c r="M107" s="218"/>
      <c r="N107" s="218"/>
      <c r="O107" s="218"/>
      <c r="P107" s="218"/>
      <c r="Q107" s="218"/>
      <c r="R107" s="175"/>
      <c r="S107" s="24"/>
      <c r="T107" s="24"/>
      <c r="U107" s="24"/>
      <c r="V107" s="24"/>
      <c r="W107" s="24"/>
      <c r="X107" s="24"/>
      <c r="Y107" s="24"/>
      <c r="Z107" s="24"/>
    </row>
    <row r="108" spans="1:26" x14ac:dyDescent="0.25">
      <c r="A108" s="218"/>
      <c r="B108" s="427" t="s">
        <v>240</v>
      </c>
      <c r="C108" s="429">
        <f>F97</f>
        <v>1368.9886058436246</v>
      </c>
      <c r="D108" s="237" t="s">
        <v>307</v>
      </c>
      <c r="E108" s="248"/>
      <c r="F108" s="248"/>
      <c r="G108" s="248"/>
      <c r="H108" s="248"/>
      <c r="I108" s="291"/>
      <c r="J108" s="218"/>
      <c r="K108" s="218"/>
      <c r="L108" s="218"/>
      <c r="M108" s="218"/>
      <c r="N108" s="218"/>
      <c r="O108" s="218"/>
      <c r="P108" s="218"/>
      <c r="Q108" s="218"/>
      <c r="R108" s="175"/>
      <c r="S108" s="24"/>
      <c r="T108" s="24"/>
      <c r="U108" s="24"/>
      <c r="V108" s="24"/>
      <c r="W108" s="24"/>
      <c r="X108" s="24"/>
      <c r="Y108" s="24"/>
    </row>
    <row r="109" spans="1:26" x14ac:dyDescent="0.25">
      <c r="A109" s="218"/>
      <c r="B109" s="428" t="s">
        <v>243</v>
      </c>
      <c r="C109" s="361">
        <f>F98</f>
        <v>2827.3349501129678</v>
      </c>
      <c r="D109" s="237" t="s">
        <v>307</v>
      </c>
      <c r="E109" s="248"/>
      <c r="F109" s="248"/>
      <c r="G109" s="248"/>
      <c r="H109" s="248"/>
      <c r="I109" s="291"/>
      <c r="J109" s="218"/>
      <c r="K109" s="218"/>
      <c r="L109" s="218"/>
      <c r="M109" s="218"/>
      <c r="N109" s="218"/>
      <c r="O109" s="218"/>
      <c r="P109" s="218"/>
      <c r="Q109" s="218"/>
      <c r="R109" s="175"/>
      <c r="S109" s="24"/>
      <c r="T109" s="24"/>
      <c r="U109" s="24"/>
      <c r="V109" s="24"/>
      <c r="W109" s="24"/>
      <c r="X109" s="24"/>
      <c r="Y109" s="24"/>
    </row>
    <row r="110" spans="1:26" x14ac:dyDescent="0.25">
      <c r="A110" s="218"/>
      <c r="B110" s="428" t="s">
        <v>334</v>
      </c>
      <c r="C110" s="361">
        <f>F99</f>
        <v>9021.5785382256654</v>
      </c>
      <c r="D110" s="237" t="s">
        <v>307</v>
      </c>
      <c r="E110" s="237" t="s">
        <v>333</v>
      </c>
      <c r="F110" s="248"/>
      <c r="G110" s="248"/>
      <c r="H110" s="248"/>
      <c r="I110" s="291"/>
      <c r="J110" s="218"/>
      <c r="K110" s="218"/>
      <c r="L110" s="218"/>
      <c r="M110" s="218"/>
      <c r="N110" s="218"/>
      <c r="O110" s="218"/>
      <c r="P110" s="218"/>
      <c r="Q110" s="218"/>
      <c r="R110" s="175"/>
      <c r="S110" s="24"/>
      <c r="T110" s="24"/>
      <c r="U110" s="24"/>
      <c r="V110" s="24"/>
      <c r="W110" s="24"/>
      <c r="X110" s="24"/>
      <c r="Y110" s="24"/>
    </row>
    <row r="111" spans="1:26" x14ac:dyDescent="0.25">
      <c r="A111" s="218"/>
      <c r="B111" s="430" t="s">
        <v>331</v>
      </c>
      <c r="C111" s="361">
        <f>SUM(C108:C110)</f>
        <v>13217.902094182258</v>
      </c>
      <c r="D111" s="237" t="s">
        <v>307</v>
      </c>
      <c r="E111" s="248"/>
      <c r="F111" s="248"/>
      <c r="G111" s="248"/>
      <c r="H111" s="248"/>
      <c r="I111" s="291"/>
      <c r="J111" s="218"/>
      <c r="K111" s="218"/>
      <c r="L111" s="218"/>
      <c r="M111" s="218"/>
      <c r="N111" s="218"/>
      <c r="O111" s="218"/>
      <c r="P111" s="218"/>
      <c r="Q111" s="218"/>
      <c r="R111" s="175"/>
      <c r="S111" s="24"/>
      <c r="T111" s="24"/>
      <c r="U111" s="24"/>
      <c r="V111" s="24"/>
      <c r="W111" s="24"/>
      <c r="X111" s="24"/>
      <c r="Y111" s="24"/>
    </row>
    <row r="112" spans="1:26" x14ac:dyDescent="0.25">
      <c r="A112" s="213"/>
      <c r="B112" s="464"/>
      <c r="C112" s="215"/>
      <c r="D112" s="237"/>
      <c r="E112" s="248"/>
      <c r="F112" s="248"/>
      <c r="G112" s="248"/>
      <c r="H112" s="248"/>
      <c r="I112" s="291"/>
      <c r="J112" s="218"/>
      <c r="K112" s="218"/>
      <c r="L112" s="218"/>
      <c r="M112" s="218"/>
      <c r="N112" s="218"/>
      <c r="O112" s="218"/>
      <c r="P112" s="218"/>
      <c r="Q112" s="218"/>
      <c r="R112" s="175"/>
      <c r="S112" s="24"/>
      <c r="T112" s="24"/>
      <c r="U112" s="24"/>
      <c r="V112" s="24"/>
      <c r="W112" s="24"/>
      <c r="X112" s="24"/>
      <c r="Y112" s="24"/>
    </row>
    <row r="113" spans="1:25" x14ac:dyDescent="0.25">
      <c r="A113" s="218"/>
      <c r="B113" s="440" t="s">
        <v>328</v>
      </c>
      <c r="C113" s="429">
        <f>F100</f>
        <v>3328.8025909731155</v>
      </c>
      <c r="D113" s="237" t="s">
        <v>307</v>
      </c>
      <c r="E113" s="248"/>
      <c r="F113" s="248"/>
      <c r="G113" s="248"/>
      <c r="H113" s="248"/>
      <c r="I113" s="291"/>
      <c r="J113" s="218"/>
      <c r="K113" s="218"/>
      <c r="L113" s="218"/>
      <c r="M113" s="218"/>
      <c r="N113" s="218"/>
      <c r="O113" s="218"/>
      <c r="P113" s="218"/>
      <c r="Q113" s="218"/>
      <c r="R113" s="175"/>
      <c r="S113" s="24"/>
      <c r="T113" s="24"/>
      <c r="U113" s="24"/>
      <c r="V113" s="24"/>
      <c r="W113" s="24"/>
      <c r="X113" s="24"/>
      <c r="Y113" s="24"/>
    </row>
    <row r="114" spans="1:25" x14ac:dyDescent="0.25">
      <c r="A114" s="218"/>
      <c r="B114" s="431" t="s">
        <v>329</v>
      </c>
      <c r="C114" s="361">
        <f>F101</f>
        <v>482.35659143057944</v>
      </c>
      <c r="D114" s="237" t="s">
        <v>307</v>
      </c>
      <c r="E114" s="248"/>
      <c r="F114" s="248"/>
      <c r="G114" s="248"/>
      <c r="H114" s="248"/>
      <c r="I114" s="291"/>
      <c r="J114" s="218"/>
      <c r="K114" s="218"/>
      <c r="L114" s="218"/>
      <c r="M114" s="218"/>
      <c r="N114" s="218"/>
      <c r="O114" s="218"/>
      <c r="P114" s="218"/>
      <c r="Q114" s="218"/>
      <c r="R114" s="175"/>
      <c r="S114" s="24"/>
      <c r="T114" s="24"/>
      <c r="U114" s="24"/>
      <c r="V114" s="24"/>
      <c r="W114" s="24"/>
      <c r="X114" s="24"/>
      <c r="Y114" s="24"/>
    </row>
    <row r="115" spans="1:25" x14ac:dyDescent="0.25">
      <c r="A115" s="218"/>
      <c r="B115" s="430" t="s">
        <v>332</v>
      </c>
      <c r="C115" s="361">
        <f>SUM(C113:C114)</f>
        <v>3811.159182403695</v>
      </c>
      <c r="D115" s="237" t="s">
        <v>307</v>
      </c>
      <c r="E115" s="248"/>
      <c r="F115" s="248"/>
      <c r="G115" s="248"/>
      <c r="H115" s="248"/>
      <c r="I115" s="291"/>
      <c r="J115" s="218"/>
      <c r="K115" s="218"/>
      <c r="L115" s="218"/>
      <c r="M115" s="218"/>
      <c r="N115" s="218"/>
      <c r="O115" s="218"/>
      <c r="P115" s="218"/>
      <c r="Q115" s="218"/>
      <c r="R115" s="175"/>
      <c r="S115" s="24"/>
      <c r="T115" s="24"/>
      <c r="U115" s="24"/>
      <c r="V115" s="24"/>
      <c r="W115" s="24"/>
      <c r="X115" s="24"/>
      <c r="Y115" s="24"/>
    </row>
    <row r="116" spans="1:25" x14ac:dyDescent="0.25">
      <c r="A116" s="218"/>
      <c r="B116" s="465"/>
      <c r="C116" s="245"/>
      <c r="D116" s="466"/>
      <c r="E116" s="248"/>
      <c r="F116" s="248"/>
      <c r="G116" s="248"/>
      <c r="H116" s="248"/>
      <c r="I116" s="291"/>
      <c r="J116" s="218"/>
      <c r="K116" s="218"/>
      <c r="L116" s="218"/>
      <c r="M116" s="218"/>
      <c r="N116" s="218"/>
      <c r="O116" s="218"/>
      <c r="P116" s="218"/>
      <c r="Q116" s="218"/>
      <c r="R116" s="175"/>
      <c r="S116" s="24"/>
      <c r="T116" s="24"/>
      <c r="U116" s="24"/>
      <c r="V116" s="24"/>
      <c r="W116" s="24"/>
      <c r="X116" s="24"/>
      <c r="Y116" s="24"/>
    </row>
    <row r="117" spans="1:25" x14ac:dyDescent="0.25">
      <c r="A117" s="218"/>
      <c r="B117" s="244"/>
      <c r="C117" s="245"/>
      <c r="D117" s="466"/>
      <c r="E117" s="248"/>
      <c r="F117" s="248"/>
      <c r="G117" s="248"/>
      <c r="H117" s="248"/>
      <c r="I117" s="218"/>
      <c r="J117" s="218"/>
      <c r="K117" s="218"/>
      <c r="L117" s="218"/>
      <c r="M117" s="218"/>
      <c r="N117" s="218"/>
      <c r="O117" s="218"/>
      <c r="P117" s="218"/>
      <c r="Q117" s="218"/>
      <c r="R117" s="175"/>
      <c r="S117" s="24"/>
      <c r="T117" s="24"/>
      <c r="U117" s="24"/>
      <c r="V117" s="24"/>
      <c r="W117" s="24"/>
      <c r="X117" s="24"/>
      <c r="Y117" s="24"/>
    </row>
    <row r="118" spans="1:25" x14ac:dyDescent="0.25">
      <c r="A118" s="218"/>
      <c r="B118" s="244"/>
      <c r="C118" s="245"/>
      <c r="D118" s="246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175"/>
      <c r="S118" s="24"/>
      <c r="T118" s="24"/>
      <c r="U118" s="24"/>
      <c r="V118" s="24"/>
      <c r="W118" s="24"/>
      <c r="X118" s="24"/>
      <c r="Y118" s="24"/>
    </row>
    <row r="119" spans="1:25" x14ac:dyDescent="0.25">
      <c r="A119" s="218"/>
      <c r="B119" s="244"/>
      <c r="C119" s="245"/>
      <c r="D119" s="246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175"/>
      <c r="S119" s="24"/>
      <c r="T119" s="24"/>
      <c r="U119" s="24"/>
      <c r="V119" s="24"/>
      <c r="W119" s="24"/>
      <c r="X119" s="24"/>
      <c r="Y119" s="24"/>
    </row>
    <row r="120" spans="1:25" x14ac:dyDescent="0.25">
      <c r="A120" s="218"/>
      <c r="B120" s="244"/>
      <c r="C120" s="245"/>
      <c r="D120" s="213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175"/>
      <c r="S120" s="24"/>
      <c r="T120" s="24"/>
      <c r="U120" s="24"/>
      <c r="V120" s="24"/>
      <c r="W120" s="24"/>
      <c r="X120" s="24"/>
      <c r="Y120" s="24"/>
    </row>
    <row r="121" spans="1:25" x14ac:dyDescent="0.25">
      <c r="A121" s="235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175"/>
      <c r="S121" s="24"/>
      <c r="T121" s="24"/>
      <c r="U121" s="24"/>
      <c r="V121" s="24"/>
      <c r="W121" s="24"/>
      <c r="X121" s="24"/>
      <c r="Y121" s="24"/>
    </row>
    <row r="122" spans="1:25" x14ac:dyDescent="0.25">
      <c r="A122" s="251"/>
      <c r="B122" s="253"/>
      <c r="C122" s="251"/>
      <c r="D122" s="251"/>
      <c r="E122" s="251"/>
      <c r="F122" s="251"/>
      <c r="G122" s="251"/>
      <c r="H122" s="251"/>
      <c r="I122" s="251"/>
      <c r="J122" s="289"/>
      <c r="K122" s="289"/>
      <c r="L122" s="251"/>
      <c r="M122" s="251"/>
      <c r="N122" s="251"/>
      <c r="O122" s="251"/>
      <c r="P122" s="251"/>
      <c r="Q122" s="251"/>
      <c r="R122" s="24"/>
      <c r="S122" s="24"/>
      <c r="T122" s="24"/>
      <c r="U122" s="24"/>
      <c r="V122" s="24"/>
      <c r="W122" s="24"/>
      <c r="X122" s="24"/>
      <c r="Y122" s="24"/>
    </row>
    <row r="123" spans="1:25" x14ac:dyDescent="0.25">
      <c r="B123" s="253"/>
      <c r="C123" s="253"/>
      <c r="D123" s="251"/>
      <c r="E123" s="251"/>
      <c r="F123" s="253"/>
      <c r="G123" s="251"/>
      <c r="H123" s="251"/>
      <c r="I123" s="253"/>
      <c r="J123" s="251"/>
      <c r="K123" s="251"/>
      <c r="L123" s="290"/>
      <c r="M123" s="251"/>
      <c r="N123" s="251"/>
      <c r="R123" s="24"/>
      <c r="S123" s="24"/>
      <c r="T123" s="24"/>
      <c r="U123" s="24"/>
      <c r="V123" s="24"/>
      <c r="W123" s="24"/>
      <c r="X123" s="24"/>
      <c r="Y123" s="24"/>
    </row>
    <row r="124" spans="1:25" x14ac:dyDescent="0.25">
      <c r="B124" s="251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253"/>
      <c r="N124" s="253"/>
    </row>
    <row r="125" spans="1:25" x14ac:dyDescent="0.25">
      <c r="B125" s="253"/>
      <c r="C125" s="251"/>
      <c r="D125" s="251"/>
      <c r="E125" s="251"/>
      <c r="F125" s="251"/>
      <c r="G125" s="251"/>
      <c r="H125" s="251"/>
      <c r="I125" s="251"/>
      <c r="J125" s="251"/>
      <c r="K125" s="251"/>
      <c r="L125" s="289"/>
      <c r="M125" s="251"/>
      <c r="N125" s="251"/>
    </row>
    <row r="126" spans="1:25" x14ac:dyDescent="0.25">
      <c r="B126" s="253"/>
      <c r="C126" s="251"/>
      <c r="D126" s="251"/>
      <c r="E126" s="251"/>
      <c r="F126" s="251"/>
      <c r="G126" s="251"/>
      <c r="H126" s="251"/>
      <c r="I126" s="251"/>
      <c r="J126" s="251"/>
      <c r="K126" s="251"/>
      <c r="L126" s="289"/>
      <c r="M126" s="251"/>
      <c r="N126" s="251"/>
    </row>
    <row r="127" spans="1:25" x14ac:dyDescent="0.25">
      <c r="B127" s="253"/>
      <c r="C127" s="251"/>
      <c r="D127" s="251"/>
      <c r="E127" s="251"/>
      <c r="F127" s="251"/>
      <c r="G127" s="251"/>
      <c r="H127" s="251"/>
      <c r="I127" s="251"/>
      <c r="J127" s="251"/>
      <c r="K127" s="251"/>
      <c r="L127" s="289"/>
      <c r="M127" s="251"/>
      <c r="N127" s="251"/>
    </row>
    <row r="128" spans="1:25" x14ac:dyDescent="0.25">
      <c r="B128" s="253"/>
      <c r="C128" s="251"/>
      <c r="D128" s="251"/>
      <c r="E128" s="251"/>
      <c r="F128" s="251"/>
      <c r="G128" s="251"/>
      <c r="H128" s="251"/>
      <c r="I128" s="251"/>
      <c r="J128" s="251"/>
      <c r="K128" s="251"/>
      <c r="L128" s="289"/>
      <c r="M128" s="251"/>
      <c r="N128" s="251"/>
    </row>
    <row r="129" spans="2:14" x14ac:dyDescent="0.25">
      <c r="B129" s="253"/>
      <c r="C129" s="251"/>
      <c r="D129" s="251"/>
      <c r="E129" s="251"/>
      <c r="F129" s="251"/>
      <c r="G129" s="251"/>
      <c r="H129" s="251"/>
      <c r="I129" s="251"/>
      <c r="J129" s="289"/>
      <c r="K129" s="289"/>
      <c r="L129" s="251"/>
      <c r="M129" s="251"/>
      <c r="N129" s="251"/>
    </row>
    <row r="130" spans="2:14" x14ac:dyDescent="0.25">
      <c r="B130" s="251"/>
      <c r="C130" s="251"/>
      <c r="D130" s="251"/>
      <c r="E130" s="251"/>
      <c r="F130" s="251"/>
      <c r="G130" s="251"/>
      <c r="H130" s="251"/>
      <c r="I130" s="251"/>
      <c r="J130" s="289"/>
      <c r="K130" s="251"/>
      <c r="L130" s="251"/>
      <c r="M130" s="251"/>
      <c r="N130" s="251"/>
    </row>
    <row r="131" spans="2:14" x14ac:dyDescent="0.25">
      <c r="B131" s="251"/>
      <c r="C131" s="251"/>
      <c r="D131" s="251"/>
      <c r="E131" s="251"/>
      <c r="F131" s="251"/>
      <c r="G131" s="251"/>
      <c r="H131" s="251"/>
      <c r="I131" s="251"/>
      <c r="J131" s="251"/>
      <c r="K131" s="251"/>
      <c r="L131" s="251"/>
      <c r="M131" s="251"/>
      <c r="N131" s="251"/>
    </row>
  </sheetData>
  <dataValidations disablePrompts="1" count="5">
    <dataValidation type="list" allowBlank="1" showInputMessage="1" showErrorMessage="1" sqref="C12" xr:uid="{00000000-0002-0000-0200-000000000000}">
      <formula1>"Statlig,Kommunal"</formula1>
    </dataValidation>
    <dataValidation type="list" allowBlank="1" showInputMessage="1" showErrorMessage="1" sqref="C16" xr:uid="{00000000-0002-0000-0200-000001000000}">
      <formula1>$V$11:$V$13</formula1>
    </dataValidation>
    <dataValidation type="list" allowBlank="1" showInputMessage="1" showErrorMessage="1" sqref="C14" xr:uid="{00000000-0002-0000-0200-000002000000}">
      <formula1>IF($C$12="Statlig",$U$11,$U$12:$U$14)</formula1>
    </dataValidation>
    <dataValidation type="list" allowBlank="1" showInputMessage="1" showErrorMessage="1" sqref="C13" xr:uid="{00000000-0002-0000-0200-000003000000}">
      <formula1>IF($C$12="Statlig",$T$13:$T$18,$T$11:$T$14)</formula1>
    </dataValidation>
    <dataValidation type="list" allowBlank="1" showInputMessage="1" showErrorMessage="1" sqref="C17" xr:uid="{00000000-0002-0000-0200-000004000000}">
      <formula1>IF(C12="Statlig",IF(OR(C13=T13,C13=T14),$X$11:$X$17,$Z$11:$Z$15),IF(OR(AND(C13=T11,C14=U12),AND(C13=T12,C14=U12)),$Y$11:$Y$17,$AA$11:$AA$18))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CB9CA"/>
  </sheetPr>
  <dimension ref="A1:DJ264"/>
  <sheetViews>
    <sheetView zoomScale="80" zoomScaleNormal="80" workbookViewId="0">
      <pane ySplit="8" topLeftCell="A9" activePane="bottomLeft" state="frozen"/>
      <selection pane="bottomLeft" activeCell="G33" sqref="G33"/>
    </sheetView>
  </sheetViews>
  <sheetFormatPr defaultColWidth="9.1796875" defaultRowHeight="12.5" x14ac:dyDescent="0.25"/>
  <cols>
    <col min="1" max="1" width="5.81640625" style="3" bestFit="1" customWidth="1"/>
    <col min="2" max="2" width="18.54296875" customWidth="1"/>
    <col min="3" max="3" width="12.81640625" customWidth="1"/>
    <col min="4" max="4" width="13.81640625" customWidth="1"/>
    <col min="5" max="6" width="12.81640625" customWidth="1"/>
    <col min="7" max="7" width="12.81640625" style="5" customWidth="1"/>
    <col min="8" max="8" width="12.81640625" customWidth="1"/>
    <col min="9" max="9" width="12.81640625" style="1" customWidth="1"/>
    <col min="10" max="10" width="12.81640625" style="5" customWidth="1"/>
    <col min="11" max="11" width="33.453125" hidden="1" customWidth="1"/>
    <col min="12" max="12" width="6.1796875" hidden="1" customWidth="1"/>
    <col min="13" max="13" width="17.81640625" style="51" customWidth="1"/>
    <col min="14" max="14" width="11.81640625" style="51" customWidth="1"/>
    <col min="15" max="15" width="13.26953125" style="51" customWidth="1"/>
    <col min="16" max="31" width="11.81640625" style="51" customWidth="1"/>
    <col min="32" max="32" width="7.7265625" customWidth="1"/>
    <col min="33" max="35" width="6" customWidth="1"/>
    <col min="36" max="36" width="7.1796875" customWidth="1"/>
    <col min="37" max="37" width="6" customWidth="1"/>
    <col min="38" max="38" width="11" customWidth="1"/>
    <col min="39" max="39" width="22" customWidth="1"/>
    <col min="40" max="40" width="9.26953125" bestFit="1" customWidth="1"/>
    <col min="41" max="50" width="11" customWidth="1"/>
    <col min="51" max="51" width="15.453125" customWidth="1"/>
    <col min="52" max="52" width="11.1796875" customWidth="1"/>
    <col min="53" max="53" width="10.81640625" customWidth="1"/>
    <col min="54" max="54" width="10.54296875" customWidth="1"/>
    <col min="55" max="55" width="11" customWidth="1"/>
    <col min="56" max="56" width="8.1796875" customWidth="1"/>
    <col min="57" max="57" width="6.54296875" customWidth="1"/>
    <col min="58" max="58" width="7.81640625" customWidth="1"/>
    <col min="59" max="59" width="6.26953125" customWidth="1"/>
    <col min="60" max="60" width="10.7265625" customWidth="1"/>
    <col min="61" max="61" width="9.1796875" customWidth="1"/>
    <col min="62" max="62" width="6.453125" customWidth="1"/>
    <col min="63" max="63" width="6" customWidth="1"/>
    <col min="64" max="66" width="7.1796875" customWidth="1"/>
    <col min="67" max="67" width="8.7265625" customWidth="1"/>
    <col min="68" max="68" width="8.26953125" customWidth="1"/>
    <col min="69" max="69" width="7.1796875" customWidth="1"/>
    <col min="70" max="71" width="8.453125" customWidth="1"/>
    <col min="72" max="72" width="8.54296875" customWidth="1"/>
    <col min="73" max="73" width="8" customWidth="1"/>
    <col min="74" max="74" width="8.453125" customWidth="1"/>
    <col min="75" max="75" width="8.26953125" customWidth="1"/>
    <col min="76" max="77" width="8.1796875" bestFit="1" customWidth="1"/>
    <col min="78" max="79" width="12.7265625" customWidth="1"/>
    <col min="80" max="80" width="10.81640625" customWidth="1"/>
    <col min="81" max="81" width="10.54296875" customWidth="1"/>
    <col min="82" max="82" width="8.1796875" customWidth="1"/>
    <col min="83" max="83" width="6.54296875" customWidth="1"/>
    <col min="84" max="84" width="7.81640625" customWidth="1"/>
    <col min="85" max="85" width="6.26953125" customWidth="1"/>
    <col min="86" max="86" width="10.7265625" customWidth="1"/>
    <col min="87" max="87" width="9.1796875" customWidth="1"/>
    <col min="88" max="88" width="6.453125" customWidth="1"/>
    <col min="89" max="90" width="6" customWidth="1"/>
    <col min="91" max="103" width="7.1796875" customWidth="1"/>
    <col min="104" max="104" width="11.54296875" bestFit="1" customWidth="1"/>
    <col min="105" max="105" width="11.54296875" customWidth="1"/>
    <col min="106" max="106" width="10.81640625" customWidth="1"/>
    <col min="107" max="107" width="10.54296875" customWidth="1"/>
    <col min="108" max="108" width="8.1796875" customWidth="1"/>
    <col min="109" max="109" width="6.54296875" customWidth="1"/>
    <col min="110" max="110" width="7.81640625" customWidth="1"/>
    <col min="111" max="111" width="6.26953125" customWidth="1"/>
    <col min="112" max="112" width="9.7265625" style="24" customWidth="1"/>
    <col min="113" max="113" width="9.1796875" customWidth="1"/>
    <col min="114" max="114" width="9.1796875" style="30"/>
    <col min="115" max="16384" width="9.1796875" style="3"/>
  </cols>
  <sheetData>
    <row r="1" spans="1:114" x14ac:dyDescent="0.25">
      <c r="A1" s="292"/>
      <c r="B1" s="292"/>
      <c r="C1" s="292"/>
      <c r="D1" s="293"/>
      <c r="E1" s="293"/>
      <c r="F1" s="293"/>
      <c r="G1" s="294"/>
      <c r="H1" s="293"/>
      <c r="I1" s="295"/>
      <c r="J1" s="295"/>
      <c r="K1" s="189" t="s">
        <v>330</v>
      </c>
      <c r="L1" s="175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293"/>
      <c r="CJ1" s="293"/>
      <c r="CK1" s="293"/>
      <c r="CL1" s="293"/>
      <c r="CM1" s="293"/>
      <c r="CN1" s="293"/>
      <c r="CO1" s="293"/>
      <c r="CP1" s="293"/>
      <c r="CQ1" s="293"/>
      <c r="CR1" s="293"/>
      <c r="CS1" s="293"/>
      <c r="CT1" s="293"/>
      <c r="CU1" s="293"/>
      <c r="CV1" s="293"/>
      <c r="CW1" s="293"/>
      <c r="CX1" s="293"/>
      <c r="CY1" s="293"/>
      <c r="CZ1" s="293"/>
      <c r="DA1" s="293"/>
      <c r="DB1" s="293"/>
      <c r="DC1" s="293"/>
      <c r="DD1" s="293"/>
      <c r="DE1" s="293"/>
      <c r="DF1" s="293"/>
      <c r="DG1" s="293"/>
      <c r="DH1" s="293"/>
      <c r="DI1" s="293"/>
      <c r="DJ1" s="3"/>
    </row>
    <row r="2" spans="1:114" ht="32.5" x14ac:dyDescent="0.25">
      <c r="A2" s="296" t="s">
        <v>285</v>
      </c>
      <c r="B2" s="293"/>
      <c r="C2" s="293"/>
      <c r="D2" s="293"/>
      <c r="E2" s="293"/>
      <c r="F2" s="293"/>
      <c r="G2" s="294"/>
      <c r="H2" s="293"/>
      <c r="I2" s="295"/>
      <c r="J2" s="295"/>
      <c r="K2" s="90">
        <v>1</v>
      </c>
      <c r="L2" s="90">
        <v>2</v>
      </c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  <c r="AL2" s="508"/>
      <c r="AM2" s="508"/>
      <c r="AN2" s="508"/>
      <c r="AO2" s="508"/>
      <c r="AP2" s="508"/>
      <c r="AQ2" s="508"/>
      <c r="AR2" s="508"/>
      <c r="AS2" s="508"/>
      <c r="AT2" s="508"/>
      <c r="AU2" s="508"/>
      <c r="AV2" s="508"/>
      <c r="AW2" s="508"/>
      <c r="AX2" s="508"/>
      <c r="AY2" s="508"/>
      <c r="AZ2" s="508"/>
      <c r="BA2" s="508"/>
      <c r="BB2" s="508"/>
      <c r="BC2" s="508"/>
      <c r="BD2" s="508"/>
      <c r="BE2" s="508"/>
      <c r="BF2" s="508"/>
      <c r="BG2" s="508"/>
      <c r="BH2" s="508"/>
      <c r="BI2" s="508"/>
      <c r="BJ2" s="508"/>
      <c r="BK2" s="508"/>
      <c r="BL2" s="508"/>
      <c r="BM2" s="508"/>
      <c r="BN2" s="508"/>
      <c r="BO2" s="508"/>
      <c r="BP2" s="508"/>
      <c r="BQ2" s="508"/>
      <c r="BR2" s="508"/>
      <c r="BS2" s="508"/>
      <c r="BT2" s="508"/>
      <c r="BU2" s="508"/>
      <c r="BV2" s="508"/>
      <c r="BW2" s="508"/>
      <c r="BX2" s="508"/>
      <c r="BY2" s="508"/>
      <c r="BZ2" s="508"/>
      <c r="CA2" s="508"/>
      <c r="CB2" s="508"/>
      <c r="CC2" s="508"/>
      <c r="CD2" s="508"/>
      <c r="CE2" s="508"/>
      <c r="CF2" s="508"/>
      <c r="CG2" s="508"/>
      <c r="CH2" s="508"/>
      <c r="CI2" s="508"/>
      <c r="CJ2" s="508"/>
      <c r="CK2" s="508"/>
      <c r="CL2" s="508"/>
      <c r="CM2" s="508"/>
      <c r="CN2" s="508"/>
      <c r="CO2" s="508"/>
      <c r="CP2" s="508"/>
      <c r="CQ2" s="508"/>
      <c r="CR2" s="508"/>
      <c r="CS2" s="508"/>
      <c r="CT2" s="508"/>
      <c r="CU2" s="508"/>
      <c r="CV2" s="508"/>
      <c r="CW2" s="508"/>
      <c r="CX2" s="508"/>
      <c r="CY2" s="508"/>
      <c r="CZ2" s="508"/>
      <c r="DA2" s="508"/>
      <c r="DB2" s="508"/>
      <c r="DC2" s="508"/>
      <c r="DD2" s="508"/>
      <c r="DE2" s="508"/>
      <c r="DF2" s="508"/>
      <c r="DG2" s="508"/>
      <c r="DH2" s="508"/>
      <c r="DI2" s="508"/>
      <c r="DJ2" s="3"/>
    </row>
    <row r="3" spans="1:114" ht="13" x14ac:dyDescent="0.3">
      <c r="A3" s="297" t="s">
        <v>239</v>
      </c>
      <c r="B3" s="293"/>
      <c r="C3" s="293"/>
      <c r="D3" s="293"/>
      <c r="E3" s="293"/>
      <c r="F3" s="293"/>
      <c r="G3" s="294"/>
      <c r="H3" s="293"/>
      <c r="I3" s="295"/>
      <c r="J3" s="295"/>
      <c r="K3" s="90"/>
      <c r="L3" s="90"/>
      <c r="M3" s="486" t="s">
        <v>252</v>
      </c>
      <c r="N3" s="487" t="s">
        <v>253</v>
      </c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3"/>
      <c r="CQ3" s="293"/>
      <c r="CR3" s="293"/>
      <c r="CS3" s="293"/>
      <c r="CT3" s="293"/>
      <c r="CU3" s="293"/>
      <c r="CV3" s="293"/>
      <c r="CW3" s="293"/>
      <c r="CX3" s="293"/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3"/>
    </row>
    <row r="4" spans="1:114" x14ac:dyDescent="0.25">
      <c r="A4" s="298"/>
      <c r="B4" s="293"/>
      <c r="C4" s="293"/>
      <c r="D4" s="293"/>
      <c r="E4" s="293"/>
      <c r="F4" s="293"/>
      <c r="G4" s="294"/>
      <c r="H4" s="293"/>
      <c r="I4" s="295"/>
      <c r="J4" s="295"/>
      <c r="K4" s="90"/>
      <c r="L4" s="90"/>
      <c r="M4" s="488" t="s">
        <v>302</v>
      </c>
      <c r="N4" s="505">
        <f>'Beräkna - Länk'!C20</f>
        <v>1</v>
      </c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3"/>
    </row>
    <row r="5" spans="1:114" x14ac:dyDescent="0.25">
      <c r="A5" s="299" t="s">
        <v>341</v>
      </c>
      <c r="B5" s="299"/>
      <c r="C5" s="299"/>
      <c r="D5" s="299"/>
      <c r="E5" s="299"/>
      <c r="F5" s="299"/>
      <c r="G5" s="299"/>
      <c r="H5" s="299"/>
      <c r="I5" s="299"/>
      <c r="J5" s="299"/>
      <c r="K5" s="90"/>
      <c r="L5" s="90"/>
      <c r="M5" s="488" t="s">
        <v>293</v>
      </c>
      <c r="N5" s="505">
        <f>'Beräkna - Länk'!C21</f>
        <v>1</v>
      </c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489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3"/>
      <c r="CQ5" s="293"/>
      <c r="CR5" s="293"/>
      <c r="CS5" s="293"/>
      <c r="CT5" s="293"/>
      <c r="CU5" s="293"/>
      <c r="CV5" s="293"/>
      <c r="CW5" s="293"/>
      <c r="CX5" s="293"/>
      <c r="CY5" s="293"/>
      <c r="CZ5" s="293"/>
      <c r="DA5" s="293"/>
      <c r="DB5" s="293"/>
      <c r="DC5" s="293"/>
      <c r="DD5" s="293"/>
      <c r="DE5" s="293"/>
      <c r="DF5" s="293"/>
      <c r="DG5" s="293"/>
      <c r="DH5" s="293"/>
      <c r="DI5" s="293"/>
      <c r="DJ5" s="3"/>
    </row>
    <row r="6" spans="1:114" ht="13" x14ac:dyDescent="0.3">
      <c r="A6" s="299" t="s">
        <v>220</v>
      </c>
      <c r="B6" s="299"/>
      <c r="C6" s="299"/>
      <c r="D6" s="299"/>
      <c r="E6" s="299"/>
      <c r="F6" s="299"/>
      <c r="G6" s="299"/>
      <c r="H6" s="299"/>
      <c r="I6" s="299"/>
      <c r="J6" s="299"/>
      <c r="K6" s="121"/>
      <c r="L6" s="121"/>
      <c r="M6" s="488" t="s">
        <v>300</v>
      </c>
      <c r="N6" s="505">
        <f>'Beräkna - Länk'!C22</f>
        <v>1</v>
      </c>
      <c r="O6" s="292"/>
      <c r="P6" s="295"/>
      <c r="Q6" s="575" t="s">
        <v>156</v>
      </c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  <c r="AC6" s="576"/>
      <c r="AD6" s="490"/>
      <c r="AE6" s="490"/>
      <c r="AF6" s="583" t="s">
        <v>169</v>
      </c>
      <c r="AG6" s="584"/>
      <c r="AH6" s="584"/>
      <c r="AI6" s="584"/>
      <c r="AJ6" s="584"/>
      <c r="AK6" s="584"/>
      <c r="AL6" s="584"/>
      <c r="AM6" s="584"/>
      <c r="AN6" s="584"/>
      <c r="AO6" s="584"/>
      <c r="AP6" s="584"/>
      <c r="AQ6" s="584"/>
      <c r="AR6" s="584"/>
      <c r="AS6" s="584"/>
      <c r="AT6" s="584"/>
      <c r="AU6" s="584"/>
      <c r="AV6" s="584"/>
      <c r="AW6" s="584"/>
      <c r="AX6" s="584"/>
      <c r="AY6" s="584"/>
      <c r="AZ6" s="584"/>
      <c r="BA6" s="584"/>
      <c r="BB6" s="584"/>
      <c r="BC6" s="584"/>
      <c r="BD6" s="584"/>
      <c r="BE6" s="584"/>
      <c r="BF6" s="584"/>
      <c r="BG6" s="584"/>
      <c r="BH6" s="584"/>
      <c r="BI6" s="585"/>
      <c r="BJ6" s="583" t="s">
        <v>170</v>
      </c>
      <c r="BK6" s="584"/>
      <c r="BL6" s="584"/>
      <c r="BM6" s="584"/>
      <c r="BN6" s="584"/>
      <c r="BO6" s="584"/>
      <c r="BP6" s="584"/>
      <c r="BQ6" s="584"/>
      <c r="BR6" s="584"/>
      <c r="BS6" s="584"/>
      <c r="BT6" s="584"/>
      <c r="BU6" s="584"/>
      <c r="BV6" s="584"/>
      <c r="BW6" s="584"/>
      <c r="BX6" s="584"/>
      <c r="BY6" s="584"/>
      <c r="BZ6" s="584"/>
      <c r="CA6" s="584"/>
      <c r="CB6" s="584"/>
      <c r="CC6" s="584"/>
      <c r="CD6" s="584"/>
      <c r="CE6" s="584"/>
      <c r="CF6" s="584"/>
      <c r="CG6" s="584"/>
      <c r="CH6" s="584"/>
      <c r="CI6" s="585"/>
      <c r="CJ6" s="586" t="s">
        <v>171</v>
      </c>
      <c r="CK6" s="587"/>
      <c r="CL6" s="587"/>
      <c r="CM6" s="587"/>
      <c r="CN6" s="587"/>
      <c r="CO6" s="587"/>
      <c r="CP6" s="587"/>
      <c r="CQ6" s="587"/>
      <c r="CR6" s="587"/>
      <c r="CS6" s="587"/>
      <c r="CT6" s="587"/>
      <c r="CU6" s="587"/>
      <c r="CV6" s="587"/>
      <c r="CW6" s="587"/>
      <c r="CX6" s="587"/>
      <c r="CY6" s="587"/>
      <c r="CZ6" s="587"/>
      <c r="DA6" s="587"/>
      <c r="DB6" s="587"/>
      <c r="DC6" s="587"/>
      <c r="DD6" s="587"/>
      <c r="DE6" s="587"/>
      <c r="DF6" s="587"/>
      <c r="DG6" s="587"/>
      <c r="DH6" s="587"/>
      <c r="DI6" s="588"/>
    </row>
    <row r="7" spans="1:114" x14ac:dyDescent="0.25">
      <c r="A7" s="299" t="s">
        <v>221</v>
      </c>
      <c r="B7" s="300"/>
      <c r="C7" s="300"/>
      <c r="D7" s="300"/>
      <c r="E7" s="300"/>
      <c r="F7" s="300"/>
      <c r="G7" s="301"/>
      <c r="H7" s="300"/>
      <c r="I7" s="302"/>
      <c r="J7" s="301"/>
      <c r="K7" s="121"/>
      <c r="L7" s="121"/>
      <c r="M7" s="295"/>
      <c r="N7" s="292"/>
      <c r="O7" s="292"/>
      <c r="P7" s="295"/>
      <c r="Q7" s="580" t="s">
        <v>167</v>
      </c>
      <c r="R7" s="578"/>
      <c r="S7" s="578"/>
      <c r="T7" s="578"/>
      <c r="U7" s="578"/>
      <c r="V7" s="578"/>
      <c r="W7" s="578"/>
      <c r="X7" s="579"/>
      <c r="Y7" s="577" t="s">
        <v>168</v>
      </c>
      <c r="Z7" s="578"/>
      <c r="AA7" s="578"/>
      <c r="AB7" s="578"/>
      <c r="AC7" s="579"/>
      <c r="AD7" s="491" t="s">
        <v>153</v>
      </c>
      <c r="AE7" s="491" t="s">
        <v>151</v>
      </c>
      <c r="AF7" s="589" t="s">
        <v>348</v>
      </c>
      <c r="AG7" s="590"/>
      <c r="AH7" s="590"/>
      <c r="AI7" s="590"/>
      <c r="AJ7" s="590"/>
      <c r="AK7" s="591"/>
      <c r="AL7" s="577" t="s">
        <v>166</v>
      </c>
      <c r="AM7" s="578"/>
      <c r="AN7" s="578"/>
      <c r="AO7" s="578"/>
      <c r="AP7" s="578"/>
      <c r="AQ7" s="578"/>
      <c r="AR7" s="578"/>
      <c r="AS7" s="579"/>
      <c r="AT7" s="577" t="s">
        <v>205</v>
      </c>
      <c r="AU7" s="578"/>
      <c r="AV7" s="578"/>
      <c r="AW7" s="578"/>
      <c r="AX7" s="579"/>
      <c r="AY7" s="491" t="s">
        <v>153</v>
      </c>
      <c r="AZ7" s="491" t="s">
        <v>151</v>
      </c>
      <c r="BA7" s="589" t="s">
        <v>96</v>
      </c>
      <c r="BB7" s="590"/>
      <c r="BC7" s="591"/>
      <c r="BD7" s="589" t="s">
        <v>58</v>
      </c>
      <c r="BE7" s="590"/>
      <c r="BF7" s="590"/>
      <c r="BG7" s="591"/>
      <c r="BH7" s="581" t="s">
        <v>155</v>
      </c>
      <c r="BI7" s="582"/>
      <c r="BJ7" s="589" t="s">
        <v>348</v>
      </c>
      <c r="BK7" s="590"/>
      <c r="BL7" s="590"/>
      <c r="BM7" s="590"/>
      <c r="BN7" s="591"/>
      <c r="BO7" s="577" t="s">
        <v>166</v>
      </c>
      <c r="BP7" s="578"/>
      <c r="BQ7" s="578"/>
      <c r="BR7" s="578"/>
      <c r="BS7" s="578"/>
      <c r="BT7" s="578"/>
      <c r="BU7" s="579"/>
      <c r="BV7" s="577" t="s">
        <v>206</v>
      </c>
      <c r="BW7" s="578"/>
      <c r="BX7" s="578"/>
      <c r="BY7" s="579"/>
      <c r="BZ7" s="491" t="s">
        <v>153</v>
      </c>
      <c r="CA7" s="492" t="s">
        <v>153</v>
      </c>
      <c r="CB7" s="589" t="s">
        <v>96</v>
      </c>
      <c r="CC7" s="591"/>
      <c r="CD7" s="589" t="s">
        <v>58</v>
      </c>
      <c r="CE7" s="590"/>
      <c r="CF7" s="590"/>
      <c r="CG7" s="591"/>
      <c r="CH7" s="581" t="s">
        <v>155</v>
      </c>
      <c r="CI7" s="582"/>
      <c r="CJ7" s="589" t="s">
        <v>348</v>
      </c>
      <c r="CK7" s="590"/>
      <c r="CL7" s="590"/>
      <c r="CM7" s="590"/>
      <c r="CN7" s="591"/>
      <c r="CO7" s="577" t="s">
        <v>166</v>
      </c>
      <c r="CP7" s="578"/>
      <c r="CQ7" s="578"/>
      <c r="CR7" s="578"/>
      <c r="CS7" s="578"/>
      <c r="CT7" s="578"/>
      <c r="CU7" s="579"/>
      <c r="CV7" s="577" t="s">
        <v>206</v>
      </c>
      <c r="CW7" s="578"/>
      <c r="CX7" s="578"/>
      <c r="CY7" s="579"/>
      <c r="CZ7" s="493" t="s">
        <v>153</v>
      </c>
      <c r="DA7" s="494" t="s">
        <v>153</v>
      </c>
      <c r="DB7" s="589" t="s">
        <v>96</v>
      </c>
      <c r="DC7" s="591"/>
      <c r="DD7" s="589" t="s">
        <v>58</v>
      </c>
      <c r="DE7" s="590"/>
      <c r="DF7" s="590"/>
      <c r="DG7" s="591"/>
      <c r="DH7" s="581" t="s">
        <v>155</v>
      </c>
      <c r="DI7" s="582"/>
    </row>
    <row r="8" spans="1:114" x14ac:dyDescent="0.25">
      <c r="A8" s="499" t="s">
        <v>18</v>
      </c>
      <c r="B8" s="500" t="s">
        <v>19</v>
      </c>
      <c r="C8" s="500" t="s">
        <v>20</v>
      </c>
      <c r="D8" s="500" t="s">
        <v>35</v>
      </c>
      <c r="E8" s="500" t="s">
        <v>109</v>
      </c>
      <c r="F8" s="500" t="s">
        <v>106</v>
      </c>
      <c r="G8" s="506" t="s">
        <v>108</v>
      </c>
      <c r="H8" s="500" t="s">
        <v>49</v>
      </c>
      <c r="I8" s="500" t="s">
        <v>37</v>
      </c>
      <c r="J8" s="500" t="s">
        <v>107</v>
      </c>
      <c r="K8" s="500" t="s">
        <v>192</v>
      </c>
      <c r="L8" s="500"/>
      <c r="M8" s="500" t="s">
        <v>15</v>
      </c>
      <c r="N8" s="500" t="s">
        <v>212</v>
      </c>
      <c r="O8" s="500" t="s">
        <v>145</v>
      </c>
      <c r="P8" s="500" t="s">
        <v>213</v>
      </c>
      <c r="Q8" s="500" t="s">
        <v>146</v>
      </c>
      <c r="R8" s="507" t="s">
        <v>154</v>
      </c>
      <c r="S8" s="502" t="s">
        <v>0</v>
      </c>
      <c r="T8" s="502" t="s">
        <v>1</v>
      </c>
      <c r="U8" s="502" t="s">
        <v>2</v>
      </c>
      <c r="V8" s="502" t="s">
        <v>3</v>
      </c>
      <c r="W8" s="502" t="s">
        <v>38</v>
      </c>
      <c r="X8" s="502" t="s">
        <v>39</v>
      </c>
      <c r="Y8" s="502" t="s">
        <v>1</v>
      </c>
      <c r="Z8" s="502" t="s">
        <v>2</v>
      </c>
      <c r="AA8" s="502" t="s">
        <v>3</v>
      </c>
      <c r="AB8" s="502" t="s">
        <v>38</v>
      </c>
      <c r="AC8" s="502" t="s">
        <v>39</v>
      </c>
      <c r="AD8" s="502" t="s">
        <v>150</v>
      </c>
      <c r="AE8" s="502" t="s">
        <v>152</v>
      </c>
      <c r="AF8" s="500" t="s">
        <v>53</v>
      </c>
      <c r="AG8" s="500" t="s">
        <v>9</v>
      </c>
      <c r="AH8" s="500" t="s">
        <v>147</v>
      </c>
      <c r="AI8" s="500" t="s">
        <v>148</v>
      </c>
      <c r="AJ8" s="500" t="s">
        <v>149</v>
      </c>
      <c r="AK8" s="500" t="s">
        <v>23</v>
      </c>
      <c r="AL8" s="502" t="s">
        <v>146</v>
      </c>
      <c r="AM8" s="502" t="s">
        <v>154</v>
      </c>
      <c r="AN8" s="502" t="s">
        <v>0</v>
      </c>
      <c r="AO8" s="502" t="s">
        <v>1</v>
      </c>
      <c r="AP8" s="502" t="s">
        <v>2</v>
      </c>
      <c r="AQ8" s="502" t="s">
        <v>3</v>
      </c>
      <c r="AR8" s="502" t="s">
        <v>38</v>
      </c>
      <c r="AS8" s="502" t="s">
        <v>39</v>
      </c>
      <c r="AT8" s="502" t="s">
        <v>1</v>
      </c>
      <c r="AU8" s="502" t="s">
        <v>2</v>
      </c>
      <c r="AV8" s="502" t="s">
        <v>3</v>
      </c>
      <c r="AW8" s="502" t="s">
        <v>38</v>
      </c>
      <c r="AX8" s="502" t="s">
        <v>39</v>
      </c>
      <c r="AY8" s="502" t="s">
        <v>150</v>
      </c>
      <c r="AZ8" s="502" t="s">
        <v>152</v>
      </c>
      <c r="BA8" s="500" t="s">
        <v>54</v>
      </c>
      <c r="BB8" s="502" t="s">
        <v>55</v>
      </c>
      <c r="BC8" s="502" t="s">
        <v>56</v>
      </c>
      <c r="BD8" s="500" t="s">
        <v>102</v>
      </c>
      <c r="BE8" s="502" t="s">
        <v>103</v>
      </c>
      <c r="BF8" s="502" t="s">
        <v>104</v>
      </c>
      <c r="BG8" s="502" t="s">
        <v>105</v>
      </c>
      <c r="BH8" s="502" t="s">
        <v>100</v>
      </c>
      <c r="BI8" s="502" t="s">
        <v>101</v>
      </c>
      <c r="BJ8" s="502" t="s">
        <v>98</v>
      </c>
      <c r="BK8" s="502" t="s">
        <v>9</v>
      </c>
      <c r="BL8" s="500" t="s">
        <v>147</v>
      </c>
      <c r="BM8" s="500" t="s">
        <v>148</v>
      </c>
      <c r="BN8" s="500" t="s">
        <v>149</v>
      </c>
      <c r="BO8" s="500" t="s">
        <v>146</v>
      </c>
      <c r="BP8" s="503" t="s">
        <v>154</v>
      </c>
      <c r="BQ8" s="500" t="s">
        <v>0</v>
      </c>
      <c r="BR8" s="500" t="s">
        <v>1</v>
      </c>
      <c r="BS8" s="500" t="s">
        <v>2</v>
      </c>
      <c r="BT8" s="500" t="s">
        <v>38</v>
      </c>
      <c r="BU8" s="500" t="s">
        <v>39</v>
      </c>
      <c r="BV8" s="500" t="s">
        <v>1</v>
      </c>
      <c r="BW8" s="500" t="s">
        <v>2</v>
      </c>
      <c r="BX8" s="500" t="s">
        <v>38</v>
      </c>
      <c r="BY8" s="500" t="s">
        <v>39</v>
      </c>
      <c r="BZ8" s="500" t="s">
        <v>150</v>
      </c>
      <c r="CA8" s="500" t="s">
        <v>349</v>
      </c>
      <c r="CB8" s="500" t="s">
        <v>54</v>
      </c>
      <c r="CC8" s="502" t="s">
        <v>55</v>
      </c>
      <c r="CD8" s="500" t="s">
        <v>102</v>
      </c>
      <c r="CE8" s="502" t="s">
        <v>103</v>
      </c>
      <c r="CF8" s="502" t="s">
        <v>104</v>
      </c>
      <c r="CG8" s="502" t="s">
        <v>105</v>
      </c>
      <c r="CH8" s="502" t="s">
        <v>100</v>
      </c>
      <c r="CI8" s="502" t="s">
        <v>101</v>
      </c>
      <c r="CJ8" s="502" t="s">
        <v>98</v>
      </c>
      <c r="CK8" s="502" t="s">
        <v>9</v>
      </c>
      <c r="CL8" s="500" t="s">
        <v>147</v>
      </c>
      <c r="CM8" s="500" t="s">
        <v>148</v>
      </c>
      <c r="CN8" s="500" t="s">
        <v>149</v>
      </c>
      <c r="CO8" s="500" t="s">
        <v>146</v>
      </c>
      <c r="CP8" s="503" t="s">
        <v>154</v>
      </c>
      <c r="CQ8" s="500" t="s">
        <v>0</v>
      </c>
      <c r="CR8" s="500" t="s">
        <v>1</v>
      </c>
      <c r="CS8" s="500" t="s">
        <v>2</v>
      </c>
      <c r="CT8" s="500" t="s">
        <v>38</v>
      </c>
      <c r="CU8" s="500" t="s">
        <v>39</v>
      </c>
      <c r="CV8" s="500" t="s">
        <v>1</v>
      </c>
      <c r="CW8" s="500" t="s">
        <v>2</v>
      </c>
      <c r="CX8" s="500" t="s">
        <v>38</v>
      </c>
      <c r="CY8" s="500" t="s">
        <v>39</v>
      </c>
      <c r="CZ8" s="500" t="s">
        <v>150</v>
      </c>
      <c r="DA8" s="502" t="s">
        <v>349</v>
      </c>
      <c r="DB8" s="502" t="s">
        <v>54</v>
      </c>
      <c r="DC8" s="502" t="s">
        <v>55</v>
      </c>
      <c r="DD8" s="500" t="s">
        <v>102</v>
      </c>
      <c r="DE8" s="502" t="s">
        <v>103</v>
      </c>
      <c r="DF8" s="502" t="s">
        <v>104</v>
      </c>
      <c r="DG8" s="502" t="s">
        <v>105</v>
      </c>
      <c r="DH8" s="502" t="s">
        <v>100</v>
      </c>
      <c r="DI8" s="502" t="s">
        <v>101</v>
      </c>
    </row>
    <row r="9" spans="1:114" x14ac:dyDescent="0.25">
      <c r="A9" s="85">
        <v>1</v>
      </c>
      <c r="B9" s="9" t="s">
        <v>36</v>
      </c>
      <c r="C9" s="9" t="s">
        <v>24</v>
      </c>
      <c r="D9" s="31" t="s">
        <v>181</v>
      </c>
      <c r="E9" s="9">
        <v>2</v>
      </c>
      <c r="F9" s="9">
        <v>40</v>
      </c>
      <c r="G9" s="32" t="s">
        <v>99</v>
      </c>
      <c r="H9" s="19" t="s">
        <v>11</v>
      </c>
      <c r="I9" s="33" t="s">
        <v>4</v>
      </c>
      <c r="J9" s="32" t="s">
        <v>99</v>
      </c>
      <c r="K9" s="2" t="str">
        <f t="shared" ref="K9:K40" si="0">B9&amp;" "&amp;C9&amp;" "&amp;D9&amp;" "&amp;F9&amp;" "&amp;G9&amp;" "&amp;H9&amp;" "&amp;I9</f>
        <v>Kommunal Tätort VV 40 - City C</v>
      </c>
      <c r="L9" s="2"/>
      <c r="M9" s="32" t="s">
        <v>99</v>
      </c>
      <c r="N9" s="53">
        <f>'Beräkna - Länk'!$C$26</f>
        <v>1</v>
      </c>
      <c r="O9" s="53">
        <f>'Beräkna - Länk'!$C$24/('Beräkna - Länk'!$C$27)^('Beräkna - Länk'!$C$25-2010)</f>
        <v>10385</v>
      </c>
      <c r="P9" s="13">
        <f t="shared" ref="P9:P40" si="1">N9*O9*365*0.000001</f>
        <v>3.7905249999999997</v>
      </c>
      <c r="Q9" s="13">
        <f t="shared" ref="Q9:Q40" si="2">AL9+BO9+CO9</f>
        <v>0.87760130062499997</v>
      </c>
      <c r="R9" s="13">
        <f t="shared" ref="R9:R40" si="3">AM9+BP9+CP9</f>
        <v>1.0447634531249999</v>
      </c>
      <c r="S9" s="28">
        <f t="shared" ref="S9:S40" si="4">AN9+BQ9+CQ9</f>
        <v>1.21550765175E-2</v>
      </c>
      <c r="T9" s="15">
        <f t="shared" ref="T9:T40" si="5">AO9+BR9+CR9</f>
        <v>0.16038014517000002</v>
      </c>
      <c r="U9" s="13">
        <f t="shared" ref="U9:U40" si="6">AP9+BS9+CS9</f>
        <v>0.87222823143749995</v>
      </c>
      <c r="V9" s="13">
        <f t="shared" ref="V9:V40" si="7">AQ9</f>
        <v>2.2925095199999999</v>
      </c>
      <c r="W9" s="15">
        <f t="shared" ref="W9:W40" si="8">AR9+BT9+CT9</f>
        <v>3.0746337691938751E-2</v>
      </c>
      <c r="X9" s="15">
        <f t="shared" ref="X9:X40" si="9">AS9+BU9+CU9</f>
        <v>0.17526963629778752</v>
      </c>
      <c r="Y9" s="15">
        <f>AO9*BA9+BR9*CB9+CR9*DB9</f>
        <v>0.24057021775500001</v>
      </c>
      <c r="Z9" s="14">
        <f t="shared" ref="Z9:Z40" si="10">AP9*BB9+BS9*CC9+CS9*DC9</f>
        <v>1.3083423471562501</v>
      </c>
      <c r="AA9" s="14">
        <f t="shared" ref="AA9:AA40" si="11">AQ9*BC9</f>
        <v>16.047566639999999</v>
      </c>
      <c r="AB9" s="13">
        <f t="shared" ref="AB9:AB40" si="12">BD9*AO9*BA9+BF9*AP9*BB9+CD9*BR9*CB9+CF9*BS9*CC9+DD9*CR9*DB9+DF9*CS9*DC9</f>
        <v>4.6119506537908118E-2</v>
      </c>
      <c r="AC9" s="14">
        <f t="shared" ref="AC9:AC40" si="13">BE9*AO9*BA9+BG9*AP9*BB9+CE9*BR9*CB9+CG9*BS9*CC9+DE9*CR9*DB9+DG9*CS9*DC9</f>
        <v>0.26290445444668126</v>
      </c>
      <c r="AD9" s="13">
        <f>(S9+Y9)/(S9+Y9+Z9)</f>
        <v>0.1618925968135474</v>
      </c>
      <c r="AE9" s="15">
        <f>(S9+Y9)/P9</f>
        <v>6.6672900000000007E-2</v>
      </c>
      <c r="AF9" s="8">
        <v>0.1575</v>
      </c>
      <c r="AG9" s="6">
        <v>1.28</v>
      </c>
      <c r="AH9" s="12">
        <v>0.7</v>
      </c>
      <c r="AI9" s="12">
        <v>12.3</v>
      </c>
      <c r="AJ9" s="7">
        <v>87</v>
      </c>
      <c r="AK9" s="12">
        <v>3</v>
      </c>
      <c r="AL9" s="12">
        <f t="shared" ref="AL9:AL40" si="14">$N$4*P9*AF9</f>
        <v>0.59700768749999999</v>
      </c>
      <c r="AM9" s="12">
        <f>AG9*$AL9</f>
        <v>0.76416983999999999</v>
      </c>
      <c r="AN9" s="18">
        <f t="shared" ref="AN9:AN40" si="15">AH9*$AM9/100</f>
        <v>5.3491888799999995E-3</v>
      </c>
      <c r="AO9" s="8">
        <f t="shared" ref="AO9:AO40" si="16">AI9*$AM9/100</f>
        <v>9.3992890320000008E-2</v>
      </c>
      <c r="AP9" s="12">
        <f t="shared" ref="AP9:AP40" si="17">AJ9*$AM9/100</f>
        <v>0.66482776079999995</v>
      </c>
      <c r="AQ9" s="12">
        <f t="shared" ref="AQ9:AQ40" si="18">AK9*$AM9</f>
        <v>2.2925095199999999</v>
      </c>
      <c r="AR9" s="18">
        <f t="shared" ref="AR9:AR40" si="19">BH9*P9</f>
        <v>1.8640394907119998E-2</v>
      </c>
      <c r="AS9" s="8">
        <f t="shared" ref="AS9:AS40" si="20">BI9*P9</f>
        <v>0.1127456181936</v>
      </c>
      <c r="AT9" s="8">
        <f t="shared" ref="AT9:AT40" si="21">AO9*BA9</f>
        <v>0.14098933548000001</v>
      </c>
      <c r="AU9" s="8">
        <f t="shared" ref="AU9:AU40" si="22">AP9*BB9</f>
        <v>0.99724164119999992</v>
      </c>
      <c r="AV9" s="8">
        <f t="shared" ref="AV9:AV40" si="23">AQ9*BC9</f>
        <v>16.047566639999999</v>
      </c>
      <c r="AW9" s="8">
        <f t="shared" ref="AW9:AW40" si="24">BD9*AT9+BF9*AU9</f>
        <v>2.7960592360679999E-2</v>
      </c>
      <c r="AX9" s="8">
        <f t="shared" ref="AX9:AX40" si="25">BE9*AT9+BG9*AU9</f>
        <v>0.1691184272904</v>
      </c>
      <c r="AY9" s="495">
        <f>(AN9+AT9)/(AN9+AT9+AU9)</f>
        <v>0.12796525225526229</v>
      </c>
      <c r="AZ9" s="8">
        <f>(AH9/100+AI9/100)*AG9*AF9</f>
        <v>2.6208000000000002E-2</v>
      </c>
      <c r="BA9" s="6">
        <v>1.5</v>
      </c>
      <c r="BB9" s="6">
        <v>1.5</v>
      </c>
      <c r="BC9" s="6">
        <v>7</v>
      </c>
      <c r="BD9" s="15">
        <v>7.0999999999999994E-2</v>
      </c>
      <c r="BE9" s="13">
        <v>0.28000000000000003</v>
      </c>
      <c r="BF9" s="15">
        <v>1.7999999999999999E-2</v>
      </c>
      <c r="BG9" s="13">
        <v>0.13</v>
      </c>
      <c r="BH9" s="28">
        <f t="shared" ref="BH9:BH40" si="26">$AF9*$AG9*($AI9*BD9+$AJ9*BF9)/100</f>
        <v>4.9176287999999997E-3</v>
      </c>
      <c r="BI9" s="15">
        <f t="shared" ref="BI9:BI40" si="27">$AF9*$AG9*($AI9*BE9+$AJ9*BG9)/100</f>
        <v>2.9744064000000004E-2</v>
      </c>
      <c r="BJ9" s="12">
        <v>22</v>
      </c>
      <c r="BK9" s="12">
        <v>1</v>
      </c>
      <c r="BL9" s="7">
        <v>4.5</v>
      </c>
      <c r="BM9" s="7">
        <v>28.5</v>
      </c>
      <c r="BN9" s="7">
        <v>67</v>
      </c>
      <c r="BO9" s="8">
        <f t="shared" ref="BO9:BO40" si="28">$N$5*BJ9/100*AL9</f>
        <v>0.13134169125</v>
      </c>
      <c r="BP9" s="8">
        <f t="shared" ref="BP9:BP40" si="29">BK9*BO9</f>
        <v>0.13134169125</v>
      </c>
      <c r="BQ9" s="8">
        <f t="shared" ref="BQ9:BQ40" si="30">BL9/100*BP9</f>
        <v>5.9103761062500003E-3</v>
      </c>
      <c r="BR9" s="8">
        <f t="shared" ref="BR9:BR40" si="31">BM9/100*BP9</f>
        <v>3.7432382006250001E-2</v>
      </c>
      <c r="BS9" s="8">
        <f t="shared" ref="BS9:BS40" si="32">BN9/100*BP9</f>
        <v>8.7998933137500013E-2</v>
      </c>
      <c r="BT9" s="18">
        <f t="shared" ref="BT9:BT40" si="33">CH9*P9</f>
        <v>6.7030232129437501E-3</v>
      </c>
      <c r="BU9" s="8">
        <f t="shared" ref="BU9:BU40" si="34">CI9*P9</f>
        <v>3.3321387070124997E-2</v>
      </c>
      <c r="BV9" s="8">
        <f t="shared" ref="BV9:BV40" si="35">BR9*CB9</f>
        <v>5.6148573009375001E-2</v>
      </c>
      <c r="BW9" s="8">
        <f t="shared" ref="BW9:BW40" si="36">BS9*CC9</f>
        <v>0.13199839970625002</v>
      </c>
      <c r="BX9" s="18">
        <f t="shared" ref="BX9:BX40" si="37">BV9*CD9+CF9*BW9</f>
        <v>1.0054534819415626E-2</v>
      </c>
      <c r="BY9" s="8">
        <f t="shared" ref="BY9:BY40" si="38">BW9*CG9+BV9*CE9</f>
        <v>4.9982080605187502E-2</v>
      </c>
      <c r="BZ9" s="12">
        <f>BL9/100+BM9/100</f>
        <v>0.32999999999999996</v>
      </c>
      <c r="CA9" s="12">
        <f>(BQ9+BY9)/(BQ9+BV9+BW9)</f>
        <v>0.2880203045685279</v>
      </c>
      <c r="CB9" s="6">
        <v>1.5</v>
      </c>
      <c r="CC9" s="6">
        <v>1.5</v>
      </c>
      <c r="CD9" s="15">
        <v>0.125</v>
      </c>
      <c r="CE9" s="13">
        <v>0.42</v>
      </c>
      <c r="CF9" s="15">
        <v>2.3E-2</v>
      </c>
      <c r="CG9" s="13">
        <v>0.2</v>
      </c>
      <c r="CH9" s="28">
        <f>BJ9/100*$AF9*BK9*(BM9*CD9+BN9*CF9)/100</f>
        <v>1.7683627500000001E-3</v>
      </c>
      <c r="CI9" s="15">
        <f t="shared" ref="CI9:CI40" si="39">$BJ9/100*$AF9*$BK9*($BM9*CE9+$BN9*CG9)/100</f>
        <v>8.7907049999999994E-3</v>
      </c>
      <c r="CJ9" s="12">
        <v>25</v>
      </c>
      <c r="CK9" s="12">
        <v>1</v>
      </c>
      <c r="CL9" s="7">
        <v>0.6</v>
      </c>
      <c r="CM9" s="7">
        <v>19.399999999999999</v>
      </c>
      <c r="CN9" s="7">
        <v>80</v>
      </c>
      <c r="CO9" s="8">
        <f t="shared" ref="CO9:CO40" si="40">$N$6*CJ9/100*AL9</f>
        <v>0.149251921875</v>
      </c>
      <c r="CP9" s="8">
        <f t="shared" ref="CP9:CP40" si="41">CK9*CO9</f>
        <v>0.149251921875</v>
      </c>
      <c r="CQ9" s="18">
        <f t="shared" ref="CQ9:CQ40" si="42">CL9/100*CP9</f>
        <v>8.9551153125000003E-4</v>
      </c>
      <c r="CR9" s="8">
        <f t="shared" ref="CR9:CR40" si="43">CM9/100*CP9</f>
        <v>2.8954872843749997E-2</v>
      </c>
      <c r="CS9" s="8">
        <f t="shared" ref="CS9:CS40" si="44">CN9/100*CP9</f>
        <v>0.1194015375</v>
      </c>
      <c r="CT9" s="18">
        <f t="shared" ref="CT9:CT40" si="45">DH9*P9</f>
        <v>5.4029195718750004E-3</v>
      </c>
      <c r="CU9" s="8">
        <f t="shared" ref="CU9:CU40" si="46">DI9*P9</f>
        <v>2.9202631034062496E-2</v>
      </c>
      <c r="CV9" s="8">
        <f t="shared" ref="CV9:CV40" si="47">CR9*DB9</f>
        <v>4.3432309265624996E-2</v>
      </c>
      <c r="CW9" s="8">
        <f t="shared" ref="CW9:CW40" si="48">CS9*DC9</f>
        <v>0.17910230625000001</v>
      </c>
      <c r="CX9" s="18">
        <f t="shared" ref="CX9:CX40" si="49">CV9*DD9+CW9*DF9</f>
        <v>8.1043793578125002E-3</v>
      </c>
      <c r="CY9" s="8">
        <f t="shared" ref="CY9:CY40" si="50">CV9*DE9+CW9*DG9</f>
        <v>4.380394655109375E-2</v>
      </c>
      <c r="CZ9" s="12">
        <f t="shared" ref="CZ9:CZ40" si="51">CL9/100+CM9/100</f>
        <v>0.19999999999999998</v>
      </c>
      <c r="DA9" s="12">
        <f>(CQ9+CY9)/(CQ9+CV9+CW9)</f>
        <v>0.20006012024048095</v>
      </c>
      <c r="DB9" s="6">
        <v>1.5</v>
      </c>
      <c r="DC9" s="6">
        <v>1.5</v>
      </c>
      <c r="DD9" s="15">
        <v>0.1</v>
      </c>
      <c r="DE9" s="13">
        <v>0.39</v>
      </c>
      <c r="DF9" s="15">
        <v>2.1000000000000001E-2</v>
      </c>
      <c r="DG9" s="13">
        <v>0.15</v>
      </c>
      <c r="DH9" s="28">
        <f t="shared" ref="DH9:DH40" si="52">$CJ9/100*$AF9*$CK9*($CM9*DD9+$CN9*DF9)/100</f>
        <v>1.4253750000000002E-3</v>
      </c>
      <c r="DI9" s="29">
        <f t="shared" ref="DI9:DI40" si="53">$CJ9/100*$AF9*$CK9*($CM9*DE9+$CN9*DG9)/100</f>
        <v>7.7041124999999997E-3</v>
      </c>
    </row>
    <row r="10" spans="1:114" x14ac:dyDescent="0.25">
      <c r="A10" s="85">
        <v>2</v>
      </c>
      <c r="B10" s="9" t="s">
        <v>36</v>
      </c>
      <c r="C10" s="9" t="s">
        <v>24</v>
      </c>
      <c r="D10" s="31" t="s">
        <v>181</v>
      </c>
      <c r="E10" s="9">
        <v>2</v>
      </c>
      <c r="F10" s="9">
        <v>40</v>
      </c>
      <c r="G10" s="32" t="s">
        <v>99</v>
      </c>
      <c r="H10" s="19" t="s">
        <v>11</v>
      </c>
      <c r="I10" s="33" t="s">
        <v>5</v>
      </c>
      <c r="J10" s="32" t="s">
        <v>99</v>
      </c>
      <c r="K10" s="2" t="str">
        <f t="shared" si="0"/>
        <v>Kommunal Tätort VV 40 - City M</v>
      </c>
      <c r="L10" s="2"/>
      <c r="M10" s="32" t="s">
        <v>99</v>
      </c>
      <c r="N10" s="53">
        <f>'Beräkna - Länk'!$C$26</f>
        <v>1</v>
      </c>
      <c r="O10" s="53">
        <f>'Beräkna - Länk'!$C$24/('Beräkna - Länk'!$C$27)^('Beräkna - Länk'!$C$25-2010)</f>
        <v>10385</v>
      </c>
      <c r="P10" s="13">
        <f t="shared" si="1"/>
        <v>3.7905249999999997</v>
      </c>
      <c r="Q10" s="13">
        <f t="shared" si="2"/>
        <v>0.78833443687499982</v>
      </c>
      <c r="R10" s="13">
        <f t="shared" si="3"/>
        <v>1.0119754118749997</v>
      </c>
      <c r="S10" s="28">
        <f t="shared" si="4"/>
        <v>1.0997544945624998E-2</v>
      </c>
      <c r="T10" s="15">
        <f t="shared" si="5"/>
        <v>0.15041532876062497</v>
      </c>
      <c r="U10" s="13">
        <f t="shared" si="6"/>
        <v>0.85056253816874972</v>
      </c>
      <c r="V10" s="13">
        <f t="shared" si="7"/>
        <v>2.3482302374999993</v>
      </c>
      <c r="W10" s="15">
        <f t="shared" si="8"/>
        <v>2.8967572523946869E-2</v>
      </c>
      <c r="X10" s="15">
        <f t="shared" si="9"/>
        <v>0.1665030541177375</v>
      </c>
      <c r="Y10" s="15">
        <f t="shared" ref="Y10:Y40" si="54">AO10*BA10+BR10*CB10+CR10*DB10</f>
        <v>0.22562299314093745</v>
      </c>
      <c r="Z10" s="14">
        <f t="shared" si="10"/>
        <v>1.2758438072531244</v>
      </c>
      <c r="AA10" s="14">
        <f t="shared" si="11"/>
        <v>16.437611662499997</v>
      </c>
      <c r="AB10" s="13">
        <f t="shared" si="12"/>
        <v>4.3451358785920297E-2</v>
      </c>
      <c r="AC10" s="14">
        <f t="shared" si="13"/>
        <v>0.24975458117660623</v>
      </c>
      <c r="AD10" s="13">
        <f t="shared" ref="AD10:AD73" si="55">(S10+Y10)/(S10+Y10+Z10)</f>
        <v>0.15644701894339166</v>
      </c>
      <c r="AE10" s="15">
        <f t="shared" ref="AE10:AE73" si="56">(S10+Y10)/P10</f>
        <v>6.2424212499999993E-2</v>
      </c>
      <c r="AF10" s="8">
        <v>0.14749999999999999</v>
      </c>
      <c r="AG10" s="12">
        <v>1.4</v>
      </c>
      <c r="AH10" s="12">
        <v>0.7</v>
      </c>
      <c r="AI10" s="12">
        <v>12.3</v>
      </c>
      <c r="AJ10" s="7">
        <v>87</v>
      </c>
      <c r="AK10" s="12">
        <v>3</v>
      </c>
      <c r="AL10" s="12">
        <f t="shared" si="14"/>
        <v>0.55910243749999988</v>
      </c>
      <c r="AM10" s="12">
        <f t="shared" ref="AM10:AM40" si="57">AG10*$AL10</f>
        <v>0.78274341249999979</v>
      </c>
      <c r="AN10" s="18">
        <f t="shared" si="15"/>
        <v>5.4792038874999982E-3</v>
      </c>
      <c r="AO10" s="8">
        <f t="shared" si="16"/>
        <v>9.6277439737499984E-2</v>
      </c>
      <c r="AP10" s="12">
        <f t="shared" si="17"/>
        <v>0.68098676887499976</v>
      </c>
      <c r="AQ10" s="12">
        <f t="shared" si="18"/>
        <v>2.3482302374999993</v>
      </c>
      <c r="AR10" s="18">
        <f t="shared" si="19"/>
        <v>1.9093460061112497E-2</v>
      </c>
      <c r="AS10" s="8">
        <f t="shared" si="20"/>
        <v>0.11548596308025</v>
      </c>
      <c r="AT10" s="8">
        <f t="shared" si="21"/>
        <v>0.14441615960624998</v>
      </c>
      <c r="AU10" s="8">
        <f t="shared" si="22"/>
        <v>1.0214801533124995</v>
      </c>
      <c r="AV10" s="8">
        <f t="shared" si="23"/>
        <v>16.437611662499997</v>
      </c>
      <c r="AW10" s="8">
        <f t="shared" si="24"/>
        <v>2.8640190091668738E-2</v>
      </c>
      <c r="AX10" s="8">
        <f t="shared" si="25"/>
        <v>0.17322894462037494</v>
      </c>
      <c r="AY10" s="495">
        <f t="shared" ref="AY10:AY73" si="58">(AN10+AT10)/(AN10+AT10+AU10)</f>
        <v>0.12796525225526231</v>
      </c>
      <c r="AZ10" s="8">
        <f t="shared" ref="AZ10:AZ40" si="59">(AH10/100+AI10/100)*AG10*AF10</f>
        <v>2.6844999999999997E-2</v>
      </c>
      <c r="BA10" s="6">
        <v>1.5</v>
      </c>
      <c r="BB10" s="6">
        <v>1.5</v>
      </c>
      <c r="BC10" s="6">
        <v>7</v>
      </c>
      <c r="BD10" s="15">
        <v>7.0999999999999994E-2</v>
      </c>
      <c r="BE10" s="13">
        <v>0.28000000000000003</v>
      </c>
      <c r="BF10" s="15">
        <v>1.7999999999999999E-2</v>
      </c>
      <c r="BG10" s="13">
        <v>0.13</v>
      </c>
      <c r="BH10" s="28">
        <f t="shared" si="26"/>
        <v>5.0371544999999992E-3</v>
      </c>
      <c r="BI10" s="15">
        <f t="shared" si="27"/>
        <v>3.0467010000000003E-2</v>
      </c>
      <c r="BJ10" s="12">
        <v>19</v>
      </c>
      <c r="BK10" s="12">
        <v>1</v>
      </c>
      <c r="BL10" s="7">
        <v>4.5</v>
      </c>
      <c r="BM10" s="7">
        <v>28.5</v>
      </c>
      <c r="BN10" s="7">
        <v>67</v>
      </c>
      <c r="BO10" s="8">
        <f t="shared" si="28"/>
        <v>0.10622946312499998</v>
      </c>
      <c r="BP10" s="8">
        <f t="shared" si="29"/>
        <v>0.10622946312499998</v>
      </c>
      <c r="BQ10" s="8">
        <f t="shared" si="30"/>
        <v>4.7803258406249986E-3</v>
      </c>
      <c r="BR10" s="8">
        <f t="shared" si="31"/>
        <v>3.0275396990624991E-2</v>
      </c>
      <c r="BS10" s="8">
        <f t="shared" si="32"/>
        <v>7.1173740293749996E-2</v>
      </c>
      <c r="BT10" s="18">
        <f t="shared" si="33"/>
        <v>5.4214206505843751E-3</v>
      </c>
      <c r="BU10" s="8">
        <f t="shared" si="34"/>
        <v>2.6950414794812493E-2</v>
      </c>
      <c r="BV10" s="8">
        <f t="shared" si="35"/>
        <v>4.5413095485937485E-2</v>
      </c>
      <c r="BW10" s="8">
        <f t="shared" si="36"/>
        <v>0.10676061044062499</v>
      </c>
      <c r="BX10" s="18">
        <f t="shared" si="37"/>
        <v>8.1321309758765597E-3</v>
      </c>
      <c r="BY10" s="8">
        <f t="shared" si="38"/>
        <v>4.0425622192218742E-2</v>
      </c>
      <c r="BZ10" s="12">
        <f t="shared" ref="BZ10:BZ40" si="60">BL10/100+BM10/100</f>
        <v>0.32999999999999996</v>
      </c>
      <c r="CA10" s="12">
        <f t="shared" ref="CA10:CA73" si="61">(BQ10+BY10)/(BQ10+BV10+BW10)</f>
        <v>0.2880203045685279</v>
      </c>
      <c r="CB10" s="6">
        <v>1.5</v>
      </c>
      <c r="CC10" s="6">
        <v>1.5</v>
      </c>
      <c r="CD10" s="15">
        <v>0.125</v>
      </c>
      <c r="CE10" s="13">
        <v>0.42</v>
      </c>
      <c r="CF10" s="15">
        <v>2.3E-2</v>
      </c>
      <c r="CG10" s="13">
        <v>0.2</v>
      </c>
      <c r="CH10" s="28">
        <f t="shared" ref="CH10:CH41" si="62">$BJ10/100*$AF10*$BK10*($BM10*CD10+$BN10*CF10)/100</f>
        <v>1.430255875E-3</v>
      </c>
      <c r="CI10" s="15">
        <f t="shared" si="39"/>
        <v>7.1099424999999982E-3</v>
      </c>
      <c r="CJ10" s="12">
        <v>22</v>
      </c>
      <c r="CK10" s="12">
        <v>1</v>
      </c>
      <c r="CL10" s="7">
        <v>0.6</v>
      </c>
      <c r="CM10" s="7">
        <v>19.399999999999999</v>
      </c>
      <c r="CN10" s="7">
        <v>80</v>
      </c>
      <c r="CO10" s="8">
        <f t="shared" si="40"/>
        <v>0.12300253624999997</v>
      </c>
      <c r="CP10" s="8">
        <f t="shared" si="41"/>
        <v>0.12300253624999997</v>
      </c>
      <c r="CQ10" s="18">
        <f t="shared" si="42"/>
        <v>7.3801521749999985E-4</v>
      </c>
      <c r="CR10" s="8">
        <f t="shared" si="43"/>
        <v>2.3862492032499991E-2</v>
      </c>
      <c r="CS10" s="8">
        <f t="shared" si="44"/>
        <v>9.8402028999999988E-2</v>
      </c>
      <c r="CT10" s="18">
        <f t="shared" si="45"/>
        <v>4.452691812249999E-3</v>
      </c>
      <c r="CU10" s="8">
        <f t="shared" si="46"/>
        <v>2.4066676242675E-2</v>
      </c>
      <c r="CV10" s="8">
        <f t="shared" si="47"/>
        <v>3.5793738048749989E-2</v>
      </c>
      <c r="CW10" s="8">
        <f t="shared" si="48"/>
        <v>0.14760304349999998</v>
      </c>
      <c r="CX10" s="18">
        <f t="shared" si="49"/>
        <v>6.6790377183749989E-3</v>
      </c>
      <c r="CY10" s="8">
        <f t="shared" si="50"/>
        <v>3.6100014364012487E-2</v>
      </c>
      <c r="CZ10" s="12">
        <f t="shared" si="51"/>
        <v>0.19999999999999998</v>
      </c>
      <c r="DA10" s="12">
        <f t="shared" ref="DA10:DA73" si="63">(CQ10+CY10)/(CQ10+CV10+CW10)</f>
        <v>0.20006012024048092</v>
      </c>
      <c r="DB10" s="6">
        <v>1.5</v>
      </c>
      <c r="DC10" s="6">
        <v>1.5</v>
      </c>
      <c r="DD10" s="15">
        <v>0.1</v>
      </c>
      <c r="DE10" s="13">
        <v>0.39</v>
      </c>
      <c r="DF10" s="15">
        <v>2.1000000000000001E-2</v>
      </c>
      <c r="DG10" s="13">
        <v>0.15</v>
      </c>
      <c r="DH10" s="28">
        <f t="shared" si="52"/>
        <v>1.1746899999999999E-3</v>
      </c>
      <c r="DI10" s="29">
        <f t="shared" si="53"/>
        <v>6.3491670000000002E-3</v>
      </c>
    </row>
    <row r="11" spans="1:114" x14ac:dyDescent="0.25">
      <c r="A11" s="85">
        <v>3</v>
      </c>
      <c r="B11" s="9" t="s">
        <v>36</v>
      </c>
      <c r="C11" s="9" t="s">
        <v>24</v>
      </c>
      <c r="D11" s="31" t="s">
        <v>181</v>
      </c>
      <c r="E11" s="9">
        <v>2</v>
      </c>
      <c r="F11" s="9">
        <v>40</v>
      </c>
      <c r="G11" s="32" t="s">
        <v>99</v>
      </c>
      <c r="H11" s="9" t="s">
        <v>10</v>
      </c>
      <c r="I11" s="9" t="s">
        <v>4</v>
      </c>
      <c r="J11" s="32" t="s">
        <v>99</v>
      </c>
      <c r="K11" s="2" t="str">
        <f t="shared" si="0"/>
        <v>Kommunal Tätort VV 40 - GIF C</v>
      </c>
      <c r="L11" s="2"/>
      <c r="M11" s="32" t="s">
        <v>99</v>
      </c>
      <c r="N11" s="53">
        <f>'Beräkna - Länk'!$C$26</f>
        <v>1</v>
      </c>
      <c r="O11" s="53">
        <f>'Beräkna - Länk'!$C$24/('Beräkna - Länk'!$C$27)^('Beräkna - Länk'!$C$25-2010)</f>
        <v>10385</v>
      </c>
      <c r="P11" s="13">
        <f t="shared" si="1"/>
        <v>3.7905249999999997</v>
      </c>
      <c r="Q11" s="13">
        <f t="shared" si="2"/>
        <v>0.71404014687499995</v>
      </c>
      <c r="R11" s="13">
        <f t="shared" si="3"/>
        <v>1.0267584593750001</v>
      </c>
      <c r="S11" s="28">
        <f t="shared" si="4"/>
        <v>1.0043469803125E-2</v>
      </c>
      <c r="T11" s="15">
        <f t="shared" si="5"/>
        <v>0.14709748222812499</v>
      </c>
      <c r="U11" s="13">
        <f t="shared" si="6"/>
        <v>0.8696175073437501</v>
      </c>
      <c r="V11" s="13">
        <f t="shared" si="7"/>
        <v>2.5017465000000003</v>
      </c>
      <c r="W11" s="15">
        <f t="shared" si="8"/>
        <v>2.848240996235938E-2</v>
      </c>
      <c r="X11" s="15">
        <f t="shared" si="9"/>
        <v>0.16530508901568747</v>
      </c>
      <c r="Y11" s="15">
        <f t="shared" si="54"/>
        <v>0.22064622334218748</v>
      </c>
      <c r="Z11" s="14">
        <f t="shared" si="10"/>
        <v>1.304426261015625</v>
      </c>
      <c r="AA11" s="14">
        <f t="shared" si="11"/>
        <v>17.512225500000003</v>
      </c>
      <c r="AB11" s="13">
        <f t="shared" si="12"/>
        <v>4.2723614943539059E-2</v>
      </c>
      <c r="AC11" s="14">
        <f t="shared" si="13"/>
        <v>0.24795763352353128</v>
      </c>
      <c r="AD11" s="13">
        <f t="shared" si="55"/>
        <v>0.15027509323971733</v>
      </c>
      <c r="AE11" s="15">
        <f t="shared" si="56"/>
        <v>6.0859562499999999E-2</v>
      </c>
      <c r="AF11" s="8">
        <v>0.13750000000000001</v>
      </c>
      <c r="AG11" s="12">
        <v>1.6</v>
      </c>
      <c r="AH11" s="12">
        <v>0.7</v>
      </c>
      <c r="AI11" s="12">
        <v>12.3</v>
      </c>
      <c r="AJ11" s="7">
        <v>87</v>
      </c>
      <c r="AK11" s="12">
        <v>3</v>
      </c>
      <c r="AL11" s="12">
        <f t="shared" si="14"/>
        <v>0.52119718749999999</v>
      </c>
      <c r="AM11" s="12">
        <f t="shared" si="57"/>
        <v>0.83391550000000003</v>
      </c>
      <c r="AN11" s="18">
        <f t="shared" si="15"/>
        <v>5.8374084999999994E-3</v>
      </c>
      <c r="AO11" s="8">
        <f t="shared" si="16"/>
        <v>0.10257160650000001</v>
      </c>
      <c r="AP11" s="12">
        <f t="shared" si="17"/>
        <v>0.72550648500000003</v>
      </c>
      <c r="AQ11" s="12">
        <f t="shared" si="18"/>
        <v>2.5017465000000003</v>
      </c>
      <c r="AR11" s="18">
        <f t="shared" si="19"/>
        <v>2.0341700791500002E-2</v>
      </c>
      <c r="AS11" s="8">
        <f t="shared" si="20"/>
        <v>0.12303589287</v>
      </c>
      <c r="AT11" s="8">
        <f t="shared" si="21"/>
        <v>0.15385740975000001</v>
      </c>
      <c r="AU11" s="8">
        <f t="shared" si="22"/>
        <v>1.0882597275000001</v>
      </c>
      <c r="AV11" s="8">
        <f t="shared" si="23"/>
        <v>17.512225500000003</v>
      </c>
      <c r="AW11" s="8">
        <f t="shared" si="24"/>
        <v>3.0512551187249999E-2</v>
      </c>
      <c r="AX11" s="8">
        <f t="shared" si="25"/>
        <v>0.18455383930500002</v>
      </c>
      <c r="AY11" s="495">
        <f t="shared" si="58"/>
        <v>0.12796525225526229</v>
      </c>
      <c r="AZ11" s="8">
        <f t="shared" si="59"/>
        <v>2.8600000000000004E-2</v>
      </c>
      <c r="BA11" s="6">
        <v>1.5</v>
      </c>
      <c r="BB11" s="6">
        <v>1.5</v>
      </c>
      <c r="BC11" s="6">
        <v>7</v>
      </c>
      <c r="BD11" s="15">
        <v>7.0999999999999994E-2</v>
      </c>
      <c r="BE11" s="13">
        <v>0.28000000000000003</v>
      </c>
      <c r="BF11" s="15">
        <v>1.7999999999999999E-2</v>
      </c>
      <c r="BG11" s="13">
        <v>0.13</v>
      </c>
      <c r="BH11" s="28">
        <f t="shared" si="26"/>
        <v>5.3664600000000008E-3</v>
      </c>
      <c r="BI11" s="15">
        <f t="shared" si="27"/>
        <v>3.2458800000000003E-2</v>
      </c>
      <c r="BJ11" s="12">
        <v>15</v>
      </c>
      <c r="BK11" s="12">
        <v>1</v>
      </c>
      <c r="BL11" s="7">
        <v>4.5</v>
      </c>
      <c r="BM11" s="7">
        <v>28.5</v>
      </c>
      <c r="BN11" s="7">
        <v>67</v>
      </c>
      <c r="BO11" s="8">
        <f t="shared" si="28"/>
        <v>7.8179578124999996E-2</v>
      </c>
      <c r="BP11" s="8">
        <f t="shared" si="29"/>
        <v>7.8179578124999996E-2</v>
      </c>
      <c r="BQ11" s="8">
        <f t="shared" si="30"/>
        <v>3.5180810156249997E-3</v>
      </c>
      <c r="BR11" s="8">
        <f t="shared" si="31"/>
        <v>2.2281179765624996E-2</v>
      </c>
      <c r="BS11" s="8">
        <f t="shared" si="32"/>
        <v>5.2380317343750003E-2</v>
      </c>
      <c r="BT11" s="18">
        <f t="shared" si="33"/>
        <v>3.9898947696093753E-3</v>
      </c>
      <c r="BU11" s="8">
        <f t="shared" si="34"/>
        <v>1.9834158970312495E-2</v>
      </c>
      <c r="BV11" s="8">
        <f t="shared" si="35"/>
        <v>3.3421769648437495E-2</v>
      </c>
      <c r="BW11" s="8">
        <f t="shared" si="36"/>
        <v>7.8570476015625001E-2</v>
      </c>
      <c r="BX11" s="18">
        <f t="shared" si="37"/>
        <v>5.984842154414062E-3</v>
      </c>
      <c r="BY11" s="8">
        <f t="shared" si="38"/>
        <v>2.9751238455468745E-2</v>
      </c>
      <c r="BZ11" s="12">
        <f t="shared" si="60"/>
        <v>0.32999999999999996</v>
      </c>
      <c r="CA11" s="12">
        <f t="shared" si="61"/>
        <v>0.2880203045685279</v>
      </c>
      <c r="CB11" s="6">
        <v>1.5</v>
      </c>
      <c r="CC11" s="6">
        <v>1.5</v>
      </c>
      <c r="CD11" s="15">
        <v>0.125</v>
      </c>
      <c r="CE11" s="13">
        <v>0.42</v>
      </c>
      <c r="CF11" s="15">
        <v>2.3E-2</v>
      </c>
      <c r="CG11" s="13">
        <v>0.2</v>
      </c>
      <c r="CH11" s="28">
        <f t="shared" si="62"/>
        <v>1.0525968750000002E-3</v>
      </c>
      <c r="CI11" s="15">
        <f t="shared" si="39"/>
        <v>5.2325624999999994E-3</v>
      </c>
      <c r="CJ11" s="12">
        <v>22</v>
      </c>
      <c r="CK11" s="12">
        <v>1</v>
      </c>
      <c r="CL11" s="7">
        <v>0.6</v>
      </c>
      <c r="CM11" s="7">
        <v>19.399999999999999</v>
      </c>
      <c r="CN11" s="7">
        <v>80</v>
      </c>
      <c r="CO11" s="8">
        <f t="shared" si="40"/>
        <v>0.11466338125</v>
      </c>
      <c r="CP11" s="8">
        <f t="shared" si="41"/>
        <v>0.11466338125</v>
      </c>
      <c r="CQ11" s="18">
        <f t="shared" si="42"/>
        <v>6.8798028749999997E-4</v>
      </c>
      <c r="CR11" s="8">
        <f t="shared" si="43"/>
        <v>2.2244695962499998E-2</v>
      </c>
      <c r="CS11" s="8">
        <f t="shared" si="44"/>
        <v>9.173070500000001E-2</v>
      </c>
      <c r="CT11" s="18">
        <f t="shared" si="45"/>
        <v>4.1508144012500003E-3</v>
      </c>
      <c r="CU11" s="8">
        <f t="shared" si="46"/>
        <v>2.2435037175374997E-2</v>
      </c>
      <c r="CV11" s="8">
        <f t="shared" si="47"/>
        <v>3.3367043943749994E-2</v>
      </c>
      <c r="CW11" s="8">
        <f t="shared" si="48"/>
        <v>0.13759605750000001</v>
      </c>
      <c r="CX11" s="18">
        <f t="shared" si="49"/>
        <v>6.226221601875E-3</v>
      </c>
      <c r="CY11" s="8">
        <f t="shared" si="50"/>
        <v>3.3652555763062503E-2</v>
      </c>
      <c r="CZ11" s="12">
        <f t="shared" si="51"/>
        <v>0.19999999999999998</v>
      </c>
      <c r="DA11" s="12">
        <f t="shared" si="63"/>
        <v>0.200060120240481</v>
      </c>
      <c r="DB11" s="6">
        <v>1.5</v>
      </c>
      <c r="DC11" s="6">
        <v>1.5</v>
      </c>
      <c r="DD11" s="15">
        <v>0.1</v>
      </c>
      <c r="DE11" s="13">
        <v>0.39</v>
      </c>
      <c r="DF11" s="15">
        <v>2.1000000000000001E-2</v>
      </c>
      <c r="DG11" s="13">
        <v>0.15</v>
      </c>
      <c r="DH11" s="28">
        <f t="shared" si="52"/>
        <v>1.0950500000000002E-3</v>
      </c>
      <c r="DI11" s="29">
        <f t="shared" si="53"/>
        <v>5.9187149999999997E-3</v>
      </c>
    </row>
    <row r="12" spans="1:114" x14ac:dyDescent="0.25">
      <c r="A12" s="85">
        <v>4</v>
      </c>
      <c r="B12" s="9" t="s">
        <v>36</v>
      </c>
      <c r="C12" s="9" t="s">
        <v>24</v>
      </c>
      <c r="D12" s="31" t="s">
        <v>181</v>
      </c>
      <c r="E12" s="9">
        <v>2</v>
      </c>
      <c r="F12" s="9">
        <v>40</v>
      </c>
      <c r="G12" s="32" t="s">
        <v>99</v>
      </c>
      <c r="H12" s="9" t="s">
        <v>10</v>
      </c>
      <c r="I12" s="9" t="s">
        <v>5</v>
      </c>
      <c r="J12" s="32" t="s">
        <v>99</v>
      </c>
      <c r="K12" s="2" t="str">
        <f t="shared" si="0"/>
        <v>Kommunal Tätort VV 40 - GIF M</v>
      </c>
      <c r="L12" s="2"/>
      <c r="M12" s="32" t="s">
        <v>99</v>
      </c>
      <c r="N12" s="53">
        <f>'Beräkna - Länk'!$C$26</f>
        <v>1</v>
      </c>
      <c r="O12" s="53">
        <f>'Beräkna - Länk'!$C$24/('Beräkna - Länk'!$C$27)^('Beräkna - Länk'!$C$25-2010)</f>
        <v>10385</v>
      </c>
      <c r="P12" s="13">
        <f t="shared" si="1"/>
        <v>3.7905249999999997</v>
      </c>
      <c r="Q12" s="13">
        <f t="shared" si="2"/>
        <v>0.6129278924999999</v>
      </c>
      <c r="R12" s="13">
        <f t="shared" si="3"/>
        <v>0.91010505249999984</v>
      </c>
      <c r="S12" s="28">
        <f t="shared" si="4"/>
        <v>8.3952547699999974E-3</v>
      </c>
      <c r="T12" s="15">
        <f t="shared" si="5"/>
        <v>0.12756329592999999</v>
      </c>
      <c r="U12" s="13">
        <f t="shared" si="6"/>
        <v>0.77414650179999989</v>
      </c>
      <c r="V12" s="13">
        <f t="shared" si="7"/>
        <v>2.2845494174999996</v>
      </c>
      <c r="W12" s="15">
        <f t="shared" si="8"/>
        <v>2.4781194753804994E-2</v>
      </c>
      <c r="X12" s="15">
        <f t="shared" si="9"/>
        <v>0.14466101235914999</v>
      </c>
      <c r="Y12" s="15">
        <f t="shared" si="54"/>
        <v>0.19134494389499998</v>
      </c>
      <c r="Z12" s="14">
        <f t="shared" si="10"/>
        <v>1.1612197526999999</v>
      </c>
      <c r="AA12" s="14">
        <f t="shared" si="11"/>
        <v>15.991845922499998</v>
      </c>
      <c r="AB12" s="13">
        <f t="shared" si="12"/>
        <v>3.7171792130707496E-2</v>
      </c>
      <c r="AC12" s="14">
        <f t="shared" si="13"/>
        <v>0.21699151853872503</v>
      </c>
      <c r="AD12" s="13">
        <f t="shared" si="55"/>
        <v>0.14676420012555613</v>
      </c>
      <c r="AE12" s="15">
        <f t="shared" si="56"/>
        <v>5.2694600000000001E-2</v>
      </c>
      <c r="AF12" s="8">
        <v>0.1225</v>
      </c>
      <c r="AG12" s="12">
        <v>1.64</v>
      </c>
      <c r="AH12" s="12">
        <v>0.7</v>
      </c>
      <c r="AI12" s="12">
        <v>12.3</v>
      </c>
      <c r="AJ12" s="7">
        <v>87</v>
      </c>
      <c r="AK12" s="12">
        <v>3</v>
      </c>
      <c r="AL12" s="12">
        <f t="shared" si="14"/>
        <v>0.46433931249999993</v>
      </c>
      <c r="AM12" s="12">
        <f t="shared" si="57"/>
        <v>0.76151647249999987</v>
      </c>
      <c r="AN12" s="18">
        <f t="shared" si="15"/>
        <v>5.330615307499998E-3</v>
      </c>
      <c r="AO12" s="8">
        <f t="shared" si="16"/>
        <v>9.3666526117499982E-2</v>
      </c>
      <c r="AP12" s="12">
        <f t="shared" si="17"/>
        <v>0.66251933107499994</v>
      </c>
      <c r="AQ12" s="12">
        <f t="shared" si="18"/>
        <v>2.2845494174999996</v>
      </c>
      <c r="AR12" s="18">
        <f t="shared" si="19"/>
        <v>1.8575671313692494E-2</v>
      </c>
      <c r="AS12" s="8">
        <f t="shared" si="20"/>
        <v>0.11235414035265</v>
      </c>
      <c r="AT12" s="8">
        <f t="shared" si="21"/>
        <v>0.14049978917624997</v>
      </c>
      <c r="AU12" s="8">
        <f t="shared" si="22"/>
        <v>0.99377899661249991</v>
      </c>
      <c r="AV12" s="8">
        <f t="shared" si="23"/>
        <v>15.991845922499998</v>
      </c>
      <c r="AW12" s="8">
        <f t="shared" si="24"/>
        <v>2.7863506970538743E-2</v>
      </c>
      <c r="AX12" s="8">
        <f t="shared" si="25"/>
        <v>0.16853121052897496</v>
      </c>
      <c r="AY12" s="495">
        <f t="shared" si="58"/>
        <v>0.12796525225526229</v>
      </c>
      <c r="AZ12" s="8">
        <f t="shared" si="59"/>
        <v>2.6117000000000001E-2</v>
      </c>
      <c r="BA12" s="6">
        <v>1.5</v>
      </c>
      <c r="BB12" s="6">
        <v>1.5</v>
      </c>
      <c r="BC12" s="6">
        <v>7</v>
      </c>
      <c r="BD12" s="15">
        <v>7.0999999999999994E-2</v>
      </c>
      <c r="BE12" s="13">
        <v>0.28000000000000003</v>
      </c>
      <c r="BF12" s="15">
        <v>1.7999999999999999E-2</v>
      </c>
      <c r="BG12" s="13">
        <v>0.13</v>
      </c>
      <c r="BH12" s="28">
        <f t="shared" si="26"/>
        <v>4.9005536999999991E-3</v>
      </c>
      <c r="BI12" s="15">
        <f t="shared" si="27"/>
        <v>2.9640786000000002E-2</v>
      </c>
      <c r="BJ12" s="12">
        <v>12</v>
      </c>
      <c r="BK12" s="12">
        <v>1</v>
      </c>
      <c r="BL12" s="7">
        <v>4.5</v>
      </c>
      <c r="BM12" s="7">
        <v>28.5</v>
      </c>
      <c r="BN12" s="7">
        <v>67</v>
      </c>
      <c r="BO12" s="8">
        <f t="shared" si="28"/>
        <v>5.5720717499999989E-2</v>
      </c>
      <c r="BP12" s="8">
        <f t="shared" si="29"/>
        <v>5.5720717499999989E-2</v>
      </c>
      <c r="BQ12" s="8">
        <f t="shared" si="30"/>
        <v>2.5074322874999995E-3</v>
      </c>
      <c r="BR12" s="8">
        <f t="shared" si="31"/>
        <v>1.5880404487499996E-2</v>
      </c>
      <c r="BS12" s="8">
        <f t="shared" si="32"/>
        <v>3.7332880724999996E-2</v>
      </c>
      <c r="BT12" s="18">
        <f t="shared" si="33"/>
        <v>2.8437068176124999E-3</v>
      </c>
      <c r="BU12" s="8">
        <f t="shared" si="34"/>
        <v>1.4136346029749997E-2</v>
      </c>
      <c r="BV12" s="8">
        <f t="shared" si="35"/>
        <v>2.3820606731249992E-2</v>
      </c>
      <c r="BW12" s="8">
        <f t="shared" si="36"/>
        <v>5.5999321087499998E-2</v>
      </c>
      <c r="BX12" s="18">
        <f t="shared" si="37"/>
        <v>4.265560226418749E-3</v>
      </c>
      <c r="BY12" s="8">
        <f t="shared" si="38"/>
        <v>2.1204519044624996E-2</v>
      </c>
      <c r="BZ12" s="12">
        <f t="shared" si="60"/>
        <v>0.32999999999999996</v>
      </c>
      <c r="CA12" s="12">
        <f t="shared" si="61"/>
        <v>0.2880203045685279</v>
      </c>
      <c r="CB12" s="6">
        <v>1.5</v>
      </c>
      <c r="CC12" s="6">
        <v>1.5</v>
      </c>
      <c r="CD12" s="15">
        <v>0.125</v>
      </c>
      <c r="CE12" s="13">
        <v>0.42</v>
      </c>
      <c r="CF12" s="15">
        <v>2.3E-2</v>
      </c>
      <c r="CG12" s="13">
        <v>0.2</v>
      </c>
      <c r="CH12" s="28">
        <f t="shared" si="62"/>
        <v>7.5021450000000009E-4</v>
      </c>
      <c r="CI12" s="15">
        <f t="shared" si="39"/>
        <v>3.7293899999999995E-3</v>
      </c>
      <c r="CJ12" s="12">
        <v>20</v>
      </c>
      <c r="CK12" s="12">
        <v>1</v>
      </c>
      <c r="CL12" s="7">
        <v>0.6</v>
      </c>
      <c r="CM12" s="7">
        <v>19.399999999999999</v>
      </c>
      <c r="CN12" s="7">
        <v>80</v>
      </c>
      <c r="CO12" s="8">
        <f t="shared" si="40"/>
        <v>9.2867862499999995E-2</v>
      </c>
      <c r="CP12" s="8">
        <f t="shared" si="41"/>
        <v>9.2867862499999995E-2</v>
      </c>
      <c r="CQ12" s="18">
        <f t="shared" si="42"/>
        <v>5.5720717499999994E-4</v>
      </c>
      <c r="CR12" s="8">
        <f t="shared" si="43"/>
        <v>1.8016365324999999E-2</v>
      </c>
      <c r="CS12" s="8">
        <f t="shared" si="44"/>
        <v>7.4294289999999999E-2</v>
      </c>
      <c r="CT12" s="18">
        <f t="shared" si="45"/>
        <v>3.3618166225E-3</v>
      </c>
      <c r="CU12" s="8">
        <f t="shared" si="46"/>
        <v>1.8170525976749997E-2</v>
      </c>
      <c r="CV12" s="8">
        <f t="shared" si="47"/>
        <v>2.7024547987499998E-2</v>
      </c>
      <c r="CW12" s="8">
        <f t="shared" si="48"/>
        <v>0.11144143500000001</v>
      </c>
      <c r="CX12" s="18">
        <f t="shared" si="49"/>
        <v>5.0427249337500002E-3</v>
      </c>
      <c r="CY12" s="8">
        <f t="shared" si="50"/>
        <v>2.7255788965124997E-2</v>
      </c>
      <c r="CZ12" s="12">
        <f t="shared" si="51"/>
        <v>0.19999999999999998</v>
      </c>
      <c r="DA12" s="12">
        <f t="shared" si="63"/>
        <v>0.20006012024048095</v>
      </c>
      <c r="DB12" s="6">
        <v>1.5</v>
      </c>
      <c r="DC12" s="6">
        <v>1.5</v>
      </c>
      <c r="DD12" s="15">
        <v>0.1</v>
      </c>
      <c r="DE12" s="13">
        <v>0.39</v>
      </c>
      <c r="DF12" s="15">
        <v>2.1000000000000001E-2</v>
      </c>
      <c r="DG12" s="13">
        <v>0.15</v>
      </c>
      <c r="DH12" s="28">
        <f t="shared" si="52"/>
        <v>8.8690000000000004E-4</v>
      </c>
      <c r="DI12" s="29">
        <f t="shared" si="53"/>
        <v>4.7936699999999999E-3</v>
      </c>
    </row>
    <row r="13" spans="1:114" x14ac:dyDescent="0.25">
      <c r="A13" s="85">
        <v>5</v>
      </c>
      <c r="B13" s="9" t="s">
        <v>36</v>
      </c>
      <c r="C13" s="9" t="s">
        <v>24</v>
      </c>
      <c r="D13" s="31" t="s">
        <v>181</v>
      </c>
      <c r="E13" s="9">
        <v>2</v>
      </c>
      <c r="F13" s="9">
        <v>40</v>
      </c>
      <c r="G13" s="32" t="s">
        <v>99</v>
      </c>
      <c r="H13" s="19" t="s">
        <v>25</v>
      </c>
      <c r="I13" s="33" t="s">
        <v>4</v>
      </c>
      <c r="J13" s="32" t="s">
        <v>99</v>
      </c>
      <c r="K13" s="2" t="str">
        <f t="shared" si="0"/>
        <v>Kommunal Tätort VV 40 - Tangent C</v>
      </c>
      <c r="L13" s="2"/>
      <c r="M13" s="32" t="s">
        <v>99</v>
      </c>
      <c r="N13" s="53">
        <f>'Beräkna - Länk'!$C$26</f>
        <v>1</v>
      </c>
      <c r="O13" s="53">
        <f>'Beräkna - Länk'!$C$24/('Beräkna - Länk'!$C$27)^('Beräkna - Länk'!$C$25-2010)</f>
        <v>10385</v>
      </c>
      <c r="P13" s="13">
        <f t="shared" si="1"/>
        <v>3.7905249999999997</v>
      </c>
      <c r="Q13" s="13">
        <f t="shared" si="2"/>
        <v>0.76597033937499981</v>
      </c>
      <c r="R13" s="13">
        <f t="shared" si="3"/>
        <v>0.98961131437499972</v>
      </c>
      <c r="S13" s="28">
        <f t="shared" si="4"/>
        <v>1.0427260459374997E-2</v>
      </c>
      <c r="T13" s="15">
        <f t="shared" si="5"/>
        <v>0.14505912740937496</v>
      </c>
      <c r="U13" s="13">
        <f t="shared" si="6"/>
        <v>0.83412492650624981</v>
      </c>
      <c r="V13" s="13">
        <f t="shared" si="7"/>
        <v>2.3482302374999993</v>
      </c>
      <c r="W13" s="15">
        <f t="shared" si="8"/>
        <v>2.7992106501240621E-2</v>
      </c>
      <c r="X13" s="15">
        <f t="shared" si="9"/>
        <v>0.16147828869143749</v>
      </c>
      <c r="Y13" s="15">
        <f t="shared" si="54"/>
        <v>0.21758869111406245</v>
      </c>
      <c r="Z13" s="14">
        <f t="shared" si="10"/>
        <v>1.2511873897593746</v>
      </c>
      <c r="AA13" s="14">
        <f t="shared" si="11"/>
        <v>16.437611662499997</v>
      </c>
      <c r="AB13" s="13">
        <f t="shared" si="12"/>
        <v>4.1988159751860925E-2</v>
      </c>
      <c r="AC13" s="14">
        <f t="shared" si="13"/>
        <v>0.2422174330371562</v>
      </c>
      <c r="AD13" s="13">
        <f t="shared" si="55"/>
        <v>0.15414780727035635</v>
      </c>
      <c r="AE13" s="15">
        <f t="shared" si="56"/>
        <v>6.0154187499999991E-2</v>
      </c>
      <c r="AF13" s="8">
        <v>0.14749999999999999</v>
      </c>
      <c r="AG13" s="12">
        <v>1.4</v>
      </c>
      <c r="AH13" s="12">
        <v>0.7</v>
      </c>
      <c r="AI13" s="12">
        <v>12.3</v>
      </c>
      <c r="AJ13" s="7">
        <v>87</v>
      </c>
      <c r="AK13" s="12">
        <v>3</v>
      </c>
      <c r="AL13" s="12">
        <f t="shared" si="14"/>
        <v>0.55910243749999988</v>
      </c>
      <c r="AM13" s="12">
        <f t="shared" si="57"/>
        <v>0.78274341249999979</v>
      </c>
      <c r="AN13" s="18">
        <f t="shared" si="15"/>
        <v>5.4792038874999982E-3</v>
      </c>
      <c r="AO13" s="8">
        <f t="shared" si="16"/>
        <v>9.6277439737499984E-2</v>
      </c>
      <c r="AP13" s="12">
        <f t="shared" si="17"/>
        <v>0.68098676887499976</v>
      </c>
      <c r="AQ13" s="12">
        <f t="shared" si="18"/>
        <v>2.3482302374999993</v>
      </c>
      <c r="AR13" s="18">
        <f t="shared" si="19"/>
        <v>1.9093460061112497E-2</v>
      </c>
      <c r="AS13" s="8">
        <f t="shared" si="20"/>
        <v>0.11548596308025</v>
      </c>
      <c r="AT13" s="8">
        <f t="shared" si="21"/>
        <v>0.14441615960624998</v>
      </c>
      <c r="AU13" s="8">
        <f t="shared" si="22"/>
        <v>1.0214801533124995</v>
      </c>
      <c r="AV13" s="8">
        <f t="shared" si="23"/>
        <v>16.437611662499997</v>
      </c>
      <c r="AW13" s="8">
        <f t="shared" si="24"/>
        <v>2.8640190091668738E-2</v>
      </c>
      <c r="AX13" s="8">
        <f t="shared" si="25"/>
        <v>0.17322894462037494</v>
      </c>
      <c r="AY13" s="495">
        <f t="shared" si="58"/>
        <v>0.12796525225526231</v>
      </c>
      <c r="AZ13" s="8">
        <f t="shared" si="59"/>
        <v>2.6844999999999997E-2</v>
      </c>
      <c r="BA13" s="6">
        <v>1.5</v>
      </c>
      <c r="BB13" s="6">
        <v>1.5</v>
      </c>
      <c r="BC13" s="6">
        <v>7</v>
      </c>
      <c r="BD13" s="15">
        <v>7.0999999999999994E-2</v>
      </c>
      <c r="BE13" s="13">
        <v>0.28000000000000003</v>
      </c>
      <c r="BF13" s="15">
        <v>1.7999999999999999E-2</v>
      </c>
      <c r="BG13" s="13">
        <v>0.13</v>
      </c>
      <c r="BH13" s="28">
        <f t="shared" si="26"/>
        <v>5.0371544999999992E-3</v>
      </c>
      <c r="BI13" s="15">
        <f t="shared" si="27"/>
        <v>3.0467010000000003E-2</v>
      </c>
      <c r="BJ13" s="12">
        <v>17</v>
      </c>
      <c r="BK13" s="12">
        <v>1</v>
      </c>
      <c r="BL13" s="7">
        <v>4.5</v>
      </c>
      <c r="BM13" s="7">
        <v>28.5</v>
      </c>
      <c r="BN13" s="7">
        <v>67</v>
      </c>
      <c r="BO13" s="8">
        <f t="shared" si="28"/>
        <v>9.5047414374999986E-2</v>
      </c>
      <c r="BP13" s="8">
        <f t="shared" si="29"/>
        <v>9.5047414374999986E-2</v>
      </c>
      <c r="BQ13" s="8">
        <f t="shared" si="30"/>
        <v>4.2771336468749995E-3</v>
      </c>
      <c r="BR13" s="8">
        <f t="shared" si="31"/>
        <v>2.7088513096874992E-2</v>
      </c>
      <c r="BS13" s="8">
        <f t="shared" si="32"/>
        <v>6.3681767631249997E-2</v>
      </c>
      <c r="BT13" s="18">
        <f t="shared" si="33"/>
        <v>4.8507447926281252E-3</v>
      </c>
      <c r="BU13" s="8">
        <f t="shared" si="34"/>
        <v>2.4113529026937496E-2</v>
      </c>
      <c r="BV13" s="8">
        <f t="shared" si="35"/>
        <v>4.063276964531249E-2</v>
      </c>
      <c r="BW13" s="8">
        <f t="shared" si="36"/>
        <v>9.5522651446874995E-2</v>
      </c>
      <c r="BX13" s="18">
        <f t="shared" si="37"/>
        <v>7.276117188942186E-3</v>
      </c>
      <c r="BY13" s="8">
        <f t="shared" si="38"/>
        <v>3.6170293540406247E-2</v>
      </c>
      <c r="BZ13" s="12">
        <f t="shared" si="60"/>
        <v>0.32999999999999996</v>
      </c>
      <c r="CA13" s="12">
        <f t="shared" si="61"/>
        <v>0.2880203045685279</v>
      </c>
      <c r="CB13" s="6">
        <v>1.5</v>
      </c>
      <c r="CC13" s="6">
        <v>1.5</v>
      </c>
      <c r="CD13" s="15">
        <v>0.125</v>
      </c>
      <c r="CE13" s="13">
        <v>0.42</v>
      </c>
      <c r="CF13" s="15">
        <v>2.3E-2</v>
      </c>
      <c r="CG13" s="13">
        <v>0.2</v>
      </c>
      <c r="CH13" s="28">
        <f t="shared" si="62"/>
        <v>1.2797026250000001E-3</v>
      </c>
      <c r="CI13" s="15">
        <f t="shared" si="39"/>
        <v>6.3615274999999994E-3</v>
      </c>
      <c r="CJ13" s="12">
        <v>20</v>
      </c>
      <c r="CK13" s="12">
        <v>1</v>
      </c>
      <c r="CL13" s="7">
        <v>0.6</v>
      </c>
      <c r="CM13" s="7">
        <v>19.399999999999999</v>
      </c>
      <c r="CN13" s="7">
        <v>80</v>
      </c>
      <c r="CO13" s="8">
        <f t="shared" si="40"/>
        <v>0.11182048749999998</v>
      </c>
      <c r="CP13" s="8">
        <f t="shared" si="41"/>
        <v>0.11182048749999998</v>
      </c>
      <c r="CQ13" s="18">
        <f t="shared" si="42"/>
        <v>6.7092292499999989E-4</v>
      </c>
      <c r="CR13" s="8">
        <f t="shared" si="43"/>
        <v>2.1693174574999995E-2</v>
      </c>
      <c r="CS13" s="8">
        <f t="shared" si="44"/>
        <v>8.9456389999999997E-2</v>
      </c>
      <c r="CT13" s="18">
        <f t="shared" si="45"/>
        <v>4.0479016474999994E-3</v>
      </c>
      <c r="CU13" s="8">
        <f t="shared" si="46"/>
        <v>2.1878796584249998E-2</v>
      </c>
      <c r="CV13" s="8">
        <f t="shared" si="47"/>
        <v>3.2539761862499988E-2</v>
      </c>
      <c r="CW13" s="8">
        <f t="shared" si="48"/>
        <v>0.134184585</v>
      </c>
      <c r="CX13" s="18">
        <f t="shared" si="49"/>
        <v>6.0718524712499991E-3</v>
      </c>
      <c r="CY13" s="8">
        <f t="shared" si="50"/>
        <v>3.2818194876374995E-2</v>
      </c>
      <c r="CZ13" s="12">
        <f t="shared" si="51"/>
        <v>0.19999999999999998</v>
      </c>
      <c r="DA13" s="12">
        <f t="shared" si="63"/>
        <v>0.20006012024048095</v>
      </c>
      <c r="DB13" s="6">
        <v>1.5</v>
      </c>
      <c r="DC13" s="6">
        <v>1.5</v>
      </c>
      <c r="DD13" s="15">
        <v>0.1</v>
      </c>
      <c r="DE13" s="13">
        <v>0.39</v>
      </c>
      <c r="DF13" s="15">
        <v>2.1000000000000001E-2</v>
      </c>
      <c r="DG13" s="13">
        <v>0.15</v>
      </c>
      <c r="DH13" s="28">
        <f t="shared" si="52"/>
        <v>1.0678999999999999E-3</v>
      </c>
      <c r="DI13" s="29">
        <f t="shared" si="53"/>
        <v>5.7719699999999995E-3</v>
      </c>
    </row>
    <row r="14" spans="1:114" x14ac:dyDescent="0.25">
      <c r="A14" s="85">
        <v>6</v>
      </c>
      <c r="B14" s="9" t="s">
        <v>36</v>
      </c>
      <c r="C14" s="9" t="s">
        <v>24</v>
      </c>
      <c r="D14" s="31" t="s">
        <v>181</v>
      </c>
      <c r="E14" s="9">
        <v>2</v>
      </c>
      <c r="F14" s="9">
        <v>40</v>
      </c>
      <c r="G14" s="32" t="s">
        <v>99</v>
      </c>
      <c r="H14" s="19" t="s">
        <v>25</v>
      </c>
      <c r="I14" s="33" t="s">
        <v>5</v>
      </c>
      <c r="J14" s="32" t="s">
        <v>99</v>
      </c>
      <c r="K14" s="2" t="str">
        <f t="shared" si="0"/>
        <v>Kommunal Tätort VV 40 - Tangent M</v>
      </c>
      <c r="L14" s="2"/>
      <c r="M14" s="32" t="s">
        <v>99</v>
      </c>
      <c r="N14" s="53">
        <f>'Beräkna - Länk'!$C$26</f>
        <v>1</v>
      </c>
      <c r="O14" s="53">
        <f>'Beräkna - Länk'!$C$24/('Beräkna - Länk'!$C$27)^('Beräkna - Länk'!$C$25-2010)</f>
        <v>10385</v>
      </c>
      <c r="P14" s="13">
        <f t="shared" si="1"/>
        <v>3.7905249999999997</v>
      </c>
      <c r="Q14" s="13">
        <f t="shared" si="2"/>
        <v>0.65794037687499995</v>
      </c>
      <c r="R14" s="13">
        <f t="shared" si="3"/>
        <v>0.93919733187499999</v>
      </c>
      <c r="S14" s="28">
        <f t="shared" si="4"/>
        <v>9.1609408199999996E-3</v>
      </c>
      <c r="T14" s="15">
        <f t="shared" si="5"/>
        <v>0.13297427036749998</v>
      </c>
      <c r="U14" s="13">
        <f t="shared" si="6"/>
        <v>0.79706212068750004</v>
      </c>
      <c r="V14" s="13">
        <f t="shared" si="7"/>
        <v>2.3505045524999999</v>
      </c>
      <c r="W14" s="15">
        <f t="shared" si="8"/>
        <v>2.5791252728608747E-2</v>
      </c>
      <c r="X14" s="15">
        <f t="shared" si="9"/>
        <v>0.15014229534961254</v>
      </c>
      <c r="Y14" s="15">
        <f t="shared" si="54"/>
        <v>0.19946140555125</v>
      </c>
      <c r="Z14" s="14">
        <f t="shared" si="10"/>
        <v>1.1955931810312501</v>
      </c>
      <c r="AA14" s="14">
        <f t="shared" si="11"/>
        <v>16.453531867500001</v>
      </c>
      <c r="AB14" s="13">
        <f t="shared" si="12"/>
        <v>3.8686879092913129E-2</v>
      </c>
      <c r="AC14" s="14">
        <f t="shared" si="13"/>
        <v>0.22521344302441876</v>
      </c>
      <c r="AD14" s="13">
        <f t="shared" si="55"/>
        <v>0.14856860809476799</v>
      </c>
      <c r="AE14" s="15">
        <f t="shared" si="56"/>
        <v>5.5037849999999999E-2</v>
      </c>
      <c r="AF14" s="8">
        <v>0.13250000000000001</v>
      </c>
      <c r="AG14" s="6">
        <v>1.56</v>
      </c>
      <c r="AH14" s="12">
        <v>0.7</v>
      </c>
      <c r="AI14" s="12">
        <v>12.3</v>
      </c>
      <c r="AJ14" s="7">
        <v>87</v>
      </c>
      <c r="AK14" s="12">
        <v>3</v>
      </c>
      <c r="AL14" s="12">
        <f t="shared" si="14"/>
        <v>0.50224456249999994</v>
      </c>
      <c r="AM14" s="12">
        <f t="shared" si="57"/>
        <v>0.78350151749999997</v>
      </c>
      <c r="AN14" s="18">
        <f t="shared" si="15"/>
        <v>5.4845106224999992E-3</v>
      </c>
      <c r="AO14" s="8">
        <f t="shared" si="16"/>
        <v>9.6370686652499996E-2</v>
      </c>
      <c r="AP14" s="12">
        <f t="shared" si="17"/>
        <v>0.68164632022500005</v>
      </c>
      <c r="AQ14" s="12">
        <f t="shared" si="18"/>
        <v>2.3505045524999999</v>
      </c>
      <c r="AR14" s="18">
        <f t="shared" si="19"/>
        <v>1.9111952516377494E-2</v>
      </c>
      <c r="AS14" s="8">
        <f t="shared" si="20"/>
        <v>0.11559781389195002</v>
      </c>
      <c r="AT14" s="8">
        <f t="shared" si="21"/>
        <v>0.14455602997875</v>
      </c>
      <c r="AU14" s="8">
        <f t="shared" si="22"/>
        <v>1.0224694803375001</v>
      </c>
      <c r="AV14" s="8">
        <f t="shared" si="23"/>
        <v>16.453531867500001</v>
      </c>
      <c r="AW14" s="8">
        <f t="shared" si="24"/>
        <v>2.8667928774566247E-2</v>
      </c>
      <c r="AX14" s="8">
        <f t="shared" si="25"/>
        <v>0.17339672083792501</v>
      </c>
      <c r="AY14" s="495">
        <f t="shared" si="58"/>
        <v>0.12796525225526229</v>
      </c>
      <c r="AZ14" s="8">
        <f t="shared" si="59"/>
        <v>2.6871000000000003E-2</v>
      </c>
      <c r="BA14" s="6">
        <v>1.5</v>
      </c>
      <c r="BB14" s="6">
        <v>1.5</v>
      </c>
      <c r="BC14" s="6">
        <v>7</v>
      </c>
      <c r="BD14" s="15">
        <v>7.0999999999999994E-2</v>
      </c>
      <c r="BE14" s="13">
        <v>0.28000000000000003</v>
      </c>
      <c r="BF14" s="15">
        <v>1.7999999999999999E-2</v>
      </c>
      <c r="BG14" s="13">
        <v>0.13</v>
      </c>
      <c r="BH14" s="28">
        <f t="shared" si="26"/>
        <v>5.0420330999999992E-3</v>
      </c>
      <c r="BI14" s="15">
        <f t="shared" si="27"/>
        <v>3.0496518000000007E-2</v>
      </c>
      <c r="BJ14" s="12">
        <v>14</v>
      </c>
      <c r="BK14" s="12">
        <v>1</v>
      </c>
      <c r="BL14" s="7">
        <v>4.5</v>
      </c>
      <c r="BM14" s="7">
        <v>28.5</v>
      </c>
      <c r="BN14" s="7">
        <v>67</v>
      </c>
      <c r="BO14" s="8">
        <f t="shared" si="28"/>
        <v>7.0314238749999994E-2</v>
      </c>
      <c r="BP14" s="8">
        <f t="shared" si="29"/>
        <v>7.0314238749999994E-2</v>
      </c>
      <c r="BQ14" s="8">
        <f t="shared" si="30"/>
        <v>3.1641407437499997E-3</v>
      </c>
      <c r="BR14" s="8">
        <f t="shared" si="31"/>
        <v>2.0039558043749996E-2</v>
      </c>
      <c r="BS14" s="8">
        <f t="shared" si="32"/>
        <v>4.7110539962499996E-2</v>
      </c>
      <c r="BT14" s="18">
        <f t="shared" si="33"/>
        <v>3.5884871746062509E-3</v>
      </c>
      <c r="BU14" s="8">
        <f t="shared" si="34"/>
        <v>1.7838722370875002E-2</v>
      </c>
      <c r="BV14" s="8">
        <f t="shared" si="35"/>
        <v>3.0059337065624993E-2</v>
      </c>
      <c r="BW14" s="8">
        <f t="shared" si="36"/>
        <v>7.0665809943749991E-2</v>
      </c>
      <c r="BX14" s="18">
        <f t="shared" si="37"/>
        <v>5.3827307619093738E-3</v>
      </c>
      <c r="BY14" s="8">
        <f t="shared" si="38"/>
        <v>2.6758083556312495E-2</v>
      </c>
      <c r="BZ14" s="12">
        <f t="shared" si="60"/>
        <v>0.32999999999999996</v>
      </c>
      <c r="CA14" s="12">
        <f t="shared" si="61"/>
        <v>0.2880203045685279</v>
      </c>
      <c r="CB14" s="6">
        <v>1.5</v>
      </c>
      <c r="CC14" s="6">
        <v>1.5</v>
      </c>
      <c r="CD14" s="15">
        <v>0.125</v>
      </c>
      <c r="CE14" s="13">
        <v>0.42</v>
      </c>
      <c r="CF14" s="15">
        <v>2.3E-2</v>
      </c>
      <c r="CG14" s="13">
        <v>0.2</v>
      </c>
      <c r="CH14" s="28">
        <f t="shared" si="62"/>
        <v>9.4669925000000026E-4</v>
      </c>
      <c r="CI14" s="15">
        <f t="shared" si="39"/>
        <v>4.706135000000001E-3</v>
      </c>
      <c r="CJ14" s="12">
        <v>17</v>
      </c>
      <c r="CK14" s="12">
        <v>1</v>
      </c>
      <c r="CL14" s="7">
        <v>0.6</v>
      </c>
      <c r="CM14" s="7">
        <v>19.399999999999999</v>
      </c>
      <c r="CN14" s="7">
        <v>80</v>
      </c>
      <c r="CO14" s="8">
        <f t="shared" si="40"/>
        <v>8.5381575624999997E-2</v>
      </c>
      <c r="CP14" s="8">
        <f t="shared" si="41"/>
        <v>8.5381575624999997E-2</v>
      </c>
      <c r="CQ14" s="18">
        <f t="shared" si="42"/>
        <v>5.1228945375E-4</v>
      </c>
      <c r="CR14" s="8">
        <f t="shared" si="43"/>
        <v>1.6564025671249996E-2</v>
      </c>
      <c r="CS14" s="8">
        <f t="shared" si="44"/>
        <v>6.8305260500000006E-2</v>
      </c>
      <c r="CT14" s="18">
        <f t="shared" si="45"/>
        <v>3.0908130376250003E-3</v>
      </c>
      <c r="CU14" s="8">
        <f t="shared" si="46"/>
        <v>1.6705759086787501E-2</v>
      </c>
      <c r="CV14" s="8">
        <f t="shared" si="47"/>
        <v>2.4846038506874994E-2</v>
      </c>
      <c r="CW14" s="8">
        <f t="shared" si="48"/>
        <v>0.10245789075</v>
      </c>
      <c r="CX14" s="18">
        <f t="shared" si="49"/>
        <v>4.6362195564374998E-3</v>
      </c>
      <c r="CY14" s="8">
        <f t="shared" si="50"/>
        <v>2.5058638630181249E-2</v>
      </c>
      <c r="CZ14" s="12">
        <f t="shared" si="51"/>
        <v>0.19999999999999998</v>
      </c>
      <c r="DA14" s="12">
        <f t="shared" si="63"/>
        <v>0.20006012024048098</v>
      </c>
      <c r="DB14" s="6">
        <v>1.5</v>
      </c>
      <c r="DC14" s="6">
        <v>1.5</v>
      </c>
      <c r="DD14" s="15">
        <v>0.1</v>
      </c>
      <c r="DE14" s="13">
        <v>0.39</v>
      </c>
      <c r="DF14" s="15">
        <v>2.1000000000000001E-2</v>
      </c>
      <c r="DG14" s="13">
        <v>0.15</v>
      </c>
      <c r="DH14" s="28">
        <f t="shared" si="52"/>
        <v>8.1540500000000017E-4</v>
      </c>
      <c r="DI14" s="29">
        <f t="shared" si="53"/>
        <v>4.4072415000000007E-3</v>
      </c>
    </row>
    <row r="15" spans="1:114" x14ac:dyDescent="0.25">
      <c r="A15" s="85">
        <v>7</v>
      </c>
      <c r="B15" s="9" t="s">
        <v>36</v>
      </c>
      <c r="C15" s="9" t="s">
        <v>24</v>
      </c>
      <c r="D15" s="31" t="s">
        <v>181</v>
      </c>
      <c r="E15" s="9">
        <v>2</v>
      </c>
      <c r="F15" s="9">
        <v>50</v>
      </c>
      <c r="G15" s="32" t="s">
        <v>99</v>
      </c>
      <c r="H15" s="19" t="s">
        <v>11</v>
      </c>
      <c r="I15" s="33" t="s">
        <v>4</v>
      </c>
      <c r="J15" s="32" t="s">
        <v>99</v>
      </c>
      <c r="K15" s="2" t="str">
        <f t="shared" si="0"/>
        <v>Kommunal Tätort VV 50 - City C</v>
      </c>
      <c r="L15" s="2"/>
      <c r="M15" s="32" t="s">
        <v>99</v>
      </c>
      <c r="N15" s="53">
        <f>'Beräkna - Länk'!$C$26</f>
        <v>1</v>
      </c>
      <c r="O15" s="53">
        <f>'Beräkna - Länk'!$C$24/('Beräkna - Länk'!$C$27)^('Beräkna - Länk'!$C$25-2010)</f>
        <v>10385</v>
      </c>
      <c r="P15" s="13">
        <f t="shared" si="1"/>
        <v>3.7905249999999997</v>
      </c>
      <c r="Q15" s="13">
        <f t="shared" si="2"/>
        <v>0.97511255624999982</v>
      </c>
      <c r="R15" s="13">
        <f t="shared" si="3"/>
        <v>1.1608482812499998</v>
      </c>
      <c r="S15" s="28">
        <f t="shared" si="4"/>
        <v>1.6052873374999999E-2</v>
      </c>
      <c r="T15" s="15">
        <f t="shared" si="5"/>
        <v>0.20112525649999999</v>
      </c>
      <c r="U15" s="13">
        <f t="shared" si="6"/>
        <v>0.94367015137499988</v>
      </c>
      <c r="V15" s="13">
        <f t="shared" si="7"/>
        <v>2.5472327999999997</v>
      </c>
      <c r="W15" s="15">
        <f t="shared" si="8"/>
        <v>3.5331777290687497E-2</v>
      </c>
      <c r="X15" s="15">
        <f t="shared" si="9"/>
        <v>0.19785166434687496</v>
      </c>
      <c r="Y15" s="15">
        <f t="shared" si="54"/>
        <v>0.30168788474999997</v>
      </c>
      <c r="Z15" s="14">
        <f t="shared" si="10"/>
        <v>1.4155052270624999</v>
      </c>
      <c r="AA15" s="14">
        <f t="shared" si="11"/>
        <v>17.830629599999998</v>
      </c>
      <c r="AB15" s="13">
        <f t="shared" si="12"/>
        <v>5.2997665936031238E-2</v>
      </c>
      <c r="AC15" s="14">
        <f t="shared" si="13"/>
        <v>0.29677749652031243</v>
      </c>
      <c r="AD15" s="13">
        <f t="shared" si="55"/>
        <v>0.18332121397680737</v>
      </c>
      <c r="AE15" s="15">
        <f t="shared" si="56"/>
        <v>8.3824999999999997E-2</v>
      </c>
      <c r="AF15" s="8">
        <v>0.17499999999999999</v>
      </c>
      <c r="AG15" s="6">
        <v>1.28</v>
      </c>
      <c r="AH15" s="12">
        <v>1</v>
      </c>
      <c r="AI15" s="12">
        <v>15</v>
      </c>
      <c r="AJ15" s="7">
        <v>84</v>
      </c>
      <c r="AK15" s="12">
        <v>3</v>
      </c>
      <c r="AL15" s="12">
        <f t="shared" si="14"/>
        <v>0.66334187499999986</v>
      </c>
      <c r="AM15" s="12">
        <f t="shared" si="57"/>
        <v>0.84907759999999988</v>
      </c>
      <c r="AN15" s="18">
        <f t="shared" si="15"/>
        <v>8.4907759999999985E-3</v>
      </c>
      <c r="AO15" s="8">
        <f t="shared" si="16"/>
        <v>0.12736164</v>
      </c>
      <c r="AP15" s="12">
        <f t="shared" si="17"/>
        <v>0.7132251839999999</v>
      </c>
      <c r="AQ15" s="12">
        <f t="shared" si="18"/>
        <v>2.5472327999999997</v>
      </c>
      <c r="AR15" s="18">
        <f t="shared" si="19"/>
        <v>2.1880729751999999E-2</v>
      </c>
      <c r="AS15" s="8">
        <f t="shared" si="20"/>
        <v>0.12838053311999997</v>
      </c>
      <c r="AT15" s="8">
        <f t="shared" si="21"/>
        <v>0.19104246</v>
      </c>
      <c r="AU15" s="8">
        <f t="shared" si="22"/>
        <v>1.069837776</v>
      </c>
      <c r="AV15" s="8">
        <f t="shared" si="23"/>
        <v>17.830629599999998</v>
      </c>
      <c r="AW15" s="8">
        <f t="shared" si="24"/>
        <v>3.2821094627999994E-2</v>
      </c>
      <c r="AX15" s="8">
        <f t="shared" si="25"/>
        <v>0.19257079967999999</v>
      </c>
      <c r="AY15" s="495">
        <f t="shared" si="58"/>
        <v>0.15719063545150502</v>
      </c>
      <c r="AZ15" s="8">
        <f t="shared" si="59"/>
        <v>3.5839999999999997E-2</v>
      </c>
      <c r="BA15" s="6">
        <v>1.5</v>
      </c>
      <c r="BB15" s="6">
        <v>1.5</v>
      </c>
      <c r="BC15" s="6">
        <v>7</v>
      </c>
      <c r="BD15" s="15">
        <v>7.0999999999999994E-2</v>
      </c>
      <c r="BE15" s="13">
        <v>0.28000000000000003</v>
      </c>
      <c r="BF15" s="15">
        <v>1.7999999999999999E-2</v>
      </c>
      <c r="BG15" s="13">
        <v>0.13</v>
      </c>
      <c r="BH15" s="28">
        <f t="shared" si="26"/>
        <v>5.77248E-3</v>
      </c>
      <c r="BI15" s="15">
        <f t="shared" si="27"/>
        <v>3.3868799999999998E-2</v>
      </c>
      <c r="BJ15" s="12">
        <v>22</v>
      </c>
      <c r="BK15" s="12">
        <v>1</v>
      </c>
      <c r="BL15" s="7">
        <v>4.5</v>
      </c>
      <c r="BM15" s="7">
        <v>28.5</v>
      </c>
      <c r="BN15" s="7">
        <v>67</v>
      </c>
      <c r="BO15" s="8">
        <f t="shared" si="28"/>
        <v>0.14593521249999997</v>
      </c>
      <c r="BP15" s="8">
        <f t="shared" si="29"/>
        <v>0.14593521249999997</v>
      </c>
      <c r="BQ15" s="8">
        <f t="shared" si="30"/>
        <v>6.5670845624999979E-3</v>
      </c>
      <c r="BR15" s="8">
        <f t="shared" si="31"/>
        <v>4.159153556249999E-2</v>
      </c>
      <c r="BS15" s="8">
        <f t="shared" si="32"/>
        <v>9.7776592374999985E-2</v>
      </c>
      <c r="BT15" s="18">
        <f t="shared" si="33"/>
        <v>7.4478035699375002E-3</v>
      </c>
      <c r="BU15" s="8">
        <f t="shared" si="34"/>
        <v>3.7023763411249994E-2</v>
      </c>
      <c r="BV15" s="8">
        <f t="shared" si="35"/>
        <v>6.2387303343749985E-2</v>
      </c>
      <c r="BW15" s="8">
        <f t="shared" si="36"/>
        <v>0.14666488856249998</v>
      </c>
      <c r="BX15" s="18">
        <f t="shared" si="37"/>
        <v>1.1171705354906247E-2</v>
      </c>
      <c r="BY15" s="8">
        <f t="shared" si="38"/>
        <v>5.553564511687499E-2</v>
      </c>
      <c r="BZ15" s="12">
        <f t="shared" si="60"/>
        <v>0.32999999999999996</v>
      </c>
      <c r="CA15" s="12">
        <f t="shared" si="61"/>
        <v>0.28802030456852795</v>
      </c>
      <c r="CB15" s="6">
        <v>1.5</v>
      </c>
      <c r="CC15" s="6">
        <v>1.5</v>
      </c>
      <c r="CD15" s="15">
        <v>0.125</v>
      </c>
      <c r="CE15" s="13">
        <v>0.42</v>
      </c>
      <c r="CF15" s="15">
        <v>2.3E-2</v>
      </c>
      <c r="CG15" s="13">
        <v>0.2</v>
      </c>
      <c r="CH15" s="28">
        <f t="shared" si="62"/>
        <v>1.9648475000000002E-3</v>
      </c>
      <c r="CI15" s="15">
        <f t="shared" si="39"/>
        <v>9.7674499999999987E-3</v>
      </c>
      <c r="CJ15" s="12">
        <v>25</v>
      </c>
      <c r="CK15" s="12">
        <v>1</v>
      </c>
      <c r="CL15" s="7">
        <v>0.6</v>
      </c>
      <c r="CM15" s="7">
        <v>19.399999999999999</v>
      </c>
      <c r="CN15" s="7">
        <v>80</v>
      </c>
      <c r="CO15" s="8">
        <f t="shared" si="40"/>
        <v>0.16583546874999996</v>
      </c>
      <c r="CP15" s="8">
        <f t="shared" si="41"/>
        <v>0.16583546874999996</v>
      </c>
      <c r="CQ15" s="18">
        <f t="shared" si="42"/>
        <v>9.9501281249999977E-4</v>
      </c>
      <c r="CR15" s="8">
        <f t="shared" si="43"/>
        <v>3.2172080937499986E-2</v>
      </c>
      <c r="CS15" s="8">
        <f t="shared" si="44"/>
        <v>0.13266837499999998</v>
      </c>
      <c r="CT15" s="18">
        <f t="shared" si="45"/>
        <v>6.0032439687499987E-3</v>
      </c>
      <c r="CU15" s="8">
        <f t="shared" si="46"/>
        <v>3.2447367815624996E-2</v>
      </c>
      <c r="CV15" s="8">
        <f t="shared" si="47"/>
        <v>4.8258121406249979E-2</v>
      </c>
      <c r="CW15" s="8">
        <f t="shared" si="48"/>
        <v>0.19900256249999998</v>
      </c>
      <c r="CX15" s="18">
        <f t="shared" si="49"/>
        <v>9.0048659531249981E-3</v>
      </c>
      <c r="CY15" s="8">
        <f t="shared" si="50"/>
        <v>4.867105172343749E-2</v>
      </c>
      <c r="CZ15" s="12">
        <f t="shared" si="51"/>
        <v>0.19999999999999998</v>
      </c>
      <c r="DA15" s="12">
        <f t="shared" si="63"/>
        <v>0.20006012024048095</v>
      </c>
      <c r="DB15" s="6">
        <v>1.5</v>
      </c>
      <c r="DC15" s="6">
        <v>1.5</v>
      </c>
      <c r="DD15" s="15">
        <v>0.1</v>
      </c>
      <c r="DE15" s="13">
        <v>0.39</v>
      </c>
      <c r="DF15" s="15">
        <v>2.1000000000000001E-2</v>
      </c>
      <c r="DG15" s="13">
        <v>0.15</v>
      </c>
      <c r="DH15" s="28">
        <f t="shared" si="52"/>
        <v>1.5837499999999999E-3</v>
      </c>
      <c r="DI15" s="29">
        <f t="shared" si="53"/>
        <v>8.560125E-3</v>
      </c>
    </row>
    <row r="16" spans="1:114" x14ac:dyDescent="0.25">
      <c r="A16" s="85">
        <v>8</v>
      </c>
      <c r="B16" s="9" t="s">
        <v>36</v>
      </c>
      <c r="C16" s="9" t="s">
        <v>24</v>
      </c>
      <c r="D16" s="31" t="s">
        <v>181</v>
      </c>
      <c r="E16" s="9">
        <v>2</v>
      </c>
      <c r="F16" s="9">
        <v>50</v>
      </c>
      <c r="G16" s="32" t="s">
        <v>99</v>
      </c>
      <c r="H16" s="19" t="s">
        <v>11</v>
      </c>
      <c r="I16" s="33" t="s">
        <v>5</v>
      </c>
      <c r="J16" s="32" t="s">
        <v>99</v>
      </c>
      <c r="K16" s="2" t="str">
        <f t="shared" si="0"/>
        <v>Kommunal Tätort VV 50 - City M</v>
      </c>
      <c r="L16" s="2"/>
      <c r="M16" s="32" t="s">
        <v>99</v>
      </c>
      <c r="N16" s="53">
        <f>'Beräkna - Länk'!$C$26</f>
        <v>1</v>
      </c>
      <c r="O16" s="53">
        <f>'Beräkna - Länk'!$C$24/('Beräkna - Länk'!$C$27)^('Beräkna - Länk'!$C$25-2010)</f>
        <v>10385</v>
      </c>
      <c r="P16" s="13">
        <f t="shared" si="1"/>
        <v>3.7905249999999997</v>
      </c>
      <c r="Q16" s="13">
        <f t="shared" si="2"/>
        <v>0.88186564125</v>
      </c>
      <c r="R16" s="13">
        <f t="shared" si="3"/>
        <v>1.1320402912499998</v>
      </c>
      <c r="S16" s="28">
        <f t="shared" si="4"/>
        <v>1.492917223875E-2</v>
      </c>
      <c r="T16" s="15">
        <f t="shared" si="5"/>
        <v>0.19190271964874997</v>
      </c>
      <c r="U16" s="13">
        <f t="shared" si="6"/>
        <v>0.92520839936249988</v>
      </c>
      <c r="V16" s="13">
        <f t="shared" si="7"/>
        <v>2.6268338249999998</v>
      </c>
      <c r="W16" s="15">
        <f t="shared" si="8"/>
        <v>3.3610119888056247E-2</v>
      </c>
      <c r="X16" s="15">
        <f t="shared" si="9"/>
        <v>0.189462391025325</v>
      </c>
      <c r="Y16" s="15">
        <f t="shared" si="54"/>
        <v>0.28785407947312497</v>
      </c>
      <c r="Z16" s="14">
        <f t="shared" si="10"/>
        <v>1.3878125990437498</v>
      </c>
      <c r="AA16" s="14">
        <f t="shared" si="11"/>
        <v>18.387836775</v>
      </c>
      <c r="AB16" s="13">
        <f t="shared" si="12"/>
        <v>5.0415179832084357E-2</v>
      </c>
      <c r="AC16" s="14">
        <f t="shared" si="13"/>
        <v>0.28419358653798743</v>
      </c>
      <c r="AD16" s="13">
        <f t="shared" si="55"/>
        <v>0.17909854184046631</v>
      </c>
      <c r="AE16" s="15">
        <f t="shared" si="56"/>
        <v>7.9878975000000005E-2</v>
      </c>
      <c r="AF16" s="8">
        <v>0.16500000000000001</v>
      </c>
      <c r="AG16" s="12">
        <v>1.4</v>
      </c>
      <c r="AH16" s="12">
        <v>1</v>
      </c>
      <c r="AI16" s="12">
        <v>15</v>
      </c>
      <c r="AJ16" s="7">
        <v>84</v>
      </c>
      <c r="AK16" s="12">
        <v>3</v>
      </c>
      <c r="AL16" s="12">
        <f t="shared" si="14"/>
        <v>0.62543662499999997</v>
      </c>
      <c r="AM16" s="12">
        <f t="shared" si="57"/>
        <v>0.87561127499999991</v>
      </c>
      <c r="AN16" s="18">
        <f t="shared" si="15"/>
        <v>8.7561127499999995E-3</v>
      </c>
      <c r="AO16" s="8">
        <f t="shared" si="16"/>
        <v>0.13134169124999998</v>
      </c>
      <c r="AP16" s="12">
        <f t="shared" si="17"/>
        <v>0.73551347099999986</v>
      </c>
      <c r="AQ16" s="12">
        <f t="shared" si="18"/>
        <v>2.6268338249999998</v>
      </c>
      <c r="AR16" s="18">
        <f t="shared" si="19"/>
        <v>2.2564502556749994E-2</v>
      </c>
      <c r="AS16" s="8">
        <f t="shared" si="20"/>
        <v>0.13239242477999999</v>
      </c>
      <c r="AT16" s="8">
        <f t="shared" si="21"/>
        <v>0.19701253687499998</v>
      </c>
      <c r="AU16" s="8">
        <f t="shared" si="22"/>
        <v>1.1032702064999997</v>
      </c>
      <c r="AV16" s="8">
        <f t="shared" si="23"/>
        <v>18.387836775</v>
      </c>
      <c r="AW16" s="8">
        <f t="shared" si="24"/>
        <v>3.384675383512499E-2</v>
      </c>
      <c r="AX16" s="8">
        <f t="shared" si="25"/>
        <v>0.19858863716999997</v>
      </c>
      <c r="AY16" s="495">
        <f t="shared" si="58"/>
        <v>0.15719063545150502</v>
      </c>
      <c r="AZ16" s="8">
        <f t="shared" si="59"/>
        <v>3.696E-2</v>
      </c>
      <c r="BA16" s="6">
        <v>1.5</v>
      </c>
      <c r="BB16" s="6">
        <v>1.5</v>
      </c>
      <c r="BC16" s="6">
        <v>7</v>
      </c>
      <c r="BD16" s="15">
        <v>7.0999999999999994E-2</v>
      </c>
      <c r="BE16" s="13">
        <v>0.28000000000000003</v>
      </c>
      <c r="BF16" s="15">
        <v>1.7999999999999999E-2</v>
      </c>
      <c r="BG16" s="13">
        <v>0.13</v>
      </c>
      <c r="BH16" s="28">
        <f t="shared" si="26"/>
        <v>5.952869999999999E-3</v>
      </c>
      <c r="BI16" s="15">
        <f t="shared" si="27"/>
        <v>3.4927199999999999E-2</v>
      </c>
      <c r="BJ16" s="12">
        <v>19</v>
      </c>
      <c r="BK16" s="12">
        <v>1</v>
      </c>
      <c r="BL16" s="7">
        <v>4.5</v>
      </c>
      <c r="BM16" s="7">
        <v>28.5</v>
      </c>
      <c r="BN16" s="7">
        <v>67</v>
      </c>
      <c r="BO16" s="8">
        <f t="shared" si="28"/>
        <v>0.11883295875</v>
      </c>
      <c r="BP16" s="8">
        <f t="shared" si="29"/>
        <v>0.11883295875</v>
      </c>
      <c r="BQ16" s="8">
        <f t="shared" si="30"/>
        <v>5.3474831437499998E-3</v>
      </c>
      <c r="BR16" s="8">
        <f t="shared" si="31"/>
        <v>3.3867393243749995E-2</v>
      </c>
      <c r="BS16" s="8">
        <f t="shared" si="32"/>
        <v>7.9618082362499995E-2</v>
      </c>
      <c r="BT16" s="18">
        <f t="shared" si="33"/>
        <v>6.0646400498062508E-3</v>
      </c>
      <c r="BU16" s="8">
        <f t="shared" si="34"/>
        <v>3.0147921634874997E-2</v>
      </c>
      <c r="BV16" s="8">
        <f t="shared" si="35"/>
        <v>5.0801089865624996E-2</v>
      </c>
      <c r="BW16" s="8">
        <f t="shared" si="36"/>
        <v>0.11942712354374999</v>
      </c>
      <c r="BX16" s="18">
        <f t="shared" si="37"/>
        <v>9.0969600747093735E-3</v>
      </c>
      <c r="BY16" s="8">
        <f t="shared" si="38"/>
        <v>4.5221882452312498E-2</v>
      </c>
      <c r="BZ16" s="12">
        <f t="shared" si="60"/>
        <v>0.32999999999999996</v>
      </c>
      <c r="CA16" s="12">
        <f t="shared" si="61"/>
        <v>0.2880203045685279</v>
      </c>
      <c r="CB16" s="6">
        <v>1.5</v>
      </c>
      <c r="CC16" s="6">
        <v>1.5</v>
      </c>
      <c r="CD16" s="15">
        <v>0.125</v>
      </c>
      <c r="CE16" s="13">
        <v>0.42</v>
      </c>
      <c r="CF16" s="15">
        <v>2.3E-2</v>
      </c>
      <c r="CG16" s="13">
        <v>0.2</v>
      </c>
      <c r="CH16" s="28">
        <f t="shared" si="62"/>
        <v>1.5999472500000003E-3</v>
      </c>
      <c r="CI16" s="15">
        <f t="shared" si="39"/>
        <v>7.9534949999999997E-3</v>
      </c>
      <c r="CJ16" s="12">
        <v>22</v>
      </c>
      <c r="CK16" s="12">
        <v>1</v>
      </c>
      <c r="CL16" s="7">
        <v>0.6</v>
      </c>
      <c r="CM16" s="7">
        <v>19.399999999999999</v>
      </c>
      <c r="CN16" s="7">
        <v>80</v>
      </c>
      <c r="CO16" s="8">
        <f t="shared" si="40"/>
        <v>0.13759605750000001</v>
      </c>
      <c r="CP16" s="8">
        <f t="shared" si="41"/>
        <v>0.13759605750000001</v>
      </c>
      <c r="CQ16" s="18">
        <f t="shared" si="42"/>
        <v>8.255763450000001E-4</v>
      </c>
      <c r="CR16" s="8">
        <f t="shared" si="43"/>
        <v>2.6693635154999999E-2</v>
      </c>
      <c r="CS16" s="8">
        <f t="shared" si="44"/>
        <v>0.11007684600000001</v>
      </c>
      <c r="CT16" s="18">
        <f t="shared" si="45"/>
        <v>4.9809772814999997E-3</v>
      </c>
      <c r="CU16" s="8">
        <f t="shared" si="46"/>
        <v>2.6922044610449995E-2</v>
      </c>
      <c r="CV16" s="8">
        <f t="shared" si="47"/>
        <v>4.0040452732499995E-2</v>
      </c>
      <c r="CW16" s="8">
        <f t="shared" si="48"/>
        <v>0.16511526900000001</v>
      </c>
      <c r="CX16" s="18">
        <f t="shared" si="49"/>
        <v>7.4714659222500004E-3</v>
      </c>
      <c r="CY16" s="8">
        <f t="shared" si="50"/>
        <v>4.0383066915675003E-2</v>
      </c>
      <c r="CZ16" s="12">
        <f t="shared" si="51"/>
        <v>0.19999999999999998</v>
      </c>
      <c r="DA16" s="12">
        <f t="shared" si="63"/>
        <v>0.20006012024048098</v>
      </c>
      <c r="DB16" s="6">
        <v>1.5</v>
      </c>
      <c r="DC16" s="6">
        <v>1.5</v>
      </c>
      <c r="DD16" s="15">
        <v>0.1</v>
      </c>
      <c r="DE16" s="13">
        <v>0.39</v>
      </c>
      <c r="DF16" s="15">
        <v>2.1000000000000001E-2</v>
      </c>
      <c r="DG16" s="13">
        <v>0.15</v>
      </c>
      <c r="DH16" s="28">
        <f t="shared" si="52"/>
        <v>1.3140599999999999E-3</v>
      </c>
      <c r="DI16" s="29">
        <f t="shared" si="53"/>
        <v>7.102457999999999E-3</v>
      </c>
    </row>
    <row r="17" spans="1:113" x14ac:dyDescent="0.25">
      <c r="A17" s="85">
        <v>9</v>
      </c>
      <c r="B17" s="9" t="s">
        <v>36</v>
      </c>
      <c r="C17" s="9" t="s">
        <v>24</v>
      </c>
      <c r="D17" s="31" t="s">
        <v>181</v>
      </c>
      <c r="E17" s="9">
        <v>2</v>
      </c>
      <c r="F17" s="9">
        <v>50</v>
      </c>
      <c r="G17" s="32" t="s">
        <v>99</v>
      </c>
      <c r="H17" s="9" t="s">
        <v>10</v>
      </c>
      <c r="I17" s="9" t="s">
        <v>4</v>
      </c>
      <c r="J17" s="32" t="s">
        <v>99</v>
      </c>
      <c r="K17" s="2" t="str">
        <f t="shared" si="0"/>
        <v>Kommunal Tätort VV 50 - GIF C</v>
      </c>
      <c r="L17" s="2"/>
      <c r="M17" s="32" t="s">
        <v>99</v>
      </c>
      <c r="N17" s="53">
        <f>'Beräkna - Länk'!$C$26</f>
        <v>1</v>
      </c>
      <c r="O17" s="53">
        <f>'Beräkna - Länk'!$C$24/('Beräkna - Länk'!$C$27)^('Beräkna - Länk'!$C$25-2010)</f>
        <v>10385</v>
      </c>
      <c r="P17" s="13">
        <f t="shared" si="1"/>
        <v>3.7905249999999997</v>
      </c>
      <c r="Q17" s="13">
        <f t="shared" si="2"/>
        <v>0.79193543562499991</v>
      </c>
      <c r="R17" s="13">
        <f t="shared" si="3"/>
        <v>1.1387684731249998</v>
      </c>
      <c r="S17" s="28">
        <f t="shared" si="4"/>
        <v>1.3913785354375E-2</v>
      </c>
      <c r="T17" s="15">
        <f t="shared" si="5"/>
        <v>0.18811645898937499</v>
      </c>
      <c r="U17" s="13">
        <f t="shared" si="6"/>
        <v>0.9367382287812499</v>
      </c>
      <c r="V17" s="13">
        <f t="shared" si="7"/>
        <v>2.7746643</v>
      </c>
      <c r="W17" s="15">
        <f t="shared" si="8"/>
        <v>3.286315287195312E-2</v>
      </c>
      <c r="X17" s="15">
        <f t="shared" si="9"/>
        <v>0.18672346189976252</v>
      </c>
      <c r="Y17" s="15">
        <f t="shared" si="54"/>
        <v>0.28217468848406246</v>
      </c>
      <c r="Z17" s="14">
        <f t="shared" si="10"/>
        <v>1.405107343171875</v>
      </c>
      <c r="AA17" s="14">
        <f t="shared" si="11"/>
        <v>19.422650099999998</v>
      </c>
      <c r="AB17" s="13">
        <f t="shared" si="12"/>
        <v>4.9294729307929684E-2</v>
      </c>
      <c r="AC17" s="14">
        <f t="shared" si="13"/>
        <v>0.28008519284964373</v>
      </c>
      <c r="AD17" s="13">
        <f t="shared" si="55"/>
        <v>0.17404726186006286</v>
      </c>
      <c r="AE17" s="15">
        <f t="shared" si="56"/>
        <v>7.8112787499999989E-2</v>
      </c>
      <c r="AF17" s="8">
        <v>0.1525</v>
      </c>
      <c r="AG17" s="12">
        <v>1.6</v>
      </c>
      <c r="AH17" s="12">
        <v>1</v>
      </c>
      <c r="AI17" s="12">
        <v>15</v>
      </c>
      <c r="AJ17" s="7">
        <v>84</v>
      </c>
      <c r="AK17" s="12">
        <v>3</v>
      </c>
      <c r="AL17" s="12">
        <f t="shared" si="14"/>
        <v>0.57805506249999994</v>
      </c>
      <c r="AM17" s="12">
        <f t="shared" si="57"/>
        <v>0.92488809999999999</v>
      </c>
      <c r="AN17" s="18">
        <f t="shared" si="15"/>
        <v>9.2488810000000005E-3</v>
      </c>
      <c r="AO17" s="8">
        <f t="shared" si="16"/>
        <v>0.13873321499999999</v>
      </c>
      <c r="AP17" s="12">
        <f t="shared" si="17"/>
        <v>0.77690600399999998</v>
      </c>
      <c r="AQ17" s="12">
        <f t="shared" si="18"/>
        <v>2.7746643</v>
      </c>
      <c r="AR17" s="18">
        <f t="shared" si="19"/>
        <v>2.3834366336999997E-2</v>
      </c>
      <c r="AS17" s="8">
        <f t="shared" si="20"/>
        <v>0.13984308072000001</v>
      </c>
      <c r="AT17" s="8">
        <f t="shared" si="21"/>
        <v>0.20809982249999998</v>
      </c>
      <c r="AU17" s="8">
        <f t="shared" si="22"/>
        <v>1.1653590060000001</v>
      </c>
      <c r="AV17" s="8">
        <f t="shared" si="23"/>
        <v>19.422650099999998</v>
      </c>
      <c r="AW17" s="8">
        <f t="shared" si="24"/>
        <v>3.5751549505499997E-2</v>
      </c>
      <c r="AX17" s="8">
        <f t="shared" si="25"/>
        <v>0.20976462107999999</v>
      </c>
      <c r="AY17" s="495">
        <f t="shared" si="58"/>
        <v>0.157190635451505</v>
      </c>
      <c r="AZ17" s="8">
        <f t="shared" si="59"/>
        <v>3.9039999999999998E-2</v>
      </c>
      <c r="BA17" s="6">
        <v>1.5</v>
      </c>
      <c r="BB17" s="6">
        <v>1.5</v>
      </c>
      <c r="BC17" s="6">
        <v>7</v>
      </c>
      <c r="BD17" s="15">
        <v>7.0999999999999994E-2</v>
      </c>
      <c r="BE17" s="13">
        <v>0.28000000000000003</v>
      </c>
      <c r="BF17" s="15">
        <v>1.7999999999999999E-2</v>
      </c>
      <c r="BG17" s="13">
        <v>0.13</v>
      </c>
      <c r="BH17" s="28">
        <f t="shared" si="26"/>
        <v>6.28788E-3</v>
      </c>
      <c r="BI17" s="15">
        <f t="shared" si="27"/>
        <v>3.6892800000000003E-2</v>
      </c>
      <c r="BJ17" s="12">
        <v>15</v>
      </c>
      <c r="BK17" s="12">
        <v>1</v>
      </c>
      <c r="BL17" s="7">
        <v>4.5</v>
      </c>
      <c r="BM17" s="7">
        <v>28.5</v>
      </c>
      <c r="BN17" s="7">
        <v>67</v>
      </c>
      <c r="BO17" s="8">
        <f t="shared" si="28"/>
        <v>8.6708259374999985E-2</v>
      </c>
      <c r="BP17" s="8">
        <f t="shared" si="29"/>
        <v>8.6708259374999985E-2</v>
      </c>
      <c r="BQ17" s="8">
        <f t="shared" si="30"/>
        <v>3.9018716718749991E-3</v>
      </c>
      <c r="BR17" s="8">
        <f t="shared" si="31"/>
        <v>2.4711853921874995E-2</v>
      </c>
      <c r="BS17" s="8">
        <f t="shared" si="32"/>
        <v>5.8094533781249992E-2</v>
      </c>
      <c r="BT17" s="18">
        <f t="shared" si="33"/>
        <v>4.4251560172031247E-3</v>
      </c>
      <c r="BU17" s="8">
        <f t="shared" si="34"/>
        <v>2.1997885403437493E-2</v>
      </c>
      <c r="BV17" s="8">
        <f t="shared" si="35"/>
        <v>3.7067780882812491E-2</v>
      </c>
      <c r="BW17" s="8">
        <f t="shared" si="36"/>
        <v>8.7141800671874992E-2</v>
      </c>
      <c r="BX17" s="18">
        <f t="shared" si="37"/>
        <v>6.6377340258046858E-3</v>
      </c>
      <c r="BY17" s="8">
        <f t="shared" si="38"/>
        <v>3.2996828105156244E-2</v>
      </c>
      <c r="BZ17" s="12">
        <f t="shared" si="60"/>
        <v>0.32999999999999996</v>
      </c>
      <c r="CA17" s="12">
        <f t="shared" si="61"/>
        <v>0.28802030456852795</v>
      </c>
      <c r="CB17" s="6">
        <v>1.5</v>
      </c>
      <c r="CC17" s="6">
        <v>1.5</v>
      </c>
      <c r="CD17" s="15">
        <v>0.125</v>
      </c>
      <c r="CE17" s="13">
        <v>0.42</v>
      </c>
      <c r="CF17" s="15">
        <v>2.3E-2</v>
      </c>
      <c r="CG17" s="13">
        <v>0.2</v>
      </c>
      <c r="CH17" s="28">
        <f t="shared" si="62"/>
        <v>1.167425625E-3</v>
      </c>
      <c r="CI17" s="15">
        <f t="shared" si="39"/>
        <v>5.803387499999999E-3</v>
      </c>
      <c r="CJ17" s="12">
        <v>22</v>
      </c>
      <c r="CK17" s="12">
        <v>1</v>
      </c>
      <c r="CL17" s="7">
        <v>0.6</v>
      </c>
      <c r="CM17" s="7">
        <v>19.399999999999999</v>
      </c>
      <c r="CN17" s="7">
        <v>80</v>
      </c>
      <c r="CO17" s="8">
        <f t="shared" si="40"/>
        <v>0.12717211374999998</v>
      </c>
      <c r="CP17" s="8">
        <f t="shared" si="41"/>
        <v>0.12717211374999998</v>
      </c>
      <c r="CQ17" s="18">
        <f t="shared" si="42"/>
        <v>7.6303268249999995E-4</v>
      </c>
      <c r="CR17" s="8">
        <f t="shared" si="43"/>
        <v>2.4671390067499993E-2</v>
      </c>
      <c r="CS17" s="8">
        <f t="shared" si="44"/>
        <v>0.10173769099999999</v>
      </c>
      <c r="CT17" s="18">
        <f t="shared" si="45"/>
        <v>4.6036305177499992E-3</v>
      </c>
      <c r="CU17" s="8">
        <f t="shared" si="46"/>
        <v>2.4882495776324995E-2</v>
      </c>
      <c r="CV17" s="8">
        <f t="shared" si="47"/>
        <v>3.700708510124999E-2</v>
      </c>
      <c r="CW17" s="8">
        <f t="shared" si="48"/>
        <v>0.1526065365</v>
      </c>
      <c r="CX17" s="18">
        <f t="shared" si="49"/>
        <v>6.9054457766249992E-3</v>
      </c>
      <c r="CY17" s="8">
        <f t="shared" si="50"/>
        <v>3.7323743664487499E-2</v>
      </c>
      <c r="CZ17" s="12">
        <f t="shared" si="51"/>
        <v>0.19999999999999998</v>
      </c>
      <c r="DA17" s="12">
        <f t="shared" si="63"/>
        <v>0.20006012024048095</v>
      </c>
      <c r="DB17" s="6">
        <v>1.5</v>
      </c>
      <c r="DC17" s="6">
        <v>1.5</v>
      </c>
      <c r="DD17" s="15">
        <v>0.1</v>
      </c>
      <c r="DE17" s="13">
        <v>0.39</v>
      </c>
      <c r="DF17" s="15">
        <v>2.1000000000000001E-2</v>
      </c>
      <c r="DG17" s="13">
        <v>0.15</v>
      </c>
      <c r="DH17" s="28">
        <f t="shared" si="52"/>
        <v>1.2145099999999998E-3</v>
      </c>
      <c r="DI17" s="29">
        <f t="shared" si="53"/>
        <v>6.5643929999999991E-3</v>
      </c>
    </row>
    <row r="18" spans="1:113" x14ac:dyDescent="0.25">
      <c r="A18" s="85">
        <v>10</v>
      </c>
      <c r="B18" s="9" t="s">
        <v>36</v>
      </c>
      <c r="C18" s="9" t="s">
        <v>24</v>
      </c>
      <c r="D18" s="31" t="s">
        <v>181</v>
      </c>
      <c r="E18" s="9">
        <v>2</v>
      </c>
      <c r="F18" s="9">
        <v>50</v>
      </c>
      <c r="G18" s="32" t="s">
        <v>99</v>
      </c>
      <c r="H18" s="9" t="s">
        <v>10</v>
      </c>
      <c r="I18" s="9" t="s">
        <v>5</v>
      </c>
      <c r="J18" s="32" t="s">
        <v>99</v>
      </c>
      <c r="K18" s="2" t="str">
        <f t="shared" si="0"/>
        <v>Kommunal Tätort VV 50 - GIF M</v>
      </c>
      <c r="L18" s="2"/>
      <c r="M18" s="32" t="s">
        <v>99</v>
      </c>
      <c r="N18" s="53">
        <f>'Beräkna - Länk'!$C$26</f>
        <v>1</v>
      </c>
      <c r="O18" s="53">
        <f>'Beräkna - Länk'!$C$24/('Beräkna - Länk'!$C$27)^('Beräkna - Länk'!$C$25-2010)</f>
        <v>10385</v>
      </c>
      <c r="P18" s="13">
        <f t="shared" si="1"/>
        <v>3.7905249999999997</v>
      </c>
      <c r="Q18" s="13">
        <f t="shared" si="2"/>
        <v>0.675471555</v>
      </c>
      <c r="R18" s="13">
        <f t="shared" si="3"/>
        <v>1.002972915</v>
      </c>
      <c r="S18" s="28">
        <f t="shared" si="4"/>
        <v>1.1769580124999998E-2</v>
      </c>
      <c r="T18" s="15">
        <f t="shared" si="5"/>
        <v>0.163238959125</v>
      </c>
      <c r="U18" s="13">
        <f t="shared" si="6"/>
        <v>0.82796437574999993</v>
      </c>
      <c r="V18" s="13">
        <f t="shared" si="7"/>
        <v>2.5176667049999999</v>
      </c>
      <c r="W18" s="15">
        <f t="shared" si="8"/>
        <v>2.8465497113624998E-2</v>
      </c>
      <c r="X18" s="15">
        <f t="shared" si="9"/>
        <v>0.16249389353099999</v>
      </c>
      <c r="Y18" s="15">
        <f t="shared" si="54"/>
        <v>0.24485843868750001</v>
      </c>
      <c r="Z18" s="14">
        <f t="shared" si="10"/>
        <v>1.241946563625</v>
      </c>
      <c r="AA18" s="14">
        <f t="shared" si="11"/>
        <v>17.623666934999999</v>
      </c>
      <c r="AB18" s="13">
        <f t="shared" si="12"/>
        <v>4.26982456704375E-2</v>
      </c>
      <c r="AC18" s="14">
        <f t="shared" si="13"/>
        <v>0.24374084029649998</v>
      </c>
      <c r="AD18" s="13">
        <f t="shared" si="55"/>
        <v>0.17124807922144444</v>
      </c>
      <c r="AE18" s="15">
        <f t="shared" si="56"/>
        <v>6.7702500000000013E-2</v>
      </c>
      <c r="AF18" s="8">
        <v>0.13500000000000001</v>
      </c>
      <c r="AG18" s="12">
        <v>1.64</v>
      </c>
      <c r="AH18" s="12">
        <v>1</v>
      </c>
      <c r="AI18" s="12">
        <v>15</v>
      </c>
      <c r="AJ18" s="7">
        <v>84</v>
      </c>
      <c r="AK18" s="12">
        <v>3</v>
      </c>
      <c r="AL18" s="12">
        <f t="shared" si="14"/>
        <v>0.51172087499999996</v>
      </c>
      <c r="AM18" s="12">
        <f t="shared" si="57"/>
        <v>0.83922223499999993</v>
      </c>
      <c r="AN18" s="18">
        <f t="shared" si="15"/>
        <v>8.392222349999999E-3</v>
      </c>
      <c r="AO18" s="8">
        <f t="shared" si="16"/>
        <v>0.12588333525000001</v>
      </c>
      <c r="AP18" s="12">
        <f t="shared" si="17"/>
        <v>0.70494667739999994</v>
      </c>
      <c r="AQ18" s="12">
        <f t="shared" si="18"/>
        <v>2.5176667049999999</v>
      </c>
      <c r="AR18" s="18">
        <f t="shared" si="19"/>
        <v>2.162675699595E-2</v>
      </c>
      <c r="AS18" s="8">
        <f t="shared" si="20"/>
        <v>0.12689040193199999</v>
      </c>
      <c r="AT18" s="8">
        <f t="shared" si="21"/>
        <v>0.18882500287500001</v>
      </c>
      <c r="AU18" s="8">
        <f t="shared" si="22"/>
        <v>1.0574200161</v>
      </c>
      <c r="AV18" s="8">
        <f t="shared" si="23"/>
        <v>17.623666934999999</v>
      </c>
      <c r="AW18" s="8">
        <f t="shared" si="24"/>
        <v>3.2440135493924993E-2</v>
      </c>
      <c r="AX18" s="8">
        <f t="shared" si="25"/>
        <v>0.19033560289800003</v>
      </c>
      <c r="AY18" s="495">
        <f t="shared" si="58"/>
        <v>0.15719063545150502</v>
      </c>
      <c r="AZ18" s="8">
        <f t="shared" si="59"/>
        <v>3.5423999999999997E-2</v>
      </c>
      <c r="BA18" s="6">
        <v>1.5</v>
      </c>
      <c r="BB18" s="6">
        <v>1.5</v>
      </c>
      <c r="BC18" s="6">
        <v>7</v>
      </c>
      <c r="BD18" s="15">
        <v>7.0999999999999994E-2</v>
      </c>
      <c r="BE18" s="13">
        <v>0.28000000000000003</v>
      </c>
      <c r="BF18" s="15">
        <v>1.7999999999999999E-2</v>
      </c>
      <c r="BG18" s="13">
        <v>0.13</v>
      </c>
      <c r="BH18" s="28">
        <f t="shared" si="26"/>
        <v>5.7054780000000008E-3</v>
      </c>
      <c r="BI18" s="15">
        <f t="shared" si="27"/>
        <v>3.3475680000000001E-2</v>
      </c>
      <c r="BJ18" s="12">
        <v>12</v>
      </c>
      <c r="BK18" s="12">
        <v>1</v>
      </c>
      <c r="BL18" s="7">
        <v>4.5</v>
      </c>
      <c r="BM18" s="7">
        <v>28.5</v>
      </c>
      <c r="BN18" s="7">
        <v>67</v>
      </c>
      <c r="BO18" s="8">
        <f t="shared" si="28"/>
        <v>6.1406504999999993E-2</v>
      </c>
      <c r="BP18" s="8">
        <f t="shared" si="29"/>
        <v>6.1406504999999993E-2</v>
      </c>
      <c r="BQ18" s="8">
        <f t="shared" si="30"/>
        <v>2.7632927249999998E-3</v>
      </c>
      <c r="BR18" s="8">
        <f t="shared" si="31"/>
        <v>1.7500853924999997E-2</v>
      </c>
      <c r="BS18" s="8">
        <f t="shared" si="32"/>
        <v>4.1142358349999998E-2</v>
      </c>
      <c r="BT18" s="18">
        <f t="shared" si="33"/>
        <v>3.1338809826749999E-3</v>
      </c>
      <c r="BU18" s="8">
        <f t="shared" si="34"/>
        <v>1.5578830318499997E-2</v>
      </c>
      <c r="BV18" s="8">
        <f t="shared" si="35"/>
        <v>2.6251280887499995E-2</v>
      </c>
      <c r="BW18" s="8">
        <f t="shared" si="36"/>
        <v>6.1713537525000001E-2</v>
      </c>
      <c r="BX18" s="18">
        <f t="shared" si="37"/>
        <v>4.7008214740124994E-3</v>
      </c>
      <c r="BY18" s="8">
        <f t="shared" si="38"/>
        <v>2.3368245477749999E-2</v>
      </c>
      <c r="BZ18" s="12">
        <f t="shared" si="60"/>
        <v>0.32999999999999996</v>
      </c>
      <c r="CA18" s="12">
        <f t="shared" si="61"/>
        <v>0.28802030456852795</v>
      </c>
      <c r="CB18" s="6">
        <v>1.5</v>
      </c>
      <c r="CC18" s="6">
        <v>1.5</v>
      </c>
      <c r="CD18" s="15">
        <v>0.125</v>
      </c>
      <c r="CE18" s="13">
        <v>0.42</v>
      </c>
      <c r="CF18" s="15">
        <v>2.3E-2</v>
      </c>
      <c r="CG18" s="13">
        <v>0.2</v>
      </c>
      <c r="CH18" s="28">
        <f t="shared" si="62"/>
        <v>8.2676700000000006E-4</v>
      </c>
      <c r="CI18" s="15">
        <f t="shared" si="39"/>
        <v>4.1099399999999994E-3</v>
      </c>
      <c r="CJ18" s="12">
        <v>20</v>
      </c>
      <c r="CK18" s="12">
        <v>1</v>
      </c>
      <c r="CL18" s="7">
        <v>0.6</v>
      </c>
      <c r="CM18" s="7">
        <v>19.399999999999999</v>
      </c>
      <c r="CN18" s="7">
        <v>80</v>
      </c>
      <c r="CO18" s="8">
        <f t="shared" si="40"/>
        <v>0.102344175</v>
      </c>
      <c r="CP18" s="8">
        <f t="shared" si="41"/>
        <v>0.102344175</v>
      </c>
      <c r="CQ18" s="18">
        <f t="shared" si="42"/>
        <v>6.1406505000000003E-4</v>
      </c>
      <c r="CR18" s="8">
        <f t="shared" si="43"/>
        <v>1.9854769949999997E-2</v>
      </c>
      <c r="CS18" s="8">
        <f t="shared" si="44"/>
        <v>8.1875340000000005E-2</v>
      </c>
      <c r="CT18" s="18">
        <f t="shared" si="45"/>
        <v>3.7048591349999999E-3</v>
      </c>
      <c r="CU18" s="8">
        <f t="shared" si="46"/>
        <v>2.0024661280500001E-2</v>
      </c>
      <c r="CV18" s="8">
        <f t="shared" si="47"/>
        <v>2.9782154924999995E-2</v>
      </c>
      <c r="CW18" s="8">
        <f t="shared" si="48"/>
        <v>0.12281301</v>
      </c>
      <c r="CX18" s="18">
        <f t="shared" si="49"/>
        <v>5.5572887024999996E-3</v>
      </c>
      <c r="CY18" s="8">
        <f t="shared" si="50"/>
        <v>3.0036991920749996E-2</v>
      </c>
      <c r="CZ18" s="12">
        <f t="shared" si="51"/>
        <v>0.19999999999999998</v>
      </c>
      <c r="DA18" s="12">
        <f t="shared" si="63"/>
        <v>0.20006012024048095</v>
      </c>
      <c r="DB18" s="6">
        <v>1.5</v>
      </c>
      <c r="DC18" s="6">
        <v>1.5</v>
      </c>
      <c r="DD18" s="15">
        <v>0.1</v>
      </c>
      <c r="DE18" s="13">
        <v>0.39</v>
      </c>
      <c r="DF18" s="15">
        <v>2.1000000000000001E-2</v>
      </c>
      <c r="DG18" s="13">
        <v>0.15</v>
      </c>
      <c r="DH18" s="28">
        <f t="shared" si="52"/>
        <v>9.7740000000000001E-4</v>
      </c>
      <c r="DI18" s="29">
        <f t="shared" si="53"/>
        <v>5.2828200000000006E-3</v>
      </c>
    </row>
    <row r="19" spans="1:113" x14ac:dyDescent="0.25">
      <c r="A19" s="85">
        <v>11</v>
      </c>
      <c r="B19" s="9" t="s">
        <v>36</v>
      </c>
      <c r="C19" s="9" t="s">
        <v>24</v>
      </c>
      <c r="D19" s="31" t="s">
        <v>181</v>
      </c>
      <c r="E19" s="9">
        <v>2</v>
      </c>
      <c r="F19" s="9">
        <v>50</v>
      </c>
      <c r="G19" s="32" t="s">
        <v>99</v>
      </c>
      <c r="H19" s="9" t="s">
        <v>10</v>
      </c>
      <c r="I19" s="9" t="s">
        <v>6</v>
      </c>
      <c r="J19" s="32" t="s">
        <v>99</v>
      </c>
      <c r="K19" s="2" t="str">
        <f t="shared" si="0"/>
        <v>Kommunal Tätort VV 50 - GIF Y</v>
      </c>
      <c r="L19" s="2"/>
      <c r="M19" s="32" t="s">
        <v>99</v>
      </c>
      <c r="N19" s="53">
        <f>'Beräkna - Länk'!$C$26</f>
        <v>1</v>
      </c>
      <c r="O19" s="53">
        <f>'Beräkna - Länk'!$C$24/('Beräkna - Länk'!$C$27)^('Beräkna - Länk'!$C$25-2010)</f>
        <v>10385</v>
      </c>
      <c r="P19" s="13">
        <f t="shared" si="1"/>
        <v>3.7905249999999997</v>
      </c>
      <c r="Q19" s="13">
        <f t="shared" si="2"/>
        <v>0.58506753374999987</v>
      </c>
      <c r="R19" s="13">
        <f t="shared" si="3"/>
        <v>0.95653898374999979</v>
      </c>
      <c r="S19" s="28">
        <f t="shared" si="4"/>
        <v>1.0893400271249997E-2</v>
      </c>
      <c r="T19" s="15">
        <f t="shared" si="5"/>
        <v>0.15301837704124999</v>
      </c>
      <c r="U19" s="13">
        <f t="shared" si="6"/>
        <v>0.79262720643749984</v>
      </c>
      <c r="V19" s="13">
        <f t="shared" si="7"/>
        <v>2.5074322874999995</v>
      </c>
      <c r="W19" s="15">
        <f t="shared" si="8"/>
        <v>2.6598052328968752E-2</v>
      </c>
      <c r="X19" s="15">
        <f t="shared" si="9"/>
        <v>0.152691296429525</v>
      </c>
      <c r="Y19" s="15">
        <f t="shared" si="54"/>
        <v>0.22952756556187501</v>
      </c>
      <c r="Z19" s="14">
        <f t="shared" si="10"/>
        <v>1.1889408096562497</v>
      </c>
      <c r="AA19" s="14">
        <f t="shared" si="11"/>
        <v>17.552026012499997</v>
      </c>
      <c r="AB19" s="13">
        <f t="shared" si="12"/>
        <v>3.9897078493453121E-2</v>
      </c>
      <c r="AC19" s="14">
        <f t="shared" si="13"/>
        <v>0.22903694464428745</v>
      </c>
      <c r="AD19" s="13">
        <f t="shared" si="55"/>
        <v>0.16820161974095843</v>
      </c>
      <c r="AE19" s="15">
        <f t="shared" si="56"/>
        <v>6.3426825000000006E-2</v>
      </c>
      <c r="AF19" s="8">
        <v>0.1225</v>
      </c>
      <c r="AG19" s="12">
        <v>1.8</v>
      </c>
      <c r="AH19" s="12">
        <v>1</v>
      </c>
      <c r="AI19" s="12">
        <v>15</v>
      </c>
      <c r="AJ19" s="7">
        <v>84</v>
      </c>
      <c r="AK19" s="12">
        <v>3</v>
      </c>
      <c r="AL19" s="12">
        <f t="shared" si="14"/>
        <v>0.46433931249999993</v>
      </c>
      <c r="AM19" s="12">
        <f t="shared" si="57"/>
        <v>0.83581076249999986</v>
      </c>
      <c r="AN19" s="18">
        <f t="shared" si="15"/>
        <v>8.358107624999998E-3</v>
      </c>
      <c r="AO19" s="8">
        <f t="shared" si="16"/>
        <v>0.125371614375</v>
      </c>
      <c r="AP19" s="12">
        <f t="shared" si="17"/>
        <v>0.70208104049999986</v>
      </c>
      <c r="AQ19" s="12">
        <f t="shared" si="18"/>
        <v>2.5074322874999995</v>
      </c>
      <c r="AR19" s="18">
        <f t="shared" si="19"/>
        <v>2.1538843349625001E-2</v>
      </c>
      <c r="AS19" s="8">
        <f t="shared" si="20"/>
        <v>0.12637458729000001</v>
      </c>
      <c r="AT19" s="8">
        <f t="shared" si="21"/>
        <v>0.18805742156249999</v>
      </c>
      <c r="AU19" s="8">
        <f t="shared" si="22"/>
        <v>1.0531215607499997</v>
      </c>
      <c r="AV19" s="8">
        <f t="shared" si="23"/>
        <v>17.552026012499997</v>
      </c>
      <c r="AW19" s="8">
        <f t="shared" si="24"/>
        <v>3.2308265024437496E-2</v>
      </c>
      <c r="AX19" s="8">
        <f t="shared" si="25"/>
        <v>0.18956188093499998</v>
      </c>
      <c r="AY19" s="495">
        <f t="shared" si="58"/>
        <v>0.15719063545150505</v>
      </c>
      <c r="AZ19" s="8">
        <f t="shared" si="59"/>
        <v>3.5280000000000006E-2</v>
      </c>
      <c r="BA19" s="6">
        <v>1.5</v>
      </c>
      <c r="BB19" s="6">
        <v>1.5</v>
      </c>
      <c r="BC19" s="6">
        <v>7</v>
      </c>
      <c r="BD19" s="15">
        <v>7.0999999999999994E-2</v>
      </c>
      <c r="BE19" s="13">
        <v>0.28000000000000003</v>
      </c>
      <c r="BF19" s="15">
        <v>1.7999999999999999E-2</v>
      </c>
      <c r="BG19" s="13">
        <v>0.13</v>
      </c>
      <c r="BH19" s="28">
        <f t="shared" si="26"/>
        <v>5.6822850000000005E-3</v>
      </c>
      <c r="BI19" s="15">
        <f t="shared" si="27"/>
        <v>3.3339600000000004E-2</v>
      </c>
      <c r="BJ19" s="12">
        <v>10</v>
      </c>
      <c r="BK19" s="12">
        <v>1</v>
      </c>
      <c r="BL19" s="7">
        <v>4.5</v>
      </c>
      <c r="BM19" s="7">
        <v>28.5</v>
      </c>
      <c r="BN19" s="7">
        <v>67</v>
      </c>
      <c r="BO19" s="8">
        <f t="shared" si="28"/>
        <v>4.6433931249999998E-2</v>
      </c>
      <c r="BP19" s="8">
        <f t="shared" si="29"/>
        <v>4.6433931249999998E-2</v>
      </c>
      <c r="BQ19" s="8">
        <f t="shared" si="30"/>
        <v>2.0895269062499999E-3</v>
      </c>
      <c r="BR19" s="8">
        <f t="shared" si="31"/>
        <v>1.3233670406249998E-2</v>
      </c>
      <c r="BS19" s="8">
        <f t="shared" si="32"/>
        <v>3.1110733937499999E-2</v>
      </c>
      <c r="BT19" s="18">
        <f t="shared" si="33"/>
        <v>2.3697556813437499E-3</v>
      </c>
      <c r="BU19" s="8">
        <f t="shared" si="34"/>
        <v>1.1780288358124998E-2</v>
      </c>
      <c r="BV19" s="8">
        <f t="shared" si="35"/>
        <v>1.9850505609374999E-2</v>
      </c>
      <c r="BW19" s="8">
        <f t="shared" si="36"/>
        <v>4.6666100906250001E-2</v>
      </c>
      <c r="BX19" s="18">
        <f t="shared" si="37"/>
        <v>3.5546335220156249E-3</v>
      </c>
      <c r="BY19" s="8">
        <f t="shared" si="38"/>
        <v>1.7670432537187503E-2</v>
      </c>
      <c r="BZ19" s="12">
        <f t="shared" si="60"/>
        <v>0.32999999999999996</v>
      </c>
      <c r="CA19" s="12">
        <f t="shared" si="61"/>
        <v>0.28802030456852801</v>
      </c>
      <c r="CB19" s="6">
        <v>1.5</v>
      </c>
      <c r="CC19" s="6">
        <v>1.5</v>
      </c>
      <c r="CD19" s="15">
        <v>0.125</v>
      </c>
      <c r="CE19" s="13">
        <v>0.42</v>
      </c>
      <c r="CF19" s="15">
        <v>2.3E-2</v>
      </c>
      <c r="CG19" s="13">
        <v>0.2</v>
      </c>
      <c r="CH19" s="28">
        <f t="shared" si="62"/>
        <v>6.2517875000000004E-4</v>
      </c>
      <c r="CI19" s="15">
        <f t="shared" si="39"/>
        <v>3.1078249999999998E-3</v>
      </c>
      <c r="CJ19" s="12">
        <v>16</v>
      </c>
      <c r="CK19" s="12">
        <v>1</v>
      </c>
      <c r="CL19" s="7">
        <v>0.6</v>
      </c>
      <c r="CM19" s="7">
        <v>19.399999999999999</v>
      </c>
      <c r="CN19" s="7">
        <v>80</v>
      </c>
      <c r="CO19" s="8">
        <f t="shared" si="40"/>
        <v>7.4294289999999985E-2</v>
      </c>
      <c r="CP19" s="8">
        <f t="shared" si="41"/>
        <v>7.4294289999999985E-2</v>
      </c>
      <c r="CQ19" s="18">
        <f t="shared" si="42"/>
        <v>4.457657399999999E-4</v>
      </c>
      <c r="CR19" s="8">
        <f t="shared" si="43"/>
        <v>1.4413092259999996E-2</v>
      </c>
      <c r="CS19" s="8">
        <f t="shared" si="44"/>
        <v>5.9435431999999989E-2</v>
      </c>
      <c r="CT19" s="18">
        <f t="shared" si="45"/>
        <v>2.6894532980000002E-3</v>
      </c>
      <c r="CU19" s="8">
        <f t="shared" si="46"/>
        <v>1.4536420781399998E-2</v>
      </c>
      <c r="CV19" s="8">
        <f t="shared" si="47"/>
        <v>2.1619638389999994E-2</v>
      </c>
      <c r="CW19" s="8">
        <f t="shared" si="48"/>
        <v>8.9153147999999988E-2</v>
      </c>
      <c r="CX19" s="18">
        <f t="shared" si="49"/>
        <v>4.0341799469999998E-3</v>
      </c>
      <c r="CY19" s="8">
        <f t="shared" si="50"/>
        <v>2.1804631172099995E-2</v>
      </c>
      <c r="CZ19" s="12">
        <f t="shared" si="51"/>
        <v>0.19999999999999998</v>
      </c>
      <c r="DA19" s="12">
        <f t="shared" si="63"/>
        <v>0.20006012024048095</v>
      </c>
      <c r="DB19" s="6">
        <v>1.5</v>
      </c>
      <c r="DC19" s="6">
        <v>1.5</v>
      </c>
      <c r="DD19" s="15">
        <v>0.1</v>
      </c>
      <c r="DE19" s="13">
        <v>0.39</v>
      </c>
      <c r="DF19" s="15">
        <v>2.1000000000000001E-2</v>
      </c>
      <c r="DG19" s="13">
        <v>0.15</v>
      </c>
      <c r="DH19" s="28">
        <f t="shared" si="52"/>
        <v>7.0952000000000005E-4</v>
      </c>
      <c r="DI19" s="29">
        <f t="shared" si="53"/>
        <v>3.8349359999999997E-3</v>
      </c>
    </row>
    <row r="20" spans="1:113" x14ac:dyDescent="0.25">
      <c r="A20" s="85">
        <v>12</v>
      </c>
      <c r="B20" s="9" t="s">
        <v>36</v>
      </c>
      <c r="C20" s="9" t="s">
        <v>24</v>
      </c>
      <c r="D20" s="31" t="s">
        <v>181</v>
      </c>
      <c r="E20" s="9">
        <v>2</v>
      </c>
      <c r="F20" s="9">
        <v>50</v>
      </c>
      <c r="G20" s="32" t="s">
        <v>99</v>
      </c>
      <c r="H20" s="19" t="s">
        <v>25</v>
      </c>
      <c r="I20" s="33" t="s">
        <v>4</v>
      </c>
      <c r="J20" s="32" t="s">
        <v>99</v>
      </c>
      <c r="K20" s="2" t="str">
        <f t="shared" si="0"/>
        <v>Kommunal Tätort VV 50 - Tangent C</v>
      </c>
      <c r="L20" s="2"/>
      <c r="M20" s="32" t="s">
        <v>99</v>
      </c>
      <c r="N20" s="53">
        <f>'Beräkna - Länk'!$C$26</f>
        <v>1</v>
      </c>
      <c r="O20" s="53">
        <f>'Beräkna - Länk'!$C$24/('Beräkna - Länk'!$C$27)^('Beräkna - Länk'!$C$25-2010)</f>
        <v>10385</v>
      </c>
      <c r="P20" s="13">
        <f t="shared" si="1"/>
        <v>3.7905249999999997</v>
      </c>
      <c r="Q20" s="13">
        <f t="shared" si="2"/>
        <v>0.85684817624999998</v>
      </c>
      <c r="R20" s="13">
        <f t="shared" si="3"/>
        <v>1.1070228262499999</v>
      </c>
      <c r="S20" s="28">
        <f t="shared" si="4"/>
        <v>1.4291226881249999E-2</v>
      </c>
      <c r="T20" s="15">
        <f t="shared" si="5"/>
        <v>0.18591103678124996</v>
      </c>
      <c r="U20" s="13">
        <f t="shared" si="6"/>
        <v>0.90682056258749988</v>
      </c>
      <c r="V20" s="13">
        <f t="shared" si="7"/>
        <v>2.6268338249999998</v>
      </c>
      <c r="W20" s="15">
        <f t="shared" si="8"/>
        <v>3.2518920608418746E-2</v>
      </c>
      <c r="X20" s="15">
        <f t="shared" si="9"/>
        <v>0.18384146698912499</v>
      </c>
      <c r="Y20" s="15">
        <f t="shared" si="54"/>
        <v>0.27886655517187497</v>
      </c>
      <c r="Z20" s="14">
        <f t="shared" si="10"/>
        <v>1.3602308438812498</v>
      </c>
      <c r="AA20" s="14">
        <f t="shared" si="11"/>
        <v>18.387836775</v>
      </c>
      <c r="AB20" s="13">
        <f t="shared" si="12"/>
        <v>4.8778380912628115E-2</v>
      </c>
      <c r="AC20" s="14">
        <f t="shared" si="13"/>
        <v>0.27576220048368749</v>
      </c>
      <c r="AD20" s="13">
        <f t="shared" si="55"/>
        <v>0.1773072449240139</v>
      </c>
      <c r="AE20" s="15">
        <f t="shared" si="56"/>
        <v>7.7339624999999995E-2</v>
      </c>
      <c r="AF20" s="8">
        <v>0.16500000000000001</v>
      </c>
      <c r="AG20" s="12">
        <v>1.4</v>
      </c>
      <c r="AH20" s="12">
        <v>1</v>
      </c>
      <c r="AI20" s="12">
        <v>15</v>
      </c>
      <c r="AJ20" s="7">
        <v>84</v>
      </c>
      <c r="AK20" s="12">
        <v>3</v>
      </c>
      <c r="AL20" s="12">
        <f t="shared" si="14"/>
        <v>0.62543662499999997</v>
      </c>
      <c r="AM20" s="12">
        <f t="shared" si="57"/>
        <v>0.87561127499999991</v>
      </c>
      <c r="AN20" s="18">
        <f t="shared" si="15"/>
        <v>8.7561127499999995E-3</v>
      </c>
      <c r="AO20" s="8">
        <f t="shared" si="16"/>
        <v>0.13134169124999998</v>
      </c>
      <c r="AP20" s="12">
        <f t="shared" si="17"/>
        <v>0.73551347099999986</v>
      </c>
      <c r="AQ20" s="12">
        <f t="shared" si="18"/>
        <v>2.6268338249999998</v>
      </c>
      <c r="AR20" s="18">
        <f t="shared" si="19"/>
        <v>2.2564502556749994E-2</v>
      </c>
      <c r="AS20" s="8">
        <f t="shared" si="20"/>
        <v>0.13239242477999999</v>
      </c>
      <c r="AT20" s="8">
        <f t="shared" si="21"/>
        <v>0.19701253687499998</v>
      </c>
      <c r="AU20" s="8">
        <f t="shared" si="22"/>
        <v>1.1032702064999997</v>
      </c>
      <c r="AV20" s="8">
        <f t="shared" si="23"/>
        <v>18.387836775</v>
      </c>
      <c r="AW20" s="8">
        <f t="shared" si="24"/>
        <v>3.384675383512499E-2</v>
      </c>
      <c r="AX20" s="8">
        <f t="shared" si="25"/>
        <v>0.19858863716999997</v>
      </c>
      <c r="AY20" s="495">
        <f t="shared" si="58"/>
        <v>0.15719063545150502</v>
      </c>
      <c r="AZ20" s="8">
        <f t="shared" si="59"/>
        <v>3.696E-2</v>
      </c>
      <c r="BA20" s="6">
        <v>1.5</v>
      </c>
      <c r="BB20" s="6">
        <v>1.5</v>
      </c>
      <c r="BC20" s="6">
        <v>7</v>
      </c>
      <c r="BD20" s="15">
        <v>7.0999999999999994E-2</v>
      </c>
      <c r="BE20" s="13">
        <v>0.28000000000000003</v>
      </c>
      <c r="BF20" s="15">
        <v>1.7999999999999999E-2</v>
      </c>
      <c r="BG20" s="13">
        <v>0.13</v>
      </c>
      <c r="BH20" s="28">
        <f t="shared" si="26"/>
        <v>5.952869999999999E-3</v>
      </c>
      <c r="BI20" s="15">
        <f t="shared" si="27"/>
        <v>3.4927199999999999E-2</v>
      </c>
      <c r="BJ20" s="12">
        <v>17</v>
      </c>
      <c r="BK20" s="12">
        <v>1</v>
      </c>
      <c r="BL20" s="7">
        <v>4.5</v>
      </c>
      <c r="BM20" s="7">
        <v>28.5</v>
      </c>
      <c r="BN20" s="7">
        <v>67</v>
      </c>
      <c r="BO20" s="8">
        <f t="shared" si="28"/>
        <v>0.10632422625</v>
      </c>
      <c r="BP20" s="8">
        <f t="shared" si="29"/>
        <v>0.10632422625</v>
      </c>
      <c r="BQ20" s="8">
        <f t="shared" si="30"/>
        <v>4.7845901812500003E-3</v>
      </c>
      <c r="BR20" s="8">
        <f t="shared" si="31"/>
        <v>3.0302404481249996E-2</v>
      </c>
      <c r="BS20" s="8">
        <f t="shared" si="32"/>
        <v>7.1237231587500005E-2</v>
      </c>
      <c r="BT20" s="18">
        <f t="shared" si="33"/>
        <v>5.4262568866687505E-3</v>
      </c>
      <c r="BU20" s="8">
        <f t="shared" si="34"/>
        <v>2.6974456199624998E-2</v>
      </c>
      <c r="BV20" s="8">
        <f t="shared" si="35"/>
        <v>4.5453606721874998E-2</v>
      </c>
      <c r="BW20" s="8">
        <f t="shared" si="36"/>
        <v>0.10685584738125001</v>
      </c>
      <c r="BX20" s="18">
        <f t="shared" si="37"/>
        <v>8.1393853300031245E-3</v>
      </c>
      <c r="BY20" s="8">
        <f t="shared" si="38"/>
        <v>4.04616842994375E-2</v>
      </c>
      <c r="BZ20" s="12">
        <f t="shared" si="60"/>
        <v>0.32999999999999996</v>
      </c>
      <c r="CA20" s="12">
        <f t="shared" si="61"/>
        <v>0.2880203045685279</v>
      </c>
      <c r="CB20" s="6">
        <v>1.5</v>
      </c>
      <c r="CC20" s="6">
        <v>1.5</v>
      </c>
      <c r="CD20" s="15">
        <v>0.125</v>
      </c>
      <c r="CE20" s="13">
        <v>0.42</v>
      </c>
      <c r="CF20" s="15">
        <v>2.3E-2</v>
      </c>
      <c r="CG20" s="13">
        <v>0.2</v>
      </c>
      <c r="CH20" s="28">
        <f t="shared" si="62"/>
        <v>1.4315317500000002E-3</v>
      </c>
      <c r="CI20" s="15">
        <f t="shared" si="39"/>
        <v>7.116285E-3</v>
      </c>
      <c r="CJ20" s="12">
        <v>20</v>
      </c>
      <c r="CK20" s="12">
        <v>1</v>
      </c>
      <c r="CL20" s="7">
        <v>0.6</v>
      </c>
      <c r="CM20" s="7">
        <v>19.399999999999999</v>
      </c>
      <c r="CN20" s="7">
        <v>80</v>
      </c>
      <c r="CO20" s="8">
        <f t="shared" si="40"/>
        <v>0.125087325</v>
      </c>
      <c r="CP20" s="8">
        <f t="shared" si="41"/>
        <v>0.125087325</v>
      </c>
      <c r="CQ20" s="18">
        <f t="shared" si="42"/>
        <v>7.5052395000000001E-4</v>
      </c>
      <c r="CR20" s="8">
        <f t="shared" si="43"/>
        <v>2.4266941049999997E-2</v>
      </c>
      <c r="CS20" s="8">
        <f t="shared" si="44"/>
        <v>0.10006986000000001</v>
      </c>
      <c r="CT20" s="18">
        <f t="shared" si="45"/>
        <v>4.5281611649999999E-3</v>
      </c>
      <c r="CU20" s="8">
        <f t="shared" si="46"/>
        <v>2.4474586009499998E-2</v>
      </c>
      <c r="CV20" s="8">
        <f t="shared" si="47"/>
        <v>3.6400411575E-2</v>
      </c>
      <c r="CW20" s="8">
        <f t="shared" si="48"/>
        <v>0.15010479000000002</v>
      </c>
      <c r="CX20" s="18">
        <f t="shared" si="49"/>
        <v>6.7922417475000003E-3</v>
      </c>
      <c r="CY20" s="8">
        <f t="shared" si="50"/>
        <v>3.671187901425E-2</v>
      </c>
      <c r="CZ20" s="12">
        <f t="shared" si="51"/>
        <v>0.19999999999999998</v>
      </c>
      <c r="DA20" s="12">
        <f t="shared" si="63"/>
        <v>0.20006012024048092</v>
      </c>
      <c r="DB20" s="6">
        <v>1.5</v>
      </c>
      <c r="DC20" s="6">
        <v>1.5</v>
      </c>
      <c r="DD20" s="15">
        <v>0.1</v>
      </c>
      <c r="DE20" s="13">
        <v>0.39</v>
      </c>
      <c r="DF20" s="15">
        <v>2.1000000000000001E-2</v>
      </c>
      <c r="DG20" s="13">
        <v>0.15</v>
      </c>
      <c r="DH20" s="28">
        <f t="shared" si="52"/>
        <v>1.1946000000000001E-3</v>
      </c>
      <c r="DI20" s="29">
        <f t="shared" si="53"/>
        <v>6.4567799999999996E-3</v>
      </c>
    </row>
    <row r="21" spans="1:113" x14ac:dyDescent="0.25">
      <c r="A21" s="85">
        <v>13</v>
      </c>
      <c r="B21" s="9" t="s">
        <v>36</v>
      </c>
      <c r="C21" s="9" t="s">
        <v>24</v>
      </c>
      <c r="D21" s="31" t="s">
        <v>181</v>
      </c>
      <c r="E21" s="9">
        <v>2</v>
      </c>
      <c r="F21" s="9">
        <v>50</v>
      </c>
      <c r="G21" s="32" t="s">
        <v>99</v>
      </c>
      <c r="H21" s="19" t="s">
        <v>25</v>
      </c>
      <c r="I21" s="33" t="s">
        <v>5</v>
      </c>
      <c r="J21" s="32" t="s">
        <v>99</v>
      </c>
      <c r="K21" s="2" t="str">
        <f t="shared" si="0"/>
        <v>Kommunal Tätort VV 50 - Tangent M</v>
      </c>
      <c r="L21" s="2"/>
      <c r="M21" s="32" t="s">
        <v>99</v>
      </c>
      <c r="N21" s="53">
        <f>'Beräkna - Länk'!$C$26</f>
        <v>1</v>
      </c>
      <c r="O21" s="53">
        <f>'Beräkna - Länk'!$C$24/('Beräkna - Länk'!$C$27)^('Beräkna - Länk'!$C$25-2010)</f>
        <v>10385</v>
      </c>
      <c r="P21" s="13">
        <f t="shared" si="1"/>
        <v>3.7905249999999997</v>
      </c>
      <c r="Q21" s="13">
        <f t="shared" si="2"/>
        <v>0.73242419312499984</v>
      </c>
      <c r="R21" s="13">
        <f t="shared" si="3"/>
        <v>1.0455215581249999</v>
      </c>
      <c r="S21" s="28">
        <f t="shared" si="4"/>
        <v>1.2814627867499997E-2</v>
      </c>
      <c r="T21" s="15">
        <f t="shared" si="5"/>
        <v>0.17157735601999999</v>
      </c>
      <c r="U21" s="13">
        <f t="shared" si="6"/>
        <v>0.86112957423749981</v>
      </c>
      <c r="V21" s="13">
        <f t="shared" si="7"/>
        <v>2.6165994074999994</v>
      </c>
      <c r="W21" s="15">
        <f t="shared" si="8"/>
        <v>2.9912036316493751E-2</v>
      </c>
      <c r="X21" s="15">
        <f t="shared" si="9"/>
        <v>0.17033178760973749</v>
      </c>
      <c r="Y21" s="15">
        <f t="shared" si="54"/>
        <v>0.25736603402999997</v>
      </c>
      <c r="Z21" s="14">
        <f t="shared" si="10"/>
        <v>1.2916943613562499</v>
      </c>
      <c r="AA21" s="14">
        <f t="shared" si="11"/>
        <v>18.316195852499995</v>
      </c>
      <c r="AB21" s="13">
        <f t="shared" si="12"/>
        <v>4.4868054474740619E-2</v>
      </c>
      <c r="AC21" s="14">
        <f t="shared" si="13"/>
        <v>0.25549768141460621</v>
      </c>
      <c r="AD21" s="13">
        <f t="shared" si="55"/>
        <v>0.17298481496595716</v>
      </c>
      <c r="AE21" s="15">
        <f t="shared" si="56"/>
        <v>7.1277899999999991E-2</v>
      </c>
      <c r="AF21" s="8">
        <v>0.14749999999999999</v>
      </c>
      <c r="AG21" s="12">
        <v>1.56</v>
      </c>
      <c r="AH21" s="12">
        <v>1</v>
      </c>
      <c r="AI21" s="12">
        <v>15</v>
      </c>
      <c r="AJ21" s="7">
        <v>84</v>
      </c>
      <c r="AK21" s="12">
        <v>3</v>
      </c>
      <c r="AL21" s="12">
        <f t="shared" si="14"/>
        <v>0.55910243749999988</v>
      </c>
      <c r="AM21" s="12">
        <f t="shared" si="57"/>
        <v>0.87219980249999984</v>
      </c>
      <c r="AN21" s="18">
        <f t="shared" si="15"/>
        <v>8.7219980249999985E-3</v>
      </c>
      <c r="AO21" s="8">
        <f t="shared" si="16"/>
        <v>0.13082997037499999</v>
      </c>
      <c r="AP21" s="12">
        <f t="shared" si="17"/>
        <v>0.7326478340999999</v>
      </c>
      <c r="AQ21" s="12">
        <f t="shared" si="18"/>
        <v>2.6165994074999994</v>
      </c>
      <c r="AR21" s="18">
        <f t="shared" si="19"/>
        <v>2.2476588910424998E-2</v>
      </c>
      <c r="AS21" s="8">
        <f t="shared" si="20"/>
        <v>0.13187661013800001</v>
      </c>
      <c r="AT21" s="8">
        <f t="shared" si="21"/>
        <v>0.19624495556249999</v>
      </c>
      <c r="AU21" s="8">
        <f t="shared" si="22"/>
        <v>1.0989717511499999</v>
      </c>
      <c r="AV21" s="8">
        <f t="shared" si="23"/>
        <v>18.316195852499995</v>
      </c>
      <c r="AW21" s="8">
        <f t="shared" si="24"/>
        <v>3.3714883365637494E-2</v>
      </c>
      <c r="AX21" s="8">
        <f t="shared" si="25"/>
        <v>0.19781491520700001</v>
      </c>
      <c r="AY21" s="495">
        <f t="shared" si="58"/>
        <v>0.15719063545150502</v>
      </c>
      <c r="AZ21" s="8">
        <f t="shared" si="59"/>
        <v>3.6816000000000002E-2</v>
      </c>
      <c r="BA21" s="6">
        <v>1.5</v>
      </c>
      <c r="BB21" s="6">
        <v>1.5</v>
      </c>
      <c r="BC21" s="6">
        <v>7</v>
      </c>
      <c r="BD21" s="15">
        <v>7.0999999999999994E-2</v>
      </c>
      <c r="BE21" s="13">
        <v>0.28000000000000003</v>
      </c>
      <c r="BF21" s="15">
        <v>1.7999999999999999E-2</v>
      </c>
      <c r="BG21" s="13">
        <v>0.13</v>
      </c>
      <c r="BH21" s="28">
        <f t="shared" si="26"/>
        <v>5.9296769999999995E-3</v>
      </c>
      <c r="BI21" s="15">
        <f t="shared" si="27"/>
        <v>3.4791120000000002E-2</v>
      </c>
      <c r="BJ21" s="12">
        <v>14</v>
      </c>
      <c r="BK21" s="12">
        <v>1</v>
      </c>
      <c r="BL21" s="7">
        <v>4.5</v>
      </c>
      <c r="BM21" s="7">
        <v>28.5</v>
      </c>
      <c r="BN21" s="7">
        <v>67</v>
      </c>
      <c r="BO21" s="8">
        <f t="shared" si="28"/>
        <v>7.827434124999999E-2</v>
      </c>
      <c r="BP21" s="8">
        <f t="shared" si="29"/>
        <v>7.827434124999999E-2</v>
      </c>
      <c r="BQ21" s="8">
        <f t="shared" si="30"/>
        <v>3.5223453562499996E-3</v>
      </c>
      <c r="BR21" s="8">
        <f t="shared" si="31"/>
        <v>2.2308187256249994E-2</v>
      </c>
      <c r="BS21" s="8">
        <f t="shared" si="32"/>
        <v>5.2443808637499999E-2</v>
      </c>
      <c r="BT21" s="18">
        <f t="shared" si="33"/>
        <v>3.9947310056937507E-3</v>
      </c>
      <c r="BU21" s="8">
        <f t="shared" si="34"/>
        <v>1.9858200375125E-2</v>
      </c>
      <c r="BV21" s="8">
        <f t="shared" si="35"/>
        <v>3.3462280884374987E-2</v>
      </c>
      <c r="BW21" s="8">
        <f t="shared" si="36"/>
        <v>7.8665712956249995E-2</v>
      </c>
      <c r="BX21" s="18">
        <f t="shared" si="37"/>
        <v>5.9920965085406234E-3</v>
      </c>
      <c r="BY21" s="8">
        <f t="shared" si="38"/>
        <v>2.9787300562687493E-2</v>
      </c>
      <c r="BZ21" s="12">
        <f t="shared" si="60"/>
        <v>0.32999999999999996</v>
      </c>
      <c r="CA21" s="12">
        <f t="shared" si="61"/>
        <v>0.2880203045685279</v>
      </c>
      <c r="CB21" s="6">
        <v>1.5</v>
      </c>
      <c r="CC21" s="6">
        <v>1.5</v>
      </c>
      <c r="CD21" s="15">
        <v>0.125</v>
      </c>
      <c r="CE21" s="13">
        <v>0.42</v>
      </c>
      <c r="CF21" s="15">
        <v>2.3E-2</v>
      </c>
      <c r="CG21" s="13">
        <v>0.2</v>
      </c>
      <c r="CH21" s="28">
        <f t="shared" si="62"/>
        <v>1.0538727500000002E-3</v>
      </c>
      <c r="CI21" s="15">
        <f t="shared" si="39"/>
        <v>5.2389050000000003E-3</v>
      </c>
      <c r="CJ21" s="12">
        <v>17</v>
      </c>
      <c r="CK21" s="12">
        <v>1</v>
      </c>
      <c r="CL21" s="7">
        <v>0.6</v>
      </c>
      <c r="CM21" s="7">
        <v>19.399999999999999</v>
      </c>
      <c r="CN21" s="7">
        <v>80</v>
      </c>
      <c r="CO21" s="8">
        <f t="shared" si="40"/>
        <v>9.5047414374999986E-2</v>
      </c>
      <c r="CP21" s="8">
        <f t="shared" si="41"/>
        <v>9.5047414374999986E-2</v>
      </c>
      <c r="CQ21" s="18">
        <f t="shared" si="42"/>
        <v>5.702844862499999E-4</v>
      </c>
      <c r="CR21" s="8">
        <f t="shared" si="43"/>
        <v>1.8439198388749994E-2</v>
      </c>
      <c r="CS21" s="8">
        <f t="shared" si="44"/>
        <v>7.6037931499999989E-2</v>
      </c>
      <c r="CT21" s="18">
        <f t="shared" si="45"/>
        <v>3.440716400375E-3</v>
      </c>
      <c r="CU21" s="8">
        <f t="shared" si="46"/>
        <v>1.8596977096612496E-2</v>
      </c>
      <c r="CV21" s="8">
        <f t="shared" si="47"/>
        <v>2.7658797583124992E-2</v>
      </c>
      <c r="CW21" s="8">
        <f t="shared" si="48"/>
        <v>0.11405689724999998</v>
      </c>
      <c r="CX21" s="18">
        <f t="shared" si="49"/>
        <v>5.1610746005624989E-3</v>
      </c>
      <c r="CY21" s="8">
        <f t="shared" si="50"/>
        <v>2.7895465644918745E-2</v>
      </c>
      <c r="CZ21" s="12">
        <f t="shared" si="51"/>
        <v>0.19999999999999998</v>
      </c>
      <c r="DA21" s="12">
        <f t="shared" si="63"/>
        <v>0.20006012024048095</v>
      </c>
      <c r="DB21" s="6">
        <v>1.5</v>
      </c>
      <c r="DC21" s="6">
        <v>1.5</v>
      </c>
      <c r="DD21" s="15">
        <v>0.1</v>
      </c>
      <c r="DE21" s="13">
        <v>0.39</v>
      </c>
      <c r="DF21" s="15">
        <v>2.1000000000000001E-2</v>
      </c>
      <c r="DG21" s="13">
        <v>0.15</v>
      </c>
      <c r="DH21" s="28">
        <f t="shared" si="52"/>
        <v>9.0771500000000002E-4</v>
      </c>
      <c r="DI21" s="29">
        <f t="shared" si="53"/>
        <v>4.9061744999999999E-3</v>
      </c>
    </row>
    <row r="22" spans="1:113" x14ac:dyDescent="0.25">
      <c r="A22" s="85">
        <v>14</v>
      </c>
      <c r="B22" s="9" t="s">
        <v>36</v>
      </c>
      <c r="C22" s="9" t="s">
        <v>24</v>
      </c>
      <c r="D22" s="31" t="s">
        <v>181</v>
      </c>
      <c r="E22" s="9">
        <v>2</v>
      </c>
      <c r="F22" s="9">
        <v>50</v>
      </c>
      <c r="G22" s="32" t="s">
        <v>99</v>
      </c>
      <c r="H22" s="19" t="s">
        <v>25</v>
      </c>
      <c r="I22" s="33" t="s">
        <v>6</v>
      </c>
      <c r="J22" s="32" t="s">
        <v>99</v>
      </c>
      <c r="K22" s="2" t="str">
        <f t="shared" si="0"/>
        <v>Kommunal Tätort VV 50 - Tangent Y</v>
      </c>
      <c r="L22" s="2"/>
      <c r="M22" s="32" t="s">
        <v>99</v>
      </c>
      <c r="N22" s="53">
        <f>'Beräkna - Länk'!$C$26</f>
        <v>1</v>
      </c>
      <c r="O22" s="53">
        <f>'Beräkna - Länk'!$C$24/('Beräkna - Länk'!$C$27)^('Beräkna - Länk'!$C$25-2010)</f>
        <v>10385</v>
      </c>
      <c r="P22" s="13">
        <f t="shared" si="1"/>
        <v>3.7905249999999997</v>
      </c>
      <c r="Q22" s="13">
        <f t="shared" si="2"/>
        <v>0.64988551124999994</v>
      </c>
      <c r="R22" s="13">
        <f t="shared" si="3"/>
        <v>1.0183245412499999</v>
      </c>
      <c r="S22" s="28">
        <f t="shared" si="4"/>
        <v>1.2025440562499998E-2</v>
      </c>
      <c r="T22" s="15">
        <f t="shared" si="5"/>
        <v>0.16441591713749998</v>
      </c>
      <c r="U22" s="13">
        <f t="shared" si="6"/>
        <v>0.84188318355000002</v>
      </c>
      <c r="V22" s="13">
        <f t="shared" si="7"/>
        <v>2.6404797149999997</v>
      </c>
      <c r="W22" s="15">
        <f t="shared" si="8"/>
        <v>2.8594246085774995E-2</v>
      </c>
      <c r="X22" s="15">
        <f t="shared" si="9"/>
        <v>0.16367750391487498</v>
      </c>
      <c r="Y22" s="15">
        <f t="shared" si="54"/>
        <v>0.24662387570625</v>
      </c>
      <c r="Z22" s="14">
        <f t="shared" si="10"/>
        <v>1.2628247753249999</v>
      </c>
      <c r="AA22" s="14">
        <f t="shared" si="11"/>
        <v>18.483358004999999</v>
      </c>
      <c r="AB22" s="13">
        <f t="shared" si="12"/>
        <v>4.2891369128662496E-2</v>
      </c>
      <c r="AC22" s="14">
        <f t="shared" si="13"/>
        <v>0.24551625587231249</v>
      </c>
      <c r="AD22" s="13">
        <f t="shared" si="55"/>
        <v>0.16999915916925923</v>
      </c>
      <c r="AE22" s="15">
        <f t="shared" si="56"/>
        <v>6.8235749999999998E-2</v>
      </c>
      <c r="AF22" s="8">
        <v>0.13500000000000001</v>
      </c>
      <c r="AG22" s="12">
        <v>1.72</v>
      </c>
      <c r="AH22" s="12">
        <v>1</v>
      </c>
      <c r="AI22" s="12">
        <v>15</v>
      </c>
      <c r="AJ22" s="7">
        <v>84</v>
      </c>
      <c r="AK22" s="12">
        <v>3</v>
      </c>
      <c r="AL22" s="12">
        <f t="shared" si="14"/>
        <v>0.51172087499999996</v>
      </c>
      <c r="AM22" s="12">
        <f t="shared" si="57"/>
        <v>0.88015990499999996</v>
      </c>
      <c r="AN22" s="18">
        <f t="shared" si="15"/>
        <v>8.8015990499999992E-3</v>
      </c>
      <c r="AO22" s="8">
        <f t="shared" si="16"/>
        <v>0.13202398574999999</v>
      </c>
      <c r="AP22" s="12">
        <f t="shared" si="17"/>
        <v>0.73933432020000001</v>
      </c>
      <c r="AQ22" s="12">
        <f t="shared" si="18"/>
        <v>2.6404797149999997</v>
      </c>
      <c r="AR22" s="18">
        <f t="shared" si="19"/>
        <v>2.2681720751849998E-2</v>
      </c>
      <c r="AS22" s="8">
        <f t="shared" si="20"/>
        <v>0.133080177636</v>
      </c>
      <c r="AT22" s="8">
        <f t="shared" si="21"/>
        <v>0.198035978625</v>
      </c>
      <c r="AU22" s="8">
        <f t="shared" si="22"/>
        <v>1.1090014802999999</v>
      </c>
      <c r="AV22" s="8">
        <f t="shared" si="23"/>
        <v>18.483358004999999</v>
      </c>
      <c r="AW22" s="8">
        <f t="shared" si="24"/>
        <v>3.4022581127774995E-2</v>
      </c>
      <c r="AX22" s="8">
        <f t="shared" si="25"/>
        <v>0.19962026645399999</v>
      </c>
      <c r="AY22" s="495">
        <f t="shared" si="58"/>
        <v>0.15719063545150502</v>
      </c>
      <c r="AZ22" s="8">
        <f t="shared" si="59"/>
        <v>3.7152000000000004E-2</v>
      </c>
      <c r="BA22" s="6">
        <v>1.5</v>
      </c>
      <c r="BB22" s="6">
        <v>1.5</v>
      </c>
      <c r="BC22" s="6">
        <v>7</v>
      </c>
      <c r="BD22" s="15">
        <v>7.0999999999999994E-2</v>
      </c>
      <c r="BE22" s="13">
        <v>0.28000000000000003</v>
      </c>
      <c r="BF22" s="15">
        <v>1.7999999999999999E-2</v>
      </c>
      <c r="BG22" s="13">
        <v>0.13</v>
      </c>
      <c r="BH22" s="28">
        <f t="shared" si="26"/>
        <v>5.9837939999999997E-3</v>
      </c>
      <c r="BI22" s="15">
        <f t="shared" si="27"/>
        <v>3.5108640000000003E-2</v>
      </c>
      <c r="BJ22" s="12">
        <v>12</v>
      </c>
      <c r="BK22" s="12">
        <v>1</v>
      </c>
      <c r="BL22" s="7">
        <v>4.5</v>
      </c>
      <c r="BM22" s="7">
        <v>28.5</v>
      </c>
      <c r="BN22" s="7">
        <v>67</v>
      </c>
      <c r="BO22" s="8">
        <f t="shared" si="28"/>
        <v>6.1406504999999993E-2</v>
      </c>
      <c r="BP22" s="8">
        <f t="shared" si="29"/>
        <v>6.1406504999999993E-2</v>
      </c>
      <c r="BQ22" s="8">
        <f t="shared" si="30"/>
        <v>2.7632927249999998E-3</v>
      </c>
      <c r="BR22" s="8">
        <f t="shared" si="31"/>
        <v>1.7500853924999997E-2</v>
      </c>
      <c r="BS22" s="8">
        <f t="shared" si="32"/>
        <v>4.1142358349999998E-2</v>
      </c>
      <c r="BT22" s="18">
        <f t="shared" si="33"/>
        <v>3.1338809826749999E-3</v>
      </c>
      <c r="BU22" s="8">
        <f t="shared" si="34"/>
        <v>1.5578830318499997E-2</v>
      </c>
      <c r="BV22" s="8">
        <f t="shared" si="35"/>
        <v>2.6251280887499995E-2</v>
      </c>
      <c r="BW22" s="8">
        <f t="shared" si="36"/>
        <v>6.1713537525000001E-2</v>
      </c>
      <c r="BX22" s="18">
        <f t="shared" si="37"/>
        <v>4.7008214740124994E-3</v>
      </c>
      <c r="BY22" s="8">
        <f t="shared" si="38"/>
        <v>2.3368245477749999E-2</v>
      </c>
      <c r="BZ22" s="12">
        <f t="shared" si="60"/>
        <v>0.32999999999999996</v>
      </c>
      <c r="CA22" s="12">
        <f t="shared" si="61"/>
        <v>0.28802030456852795</v>
      </c>
      <c r="CB22" s="6">
        <v>1.5</v>
      </c>
      <c r="CC22" s="6">
        <v>1.5</v>
      </c>
      <c r="CD22" s="15">
        <v>0.125</v>
      </c>
      <c r="CE22" s="13">
        <v>0.42</v>
      </c>
      <c r="CF22" s="15">
        <v>2.3E-2</v>
      </c>
      <c r="CG22" s="13">
        <v>0.2</v>
      </c>
      <c r="CH22" s="28">
        <f t="shared" si="62"/>
        <v>8.2676700000000006E-4</v>
      </c>
      <c r="CI22" s="15">
        <f t="shared" si="39"/>
        <v>4.1099399999999994E-3</v>
      </c>
      <c r="CJ22" s="12">
        <v>15</v>
      </c>
      <c r="CK22" s="12">
        <v>1</v>
      </c>
      <c r="CL22" s="7">
        <v>0.6</v>
      </c>
      <c r="CM22" s="7">
        <v>19.399999999999999</v>
      </c>
      <c r="CN22" s="7">
        <v>80</v>
      </c>
      <c r="CO22" s="8">
        <f t="shared" si="40"/>
        <v>7.6758131249999986E-2</v>
      </c>
      <c r="CP22" s="8">
        <f t="shared" si="41"/>
        <v>7.6758131249999986E-2</v>
      </c>
      <c r="CQ22" s="18">
        <f t="shared" si="42"/>
        <v>4.6054878749999991E-4</v>
      </c>
      <c r="CR22" s="8">
        <f t="shared" si="43"/>
        <v>1.4891077462499996E-2</v>
      </c>
      <c r="CS22" s="8">
        <f t="shared" si="44"/>
        <v>6.1406504999999993E-2</v>
      </c>
      <c r="CT22" s="18">
        <f t="shared" si="45"/>
        <v>2.7786443512499998E-3</v>
      </c>
      <c r="CU22" s="8">
        <f t="shared" si="46"/>
        <v>1.5018495960374996E-2</v>
      </c>
      <c r="CV22" s="8">
        <f t="shared" si="47"/>
        <v>2.2336616193749992E-2</v>
      </c>
      <c r="CW22" s="8">
        <f t="shared" si="48"/>
        <v>9.2109757499999986E-2</v>
      </c>
      <c r="CX22" s="18">
        <f t="shared" si="49"/>
        <v>4.1679665268749989E-3</v>
      </c>
      <c r="CY22" s="8">
        <f t="shared" si="50"/>
        <v>2.2527743940562492E-2</v>
      </c>
      <c r="CZ22" s="12">
        <f t="shared" si="51"/>
        <v>0.19999999999999998</v>
      </c>
      <c r="DA22" s="12">
        <f t="shared" si="63"/>
        <v>0.20006012024048095</v>
      </c>
      <c r="DB22" s="6">
        <v>1.5</v>
      </c>
      <c r="DC22" s="6">
        <v>1.5</v>
      </c>
      <c r="DD22" s="15">
        <v>0.1</v>
      </c>
      <c r="DE22" s="13">
        <v>0.39</v>
      </c>
      <c r="DF22" s="15">
        <v>2.1000000000000001E-2</v>
      </c>
      <c r="DG22" s="13">
        <v>0.15</v>
      </c>
      <c r="DH22" s="28">
        <f t="shared" si="52"/>
        <v>7.3305000000000006E-4</v>
      </c>
      <c r="DI22" s="29">
        <f t="shared" si="53"/>
        <v>3.9621149999999996E-3</v>
      </c>
    </row>
    <row r="23" spans="1:113" x14ac:dyDescent="0.25">
      <c r="A23" s="85">
        <v>15</v>
      </c>
      <c r="B23" s="9" t="s">
        <v>36</v>
      </c>
      <c r="C23" s="9" t="s">
        <v>24</v>
      </c>
      <c r="D23" s="31" t="s">
        <v>181</v>
      </c>
      <c r="E23" s="9">
        <v>2</v>
      </c>
      <c r="F23" s="9">
        <v>60</v>
      </c>
      <c r="G23" s="32" t="s">
        <v>99</v>
      </c>
      <c r="H23" s="9" t="s">
        <v>10</v>
      </c>
      <c r="I23" s="33" t="s">
        <v>5</v>
      </c>
      <c r="J23" s="32" t="s">
        <v>99</v>
      </c>
      <c r="K23" s="2" t="str">
        <f t="shared" si="0"/>
        <v>Kommunal Tätort VV 60 - GIF M</v>
      </c>
      <c r="L23" s="2"/>
      <c r="M23" s="32" t="s">
        <v>99</v>
      </c>
      <c r="N23" s="53">
        <f>'Beräkna - Länk'!$C$26</f>
        <v>1</v>
      </c>
      <c r="O23" s="53">
        <f>'Beräkna - Länk'!$C$24/('Beräkna - Länk'!$C$27)^('Beräkna - Länk'!$C$25-2010)</f>
        <v>10385</v>
      </c>
      <c r="P23" s="13">
        <f t="shared" si="1"/>
        <v>3.7905249999999997</v>
      </c>
      <c r="Q23" s="13">
        <f t="shared" si="2"/>
        <v>0.43666847999999997</v>
      </c>
      <c r="R23" s="13">
        <f t="shared" si="3"/>
        <v>0.72778079999999989</v>
      </c>
      <c r="S23" s="28">
        <f t="shared" si="4"/>
        <v>1.1316991439999997E-2</v>
      </c>
      <c r="T23" s="15">
        <f t="shared" si="5"/>
        <v>9.524224735999999E-2</v>
      </c>
      <c r="U23" s="13">
        <f t="shared" si="6"/>
        <v>0.61430764360000001</v>
      </c>
      <c r="V23" s="13">
        <f t="shared" si="7"/>
        <v>1.4037347854545452</v>
      </c>
      <c r="W23" s="15">
        <f t="shared" si="8"/>
        <v>1.823863564616E-2</v>
      </c>
      <c r="X23" s="15">
        <f t="shared" si="9"/>
        <v>0.10844491885279998</v>
      </c>
      <c r="Y23" s="15">
        <f t="shared" si="54"/>
        <v>0.14286337103999996</v>
      </c>
      <c r="Z23" s="14">
        <f t="shared" si="10"/>
        <v>0.92146146539999996</v>
      </c>
      <c r="AA23" s="14">
        <f t="shared" si="11"/>
        <v>9.8261434981818159</v>
      </c>
      <c r="AB23" s="13">
        <f t="shared" si="12"/>
        <v>2.7357953469239995E-2</v>
      </c>
      <c r="AC23" s="14">
        <f t="shared" si="13"/>
        <v>0.16266737827919997</v>
      </c>
      <c r="AD23" s="13">
        <f t="shared" si="55"/>
        <v>0.1433380131598978</v>
      </c>
      <c r="AE23" s="15">
        <f t="shared" si="56"/>
        <v>4.0675199999999995E-2</v>
      </c>
      <c r="AF23" s="8">
        <v>0.1056</v>
      </c>
      <c r="AG23" s="12">
        <v>1.7272727272727271</v>
      </c>
      <c r="AH23" s="12">
        <v>1.4</v>
      </c>
      <c r="AI23" s="12">
        <v>12.6</v>
      </c>
      <c r="AJ23" s="7">
        <v>85</v>
      </c>
      <c r="AK23" s="12">
        <v>2.0303030303030303</v>
      </c>
      <c r="AL23" s="12">
        <f t="shared" si="14"/>
        <v>0.40027943999999999</v>
      </c>
      <c r="AM23" s="12">
        <f t="shared" si="57"/>
        <v>0.69139175999999991</v>
      </c>
      <c r="AN23" s="18">
        <f t="shared" si="15"/>
        <v>9.6794846399999978E-3</v>
      </c>
      <c r="AO23" s="8">
        <f t="shared" si="16"/>
        <v>8.7115361759999996E-2</v>
      </c>
      <c r="AP23" s="12">
        <f t="shared" si="17"/>
        <v>0.58768299599999996</v>
      </c>
      <c r="AQ23" s="12">
        <f t="shared" si="18"/>
        <v>1.4037347854545452</v>
      </c>
      <c r="AR23" s="18">
        <f t="shared" si="19"/>
        <v>1.6763484612959997E-2</v>
      </c>
      <c r="AS23" s="8">
        <f t="shared" si="20"/>
        <v>0.10079109077279999</v>
      </c>
      <c r="AT23" s="8">
        <f t="shared" si="21"/>
        <v>0.13067304263999999</v>
      </c>
      <c r="AU23" s="8">
        <f t="shared" si="22"/>
        <v>0.88152449399999999</v>
      </c>
      <c r="AV23" s="8">
        <f t="shared" si="23"/>
        <v>9.8261434981818159</v>
      </c>
      <c r="AW23" s="8">
        <f t="shared" si="24"/>
        <v>2.5145226919439996E-2</v>
      </c>
      <c r="AX23" s="8">
        <f t="shared" si="25"/>
        <v>0.1511866361592</v>
      </c>
      <c r="AY23" s="495">
        <f t="shared" si="58"/>
        <v>0.13734776725304465</v>
      </c>
      <c r="AZ23" s="8">
        <f t="shared" si="59"/>
        <v>2.5536E-2</v>
      </c>
      <c r="BA23" s="6">
        <v>1.5</v>
      </c>
      <c r="BB23" s="6">
        <v>1.5</v>
      </c>
      <c r="BC23" s="6">
        <v>7</v>
      </c>
      <c r="BD23" s="15">
        <v>7.0999999999999994E-2</v>
      </c>
      <c r="BE23" s="13">
        <v>0.28000000000000003</v>
      </c>
      <c r="BF23" s="15">
        <v>1.7999999999999999E-2</v>
      </c>
      <c r="BG23" s="13">
        <v>0.13</v>
      </c>
      <c r="BH23" s="28">
        <f t="shared" si="26"/>
        <v>4.4224703999999997E-3</v>
      </c>
      <c r="BI23" s="15">
        <f t="shared" si="27"/>
        <v>2.6590271999999998E-2</v>
      </c>
      <c r="BJ23" s="12">
        <v>3.0303030303030303</v>
      </c>
      <c r="BK23" s="12">
        <v>1</v>
      </c>
      <c r="BL23" s="7">
        <v>7.5</v>
      </c>
      <c r="BM23" s="7">
        <v>29</v>
      </c>
      <c r="BN23" s="7">
        <v>63.5</v>
      </c>
      <c r="BO23" s="8">
        <f t="shared" si="28"/>
        <v>1.212968E-2</v>
      </c>
      <c r="BP23" s="8">
        <f t="shared" si="29"/>
        <v>1.212968E-2</v>
      </c>
      <c r="BQ23" s="8">
        <f t="shared" si="30"/>
        <v>9.0972600000000002E-4</v>
      </c>
      <c r="BR23" s="8">
        <f t="shared" si="31"/>
        <v>3.5176071999999999E-3</v>
      </c>
      <c r="BS23" s="8">
        <f t="shared" si="32"/>
        <v>7.7023467999999999E-3</v>
      </c>
      <c r="BT23" s="18">
        <f t="shared" si="33"/>
        <v>6.1685487639999989E-4</v>
      </c>
      <c r="BU23" s="8">
        <f t="shared" si="34"/>
        <v>3.0178643840000001E-3</v>
      </c>
      <c r="BV23" s="8">
        <f t="shared" si="35"/>
        <v>5.2764107999999999E-3</v>
      </c>
      <c r="BW23" s="8">
        <f t="shared" si="36"/>
        <v>1.15535202E-2</v>
      </c>
      <c r="BX23" s="18">
        <f t="shared" si="37"/>
        <v>9.2528231460000006E-4</v>
      </c>
      <c r="BY23" s="8">
        <f t="shared" si="38"/>
        <v>4.5267965759999999E-3</v>
      </c>
      <c r="BZ23" s="12">
        <f t="shared" si="60"/>
        <v>0.36499999999999999</v>
      </c>
      <c r="CA23" s="12">
        <f t="shared" si="61"/>
        <v>0.30646153846153851</v>
      </c>
      <c r="CB23" s="6">
        <v>1.5</v>
      </c>
      <c r="CC23" s="6">
        <v>1.5</v>
      </c>
      <c r="CD23" s="15">
        <v>0.125</v>
      </c>
      <c r="CE23" s="13">
        <v>0.42</v>
      </c>
      <c r="CF23" s="15">
        <v>2.3E-2</v>
      </c>
      <c r="CG23" s="13">
        <v>0.2</v>
      </c>
      <c r="CH23" s="28">
        <f t="shared" si="62"/>
        <v>1.62736E-4</v>
      </c>
      <c r="CI23" s="15">
        <f t="shared" si="39"/>
        <v>7.9616000000000008E-4</v>
      </c>
      <c r="CJ23" s="12">
        <v>6.0606060606060606</v>
      </c>
      <c r="CK23" s="12">
        <v>1</v>
      </c>
      <c r="CL23" s="7">
        <v>3</v>
      </c>
      <c r="CM23" s="7">
        <v>19</v>
      </c>
      <c r="CN23" s="7">
        <v>78</v>
      </c>
      <c r="CO23" s="8">
        <f t="shared" si="40"/>
        <v>2.4259360000000001E-2</v>
      </c>
      <c r="CP23" s="8">
        <f t="shared" si="41"/>
        <v>2.4259360000000001E-2</v>
      </c>
      <c r="CQ23" s="18">
        <f t="shared" si="42"/>
        <v>7.2778079999999998E-4</v>
      </c>
      <c r="CR23" s="8">
        <f t="shared" si="43"/>
        <v>4.6092783999999998E-3</v>
      </c>
      <c r="CS23" s="8">
        <f t="shared" si="44"/>
        <v>1.89223008E-2</v>
      </c>
      <c r="CT23" s="18">
        <f t="shared" si="45"/>
        <v>8.582961568E-4</v>
      </c>
      <c r="CU23" s="8">
        <f t="shared" si="46"/>
        <v>4.6359636959999988E-3</v>
      </c>
      <c r="CV23" s="8">
        <f t="shared" si="47"/>
        <v>6.9139175999999997E-3</v>
      </c>
      <c r="CW23" s="8">
        <f t="shared" si="48"/>
        <v>2.83834512E-2</v>
      </c>
      <c r="CX23" s="18">
        <f t="shared" si="49"/>
        <v>1.2874442352000001E-3</v>
      </c>
      <c r="CY23" s="8">
        <f t="shared" si="50"/>
        <v>6.9539455439999991E-3</v>
      </c>
      <c r="CZ23" s="12">
        <f t="shared" si="51"/>
        <v>0.22</v>
      </c>
      <c r="DA23" s="12">
        <f t="shared" si="63"/>
        <v>0.21323232323232322</v>
      </c>
      <c r="DB23" s="6">
        <v>1.5</v>
      </c>
      <c r="DC23" s="6">
        <v>1.5</v>
      </c>
      <c r="DD23" s="15">
        <v>0.1</v>
      </c>
      <c r="DE23" s="13">
        <v>0.39</v>
      </c>
      <c r="DF23" s="15">
        <v>2.1000000000000001E-2</v>
      </c>
      <c r="DG23" s="13">
        <v>0.15</v>
      </c>
      <c r="DH23" s="28">
        <f t="shared" si="52"/>
        <v>2.2643200000000002E-4</v>
      </c>
      <c r="DI23" s="29">
        <f t="shared" si="53"/>
        <v>1.2230399999999999E-3</v>
      </c>
    </row>
    <row r="24" spans="1:113" x14ac:dyDescent="0.25">
      <c r="A24" s="85">
        <v>16</v>
      </c>
      <c r="B24" s="9" t="s">
        <v>36</v>
      </c>
      <c r="C24" s="9" t="s">
        <v>24</v>
      </c>
      <c r="D24" s="31" t="s">
        <v>181</v>
      </c>
      <c r="E24" s="9">
        <v>2</v>
      </c>
      <c r="F24" s="9">
        <v>60</v>
      </c>
      <c r="G24" s="32" t="s">
        <v>99</v>
      </c>
      <c r="H24" s="9" t="s">
        <v>10</v>
      </c>
      <c r="I24" s="33" t="s">
        <v>6</v>
      </c>
      <c r="J24" s="32" t="s">
        <v>99</v>
      </c>
      <c r="K24" s="2" t="str">
        <f t="shared" si="0"/>
        <v>Kommunal Tätort VV 60 - GIF Y</v>
      </c>
      <c r="L24" s="2"/>
      <c r="M24" s="32" t="s">
        <v>99</v>
      </c>
      <c r="N24" s="53">
        <f>'Beräkna - Länk'!$C$26</f>
        <v>1</v>
      </c>
      <c r="O24" s="53">
        <f>'Beräkna - Länk'!$C$24/('Beräkna - Länk'!$C$27)^('Beräkna - Länk'!$C$25-2010)</f>
        <v>10385</v>
      </c>
      <c r="P24" s="13">
        <f>N24*O24*365*0.000001</f>
        <v>3.7905249999999997</v>
      </c>
      <c r="Q24" s="13">
        <f t="shared" si="2"/>
        <v>0.38847574515</v>
      </c>
      <c r="R24" s="13">
        <f t="shared" si="3"/>
        <v>0.70725889764999983</v>
      </c>
      <c r="S24" s="28">
        <f t="shared" si="4"/>
        <v>1.0644609162874998E-2</v>
      </c>
      <c r="T24" s="15">
        <f t="shared" si="5"/>
        <v>9.1497360280999973E-2</v>
      </c>
      <c r="U24" s="13">
        <f t="shared" si="6"/>
        <v>0.59830156425612491</v>
      </c>
      <c r="V24" s="13">
        <f t="shared" si="7"/>
        <v>1.3837254080303028</v>
      </c>
      <c r="W24" s="15">
        <f t="shared" si="8"/>
        <v>1.7548566798337623E-2</v>
      </c>
      <c r="X24" s="15">
        <f t="shared" si="9"/>
        <v>0.10469490584684249</v>
      </c>
      <c r="Y24" s="15">
        <f t="shared" si="54"/>
        <v>0.13724604042149999</v>
      </c>
      <c r="Z24" s="14">
        <f t="shared" si="10"/>
        <v>0.89745234638418736</v>
      </c>
      <c r="AA24" s="14">
        <f t="shared" si="11"/>
        <v>9.686077856212119</v>
      </c>
      <c r="AB24" s="13">
        <f t="shared" si="12"/>
        <v>2.6322850197506433E-2</v>
      </c>
      <c r="AC24" s="14">
        <f t="shared" si="13"/>
        <v>0.15704235877026373</v>
      </c>
      <c r="AD24" s="13">
        <f t="shared" si="55"/>
        <v>0.14147571673099213</v>
      </c>
      <c r="AE24" s="15">
        <f t="shared" si="56"/>
        <v>3.9015874999999998E-2</v>
      </c>
      <c r="AF24" s="8">
        <v>9.5699999999999993E-2</v>
      </c>
      <c r="AG24" s="12">
        <v>1.8787878787878787</v>
      </c>
      <c r="AH24" s="12">
        <v>1.4</v>
      </c>
      <c r="AI24" s="12">
        <v>12.6</v>
      </c>
      <c r="AJ24" s="7">
        <v>85</v>
      </c>
      <c r="AK24" s="12">
        <v>2.0303030303030303</v>
      </c>
      <c r="AL24" s="12">
        <f t="shared" si="14"/>
        <v>0.36275324249999996</v>
      </c>
      <c r="AM24" s="12">
        <f t="shared" si="57"/>
        <v>0.68153639499999985</v>
      </c>
      <c r="AN24" s="18">
        <f>AH24*$AM24/100</f>
        <v>9.5415095299999971E-3</v>
      </c>
      <c r="AO24" s="8">
        <f t="shared" si="16"/>
        <v>8.5873585769999983E-2</v>
      </c>
      <c r="AP24" s="12">
        <f t="shared" si="17"/>
        <v>0.57930593574999989</v>
      </c>
      <c r="AQ24" s="12">
        <f t="shared" si="18"/>
        <v>1.3837254080303028</v>
      </c>
      <c r="AR24" s="18">
        <f t="shared" si="19"/>
        <v>1.6524531433169998E-2</v>
      </c>
      <c r="AS24" s="8">
        <f t="shared" si="20"/>
        <v>9.93543756631E-2</v>
      </c>
      <c r="AT24" s="8">
        <f t="shared" si="21"/>
        <v>0.12881037865499997</v>
      </c>
      <c r="AU24" s="8">
        <f t="shared" si="22"/>
        <v>0.86895890362499983</v>
      </c>
      <c r="AV24" s="8">
        <f>AQ24*BC24</f>
        <v>9.686077856212119</v>
      </c>
      <c r="AW24" s="8">
        <f t="shared" si="24"/>
        <v>2.4786797149754992E-2</v>
      </c>
      <c r="AX24" s="8">
        <f t="shared" si="25"/>
        <v>0.14903156349464997</v>
      </c>
      <c r="AY24" s="495">
        <f t="shared" si="58"/>
        <v>0.13734776725304465</v>
      </c>
      <c r="AZ24" s="8">
        <f t="shared" si="59"/>
        <v>2.5172E-2</v>
      </c>
      <c r="BA24" s="6">
        <v>1.5</v>
      </c>
      <c r="BB24" s="6">
        <v>1.5</v>
      </c>
      <c r="BC24" s="6">
        <v>7</v>
      </c>
      <c r="BD24" s="15">
        <v>7.0999999999999994E-2</v>
      </c>
      <c r="BE24" s="13">
        <v>0.28000000000000003</v>
      </c>
      <c r="BF24" s="15">
        <v>1.7999999999999999E-2</v>
      </c>
      <c r="BG24" s="13">
        <v>0.13</v>
      </c>
      <c r="BH24" s="28">
        <f t="shared" si="26"/>
        <v>4.3594307999999995E-3</v>
      </c>
      <c r="BI24" s="15">
        <f t="shared" si="27"/>
        <v>2.6211244000000002E-2</v>
      </c>
      <c r="BJ24" s="12">
        <v>2.0303030303030303</v>
      </c>
      <c r="BK24" s="12">
        <v>1</v>
      </c>
      <c r="BL24" s="7">
        <v>7.5</v>
      </c>
      <c r="BM24" s="7">
        <v>29</v>
      </c>
      <c r="BN24" s="7">
        <v>63.5</v>
      </c>
      <c r="BO24" s="8">
        <f t="shared" si="28"/>
        <v>7.3649900749999985E-3</v>
      </c>
      <c r="BP24" s="8">
        <f t="shared" si="29"/>
        <v>7.3649900749999985E-3</v>
      </c>
      <c r="BQ24" s="8">
        <f t="shared" si="30"/>
        <v>5.5237425562499991E-4</v>
      </c>
      <c r="BR24" s="8">
        <f t="shared" si="31"/>
        <v>2.1358471217499996E-3</v>
      </c>
      <c r="BS24" s="8">
        <f t="shared" si="32"/>
        <v>4.676768697624999E-3</v>
      </c>
      <c r="BT24" s="18">
        <f t="shared" si="33"/>
        <v>3.7454657026412489E-4</v>
      </c>
      <c r="BU24" s="8">
        <f t="shared" si="34"/>
        <v>1.83240953066E-3</v>
      </c>
      <c r="BV24" s="8">
        <f t="shared" si="35"/>
        <v>3.2037706826249994E-3</v>
      </c>
      <c r="BW24" s="8">
        <f t="shared" si="36"/>
        <v>7.0151530464374985E-3</v>
      </c>
      <c r="BX24" s="18">
        <f t="shared" si="37"/>
        <v>5.6181985539618734E-4</v>
      </c>
      <c r="BY24" s="8">
        <f t="shared" si="38"/>
        <v>2.7486142959899998E-3</v>
      </c>
      <c r="BZ24" s="12">
        <f t="shared" si="60"/>
        <v>0.36499999999999999</v>
      </c>
      <c r="CA24" s="12">
        <f t="shared" si="61"/>
        <v>0.30646153846153851</v>
      </c>
      <c r="CB24" s="6">
        <v>1.5</v>
      </c>
      <c r="CC24" s="6">
        <v>1.5</v>
      </c>
      <c r="CD24" s="15">
        <v>0.125</v>
      </c>
      <c r="CE24" s="13">
        <v>0.42</v>
      </c>
      <c r="CF24" s="15">
        <v>2.3E-2</v>
      </c>
      <c r="CG24" s="13">
        <v>0.2</v>
      </c>
      <c r="CH24" s="28">
        <f t="shared" si="62"/>
        <v>9.8811264999999984E-5</v>
      </c>
      <c r="CI24" s="15">
        <f t="shared" si="39"/>
        <v>4.8341840000000003E-4</v>
      </c>
      <c r="CJ24" s="12">
        <v>5.0606060606060606</v>
      </c>
      <c r="CK24" s="12">
        <v>1</v>
      </c>
      <c r="CL24" s="7">
        <v>3</v>
      </c>
      <c r="CM24" s="7">
        <v>19</v>
      </c>
      <c r="CN24" s="7">
        <v>78</v>
      </c>
      <c r="CO24" s="8">
        <f t="shared" si="40"/>
        <v>1.8357512574999998E-2</v>
      </c>
      <c r="CP24" s="8">
        <f t="shared" si="41"/>
        <v>1.8357512574999998E-2</v>
      </c>
      <c r="CQ24" s="18">
        <f t="shared" si="42"/>
        <v>5.5072537724999997E-4</v>
      </c>
      <c r="CR24" s="8">
        <f t="shared" si="43"/>
        <v>3.4879273892499999E-3</v>
      </c>
      <c r="CS24" s="8">
        <f t="shared" si="44"/>
        <v>1.4318859808499999E-2</v>
      </c>
      <c r="CT24" s="18">
        <f t="shared" si="45"/>
        <v>6.4948879490349994E-4</v>
      </c>
      <c r="CU24" s="8">
        <f t="shared" si="46"/>
        <v>3.5081206530824991E-3</v>
      </c>
      <c r="CV24" s="8">
        <f t="shared" si="47"/>
        <v>5.2318910838749996E-3</v>
      </c>
      <c r="CW24" s="8">
        <f t="shared" si="48"/>
        <v>2.1478289712749999E-2</v>
      </c>
      <c r="CX24" s="18">
        <f t="shared" si="49"/>
        <v>9.7423319235525002E-4</v>
      </c>
      <c r="CY24" s="8">
        <f t="shared" si="50"/>
        <v>5.2621809796237502E-3</v>
      </c>
      <c r="CZ24" s="12">
        <f t="shared" si="51"/>
        <v>0.22</v>
      </c>
      <c r="DA24" s="12">
        <f t="shared" si="63"/>
        <v>0.21323232323232325</v>
      </c>
      <c r="DB24" s="6">
        <v>1.5</v>
      </c>
      <c r="DC24" s="6">
        <v>1.5</v>
      </c>
      <c r="DD24" s="15">
        <v>0.1</v>
      </c>
      <c r="DE24" s="13">
        <v>0.39</v>
      </c>
      <c r="DF24" s="15">
        <v>2.1000000000000001E-2</v>
      </c>
      <c r="DG24" s="13">
        <v>0.15</v>
      </c>
      <c r="DH24" s="28">
        <f t="shared" si="52"/>
        <v>1.7134533999999999E-4</v>
      </c>
      <c r="DI24" s="29">
        <f t="shared" si="53"/>
        <v>9.2549729999999984E-4</v>
      </c>
    </row>
    <row r="25" spans="1:113" x14ac:dyDescent="0.25">
      <c r="A25" s="85">
        <v>17</v>
      </c>
      <c r="B25" s="9" t="s">
        <v>36</v>
      </c>
      <c r="C25" s="9" t="s">
        <v>24</v>
      </c>
      <c r="D25" s="31" t="s">
        <v>181</v>
      </c>
      <c r="E25" s="9">
        <v>2</v>
      </c>
      <c r="F25" s="9">
        <v>60</v>
      </c>
      <c r="G25" s="32" t="s">
        <v>99</v>
      </c>
      <c r="H25" s="19" t="s">
        <v>25</v>
      </c>
      <c r="I25" s="33" t="s">
        <v>5</v>
      </c>
      <c r="J25" s="32" t="s">
        <v>99</v>
      </c>
      <c r="K25" s="2" t="str">
        <f t="shared" si="0"/>
        <v>Kommunal Tätort VV 60 - Tangent M</v>
      </c>
      <c r="L25" s="2"/>
      <c r="M25" s="32" t="s">
        <v>99</v>
      </c>
      <c r="N25" s="53">
        <f>'Beräkna - Länk'!$C$26</f>
        <v>1</v>
      </c>
      <c r="O25" s="53">
        <f>'Beräkna - Länk'!$C$24/('Beräkna - Länk'!$C$27)^('Beräkna - Länk'!$C$25-2010)</f>
        <v>10385</v>
      </c>
      <c r="P25" s="13">
        <f t="shared" si="1"/>
        <v>3.7905249999999997</v>
      </c>
      <c r="Q25" s="13">
        <f t="shared" si="2"/>
        <v>0.50476147109999991</v>
      </c>
      <c r="R25" s="13">
        <f t="shared" si="3"/>
        <v>0.81861694109999994</v>
      </c>
      <c r="S25" s="28">
        <f t="shared" si="4"/>
        <v>1.3148497309499999E-2</v>
      </c>
      <c r="T25" s="15">
        <f t="shared" si="5"/>
        <v>0.10844525241899999</v>
      </c>
      <c r="U25" s="13">
        <f t="shared" si="6"/>
        <v>0.68938149297149998</v>
      </c>
      <c r="V25" s="13">
        <f t="shared" si="7"/>
        <v>1.5514963418181817</v>
      </c>
      <c r="W25" s="15">
        <f t="shared" si="8"/>
        <v>2.0735256674065498E-2</v>
      </c>
      <c r="X25" s="15">
        <f t="shared" si="9"/>
        <v>0.12285271953989998</v>
      </c>
      <c r="Y25" s="15">
        <f t="shared" si="54"/>
        <v>0.16266787862849999</v>
      </c>
      <c r="Z25" s="14">
        <f t="shared" si="10"/>
        <v>1.0340722394572501</v>
      </c>
      <c r="AA25" s="14">
        <f t="shared" si="11"/>
        <v>10.860474392727273</v>
      </c>
      <c r="AB25" s="13">
        <f t="shared" si="12"/>
        <v>3.1102885011098248E-2</v>
      </c>
      <c r="AC25" s="14">
        <f t="shared" si="13"/>
        <v>0.18427907930985002</v>
      </c>
      <c r="AD25" s="13">
        <f t="shared" si="55"/>
        <v>0.14531616687753007</v>
      </c>
      <c r="AE25" s="15">
        <f t="shared" si="56"/>
        <v>4.638312E-2</v>
      </c>
      <c r="AF25" s="8">
        <v>0.1188</v>
      </c>
      <c r="AG25" s="12">
        <v>1.696969696969697</v>
      </c>
      <c r="AH25" s="12">
        <v>1.4</v>
      </c>
      <c r="AI25" s="12">
        <v>12.6</v>
      </c>
      <c r="AJ25" s="7">
        <v>85</v>
      </c>
      <c r="AK25" s="12">
        <v>2.0303030303030303</v>
      </c>
      <c r="AL25" s="12">
        <f t="shared" si="14"/>
        <v>0.45031436999999996</v>
      </c>
      <c r="AM25" s="12">
        <f t="shared" si="57"/>
        <v>0.76416983999999999</v>
      </c>
      <c r="AN25" s="18">
        <f t="shared" si="15"/>
        <v>1.0698377759999999E-2</v>
      </c>
      <c r="AO25" s="8">
        <f t="shared" si="16"/>
        <v>9.6285399839999994E-2</v>
      </c>
      <c r="AP25" s="12">
        <f t="shared" si="17"/>
        <v>0.64954436400000004</v>
      </c>
      <c r="AQ25" s="12">
        <f t="shared" si="18"/>
        <v>1.5514963418181817</v>
      </c>
      <c r="AR25" s="18">
        <f t="shared" si="19"/>
        <v>1.8528061940639998E-2</v>
      </c>
      <c r="AS25" s="8">
        <f t="shared" si="20"/>
        <v>0.11140067927519999</v>
      </c>
      <c r="AT25" s="8">
        <f t="shared" si="21"/>
        <v>0.14442809975999998</v>
      </c>
      <c r="AU25" s="8">
        <f t="shared" si="22"/>
        <v>0.97431654600000006</v>
      </c>
      <c r="AV25" s="8">
        <f t="shared" si="23"/>
        <v>10.860474392727273</v>
      </c>
      <c r="AW25" s="8">
        <f t="shared" si="24"/>
        <v>2.7792092910959999E-2</v>
      </c>
      <c r="AX25" s="8">
        <f t="shared" si="25"/>
        <v>0.16710101891280002</v>
      </c>
      <c r="AY25" s="495">
        <f t="shared" si="58"/>
        <v>0.13734776725304465</v>
      </c>
      <c r="AZ25" s="8">
        <f t="shared" si="59"/>
        <v>2.8224000000000006E-2</v>
      </c>
      <c r="BA25" s="6">
        <v>1.5</v>
      </c>
      <c r="BB25" s="6">
        <v>1.5</v>
      </c>
      <c r="BC25" s="6">
        <v>7</v>
      </c>
      <c r="BD25" s="15">
        <v>7.0999999999999994E-2</v>
      </c>
      <c r="BE25" s="13">
        <v>0.28000000000000003</v>
      </c>
      <c r="BF25" s="15">
        <v>1.7999999999999999E-2</v>
      </c>
      <c r="BG25" s="13">
        <v>0.13</v>
      </c>
      <c r="BH25" s="28">
        <f t="shared" si="26"/>
        <v>4.8879935999999995E-3</v>
      </c>
      <c r="BI25" s="15">
        <f t="shared" si="27"/>
        <v>2.9389248E-2</v>
      </c>
      <c r="BJ25" s="12">
        <v>4.0303030303030303</v>
      </c>
      <c r="BK25" s="12">
        <v>1</v>
      </c>
      <c r="BL25" s="7">
        <v>7.5</v>
      </c>
      <c r="BM25" s="7">
        <v>29</v>
      </c>
      <c r="BN25" s="7">
        <v>63.5</v>
      </c>
      <c r="BO25" s="8">
        <f t="shared" si="28"/>
        <v>1.8149033700000001E-2</v>
      </c>
      <c r="BP25" s="8">
        <f t="shared" si="29"/>
        <v>1.8149033700000001E-2</v>
      </c>
      <c r="BQ25" s="8">
        <f t="shared" si="30"/>
        <v>1.3611775274999999E-3</v>
      </c>
      <c r="BR25" s="8">
        <f t="shared" si="31"/>
        <v>5.2632197729999995E-3</v>
      </c>
      <c r="BS25" s="8">
        <f t="shared" si="32"/>
        <v>1.15246363995E-2</v>
      </c>
      <c r="BT25" s="18">
        <f t="shared" si="33"/>
        <v>9.2296910881349992E-4</v>
      </c>
      <c r="BU25" s="8">
        <f t="shared" si="34"/>
        <v>4.5154795845600004E-3</v>
      </c>
      <c r="BV25" s="8">
        <f t="shared" si="35"/>
        <v>7.8948296594999988E-3</v>
      </c>
      <c r="BW25" s="8">
        <f t="shared" si="36"/>
        <v>1.7286954599250001E-2</v>
      </c>
      <c r="BX25" s="18">
        <f t="shared" si="37"/>
        <v>1.3844536632202499E-3</v>
      </c>
      <c r="BY25" s="8">
        <f t="shared" si="38"/>
        <v>6.7732193768399998E-3</v>
      </c>
      <c r="BZ25" s="12">
        <f t="shared" si="60"/>
        <v>0.36499999999999999</v>
      </c>
      <c r="CA25" s="12">
        <f t="shared" si="61"/>
        <v>0.30646153846153845</v>
      </c>
      <c r="CB25" s="6">
        <v>1.5</v>
      </c>
      <c r="CC25" s="6">
        <v>1.5</v>
      </c>
      <c r="CD25" s="15">
        <v>0.125</v>
      </c>
      <c r="CE25" s="13">
        <v>0.42</v>
      </c>
      <c r="CF25" s="15">
        <v>2.3E-2</v>
      </c>
      <c r="CG25" s="13">
        <v>0.2</v>
      </c>
      <c r="CH25" s="28">
        <f t="shared" si="62"/>
        <v>2.4349374000000001E-4</v>
      </c>
      <c r="CI25" s="15">
        <f t="shared" si="39"/>
        <v>1.1912544000000002E-3</v>
      </c>
      <c r="CJ25" s="12">
        <v>8.0606060606060606</v>
      </c>
      <c r="CK25" s="12">
        <v>1</v>
      </c>
      <c r="CL25" s="7">
        <v>3</v>
      </c>
      <c r="CM25" s="7">
        <v>19</v>
      </c>
      <c r="CN25" s="7">
        <v>78</v>
      </c>
      <c r="CO25" s="8">
        <f t="shared" si="40"/>
        <v>3.6298067400000002E-2</v>
      </c>
      <c r="CP25" s="8">
        <f t="shared" si="41"/>
        <v>3.6298067400000002E-2</v>
      </c>
      <c r="CQ25" s="18">
        <f t="shared" si="42"/>
        <v>1.088942022E-3</v>
      </c>
      <c r="CR25" s="8">
        <f t="shared" si="43"/>
        <v>6.896632806E-3</v>
      </c>
      <c r="CS25" s="8">
        <f t="shared" si="44"/>
        <v>2.8312492572000001E-2</v>
      </c>
      <c r="CT25" s="18">
        <f t="shared" si="45"/>
        <v>1.2842256246120001E-3</v>
      </c>
      <c r="CU25" s="8">
        <f t="shared" si="46"/>
        <v>6.9365606801400012E-3</v>
      </c>
      <c r="CV25" s="8">
        <f t="shared" si="47"/>
        <v>1.0344949209E-2</v>
      </c>
      <c r="CW25" s="8">
        <f t="shared" si="48"/>
        <v>4.2468738858000003E-2</v>
      </c>
      <c r="CX25" s="18">
        <f t="shared" si="49"/>
        <v>1.9263384369180001E-3</v>
      </c>
      <c r="CY25" s="8">
        <f t="shared" si="50"/>
        <v>1.0404841020210002E-2</v>
      </c>
      <c r="CZ25" s="12">
        <f t="shared" si="51"/>
        <v>0.22</v>
      </c>
      <c r="DA25" s="12">
        <f t="shared" si="63"/>
        <v>0.21323232323232325</v>
      </c>
      <c r="DB25" s="6">
        <v>1.5</v>
      </c>
      <c r="DC25" s="6">
        <v>1.5</v>
      </c>
      <c r="DD25" s="15">
        <v>0.1</v>
      </c>
      <c r="DE25" s="13">
        <v>0.39</v>
      </c>
      <c r="DF25" s="15">
        <v>2.1000000000000001E-2</v>
      </c>
      <c r="DG25" s="13">
        <v>0.15</v>
      </c>
      <c r="DH25" s="28">
        <f t="shared" si="52"/>
        <v>3.3879888000000003E-4</v>
      </c>
      <c r="DI25" s="29">
        <f t="shared" si="53"/>
        <v>1.8299736000000004E-3</v>
      </c>
    </row>
    <row r="26" spans="1:113" x14ac:dyDescent="0.25">
      <c r="A26" s="85">
        <v>18</v>
      </c>
      <c r="B26" s="9" t="s">
        <v>36</v>
      </c>
      <c r="C26" s="9" t="s">
        <v>24</v>
      </c>
      <c r="D26" s="31" t="s">
        <v>181</v>
      </c>
      <c r="E26" s="9">
        <v>2</v>
      </c>
      <c r="F26" s="9">
        <v>60</v>
      </c>
      <c r="G26" s="32" t="s">
        <v>99</v>
      </c>
      <c r="H26" s="19" t="s">
        <v>25</v>
      </c>
      <c r="I26" s="33" t="s">
        <v>6</v>
      </c>
      <c r="J26" s="32" t="s">
        <v>99</v>
      </c>
      <c r="K26" s="2" t="str">
        <f t="shared" si="0"/>
        <v>Kommunal Tätort VV 60 - Tangent Y</v>
      </c>
      <c r="L26" s="2"/>
      <c r="M26" s="32" t="s">
        <v>99</v>
      </c>
      <c r="N26" s="53">
        <f>'Beräkna - Länk'!$C$26</f>
        <v>1</v>
      </c>
      <c r="O26" s="53">
        <f>'Beräkna - Länk'!$C$24/('Beräkna - Länk'!$C$27)^('Beräkna - Länk'!$C$25-2010)</f>
        <v>10385</v>
      </c>
      <c r="P26" s="13">
        <f t="shared" si="1"/>
        <v>3.7905249999999997</v>
      </c>
      <c r="Q26" s="13">
        <f t="shared" si="2"/>
        <v>0.43666847999999997</v>
      </c>
      <c r="R26" s="13">
        <f t="shared" si="3"/>
        <v>0.76416983999999999</v>
      </c>
      <c r="S26" s="28">
        <f t="shared" si="4"/>
        <v>1.1826437999999998E-2</v>
      </c>
      <c r="T26" s="15">
        <f t="shared" si="5"/>
        <v>9.9827266399999989E-2</v>
      </c>
      <c r="U26" s="13">
        <f t="shared" si="6"/>
        <v>0.64523832759999999</v>
      </c>
      <c r="V26" s="13">
        <f t="shared" si="7"/>
        <v>1.4776155636363637</v>
      </c>
      <c r="W26" s="15">
        <f t="shared" si="8"/>
        <v>1.9120924309999999E-2</v>
      </c>
      <c r="X26" s="15">
        <f t="shared" si="9"/>
        <v>0.11374971310399999</v>
      </c>
      <c r="Y26" s="15">
        <f t="shared" si="54"/>
        <v>0.14974089959999998</v>
      </c>
      <c r="Z26" s="14">
        <f t="shared" si="10"/>
        <v>0.96785749139999988</v>
      </c>
      <c r="AA26" s="14">
        <f t="shared" si="11"/>
        <v>10.343308945454545</v>
      </c>
      <c r="AB26" s="13">
        <f t="shared" si="12"/>
        <v>2.8681386464999993E-2</v>
      </c>
      <c r="AC26" s="14">
        <f t="shared" si="13"/>
        <v>0.17062456965599998</v>
      </c>
      <c r="AD26" s="13">
        <f t="shared" si="55"/>
        <v>0.14305275875956502</v>
      </c>
      <c r="AE26" s="15">
        <f t="shared" si="56"/>
        <v>4.2623999999999995E-2</v>
      </c>
      <c r="AF26" s="8">
        <v>0.1056</v>
      </c>
      <c r="AG26" s="12">
        <v>1.8181818181818181</v>
      </c>
      <c r="AH26" s="12">
        <v>1.4</v>
      </c>
      <c r="AI26" s="12">
        <v>12.6</v>
      </c>
      <c r="AJ26" s="7">
        <v>85</v>
      </c>
      <c r="AK26" s="12">
        <v>2.0303030303030303</v>
      </c>
      <c r="AL26" s="12">
        <f t="shared" si="14"/>
        <v>0.40027943999999999</v>
      </c>
      <c r="AM26" s="12">
        <f t="shared" si="57"/>
        <v>0.72778080000000001</v>
      </c>
      <c r="AN26" s="18">
        <f t="shared" si="15"/>
        <v>1.0188931199999999E-2</v>
      </c>
      <c r="AO26" s="8">
        <f t="shared" si="16"/>
        <v>9.1700380799999995E-2</v>
      </c>
      <c r="AP26" s="12">
        <f t="shared" si="17"/>
        <v>0.61861367999999994</v>
      </c>
      <c r="AQ26" s="12">
        <f t="shared" si="18"/>
        <v>1.4776155636363637</v>
      </c>
      <c r="AR26" s="18">
        <f t="shared" si="19"/>
        <v>1.7645773276799996E-2</v>
      </c>
      <c r="AS26" s="8">
        <f t="shared" si="20"/>
        <v>0.106095885024</v>
      </c>
      <c r="AT26" s="8">
        <f t="shared" si="21"/>
        <v>0.1375505712</v>
      </c>
      <c r="AU26" s="8">
        <f t="shared" si="22"/>
        <v>0.92792051999999992</v>
      </c>
      <c r="AV26" s="8">
        <f t="shared" si="23"/>
        <v>10.343308945454545</v>
      </c>
      <c r="AW26" s="8">
        <f t="shared" si="24"/>
        <v>2.6468659915199994E-2</v>
      </c>
      <c r="AX26" s="8">
        <f t="shared" si="25"/>
        <v>0.15914382753599998</v>
      </c>
      <c r="AY26" s="495">
        <f t="shared" si="58"/>
        <v>0.13734776725304468</v>
      </c>
      <c r="AZ26" s="8">
        <f t="shared" si="59"/>
        <v>2.6880000000000005E-2</v>
      </c>
      <c r="BA26" s="6">
        <v>1.5</v>
      </c>
      <c r="BB26" s="6">
        <v>1.5</v>
      </c>
      <c r="BC26" s="6">
        <v>7</v>
      </c>
      <c r="BD26" s="15">
        <v>7.0999999999999994E-2</v>
      </c>
      <c r="BE26" s="13">
        <v>0.28000000000000003</v>
      </c>
      <c r="BF26" s="15">
        <v>1.7999999999999999E-2</v>
      </c>
      <c r="BG26" s="13">
        <v>0.13</v>
      </c>
      <c r="BH26" s="28">
        <f t="shared" si="26"/>
        <v>4.6552319999999996E-3</v>
      </c>
      <c r="BI26" s="15">
        <f t="shared" si="27"/>
        <v>2.7989760000000002E-2</v>
      </c>
      <c r="BJ26" s="12">
        <v>3.0303030303030303</v>
      </c>
      <c r="BK26" s="12">
        <v>1</v>
      </c>
      <c r="BL26" s="7">
        <v>7.5</v>
      </c>
      <c r="BM26" s="7">
        <v>29</v>
      </c>
      <c r="BN26" s="7">
        <v>63.5</v>
      </c>
      <c r="BO26" s="8">
        <f t="shared" si="28"/>
        <v>1.212968E-2</v>
      </c>
      <c r="BP26" s="8">
        <f t="shared" si="29"/>
        <v>1.212968E-2</v>
      </c>
      <c r="BQ26" s="8">
        <f t="shared" si="30"/>
        <v>9.0972600000000002E-4</v>
      </c>
      <c r="BR26" s="8">
        <f t="shared" si="31"/>
        <v>3.5176071999999999E-3</v>
      </c>
      <c r="BS26" s="8">
        <f t="shared" si="32"/>
        <v>7.7023467999999999E-3</v>
      </c>
      <c r="BT26" s="18">
        <f t="shared" si="33"/>
        <v>6.1685487639999989E-4</v>
      </c>
      <c r="BU26" s="8">
        <f t="shared" si="34"/>
        <v>3.0178643840000001E-3</v>
      </c>
      <c r="BV26" s="8">
        <f t="shared" si="35"/>
        <v>5.2764107999999999E-3</v>
      </c>
      <c r="BW26" s="8">
        <f t="shared" si="36"/>
        <v>1.15535202E-2</v>
      </c>
      <c r="BX26" s="18">
        <f t="shared" si="37"/>
        <v>9.2528231460000006E-4</v>
      </c>
      <c r="BY26" s="8">
        <f t="shared" si="38"/>
        <v>4.5267965759999999E-3</v>
      </c>
      <c r="BZ26" s="12">
        <f t="shared" si="60"/>
        <v>0.36499999999999999</v>
      </c>
      <c r="CA26" s="12">
        <f t="shared" si="61"/>
        <v>0.30646153846153851</v>
      </c>
      <c r="CB26" s="6">
        <v>1.5</v>
      </c>
      <c r="CC26" s="6">
        <v>1.5</v>
      </c>
      <c r="CD26" s="15">
        <v>0.125</v>
      </c>
      <c r="CE26" s="13">
        <v>0.42</v>
      </c>
      <c r="CF26" s="15">
        <v>2.3E-2</v>
      </c>
      <c r="CG26" s="13">
        <v>0.2</v>
      </c>
      <c r="CH26" s="28">
        <f t="shared" si="62"/>
        <v>1.62736E-4</v>
      </c>
      <c r="CI26" s="15">
        <f t="shared" si="39"/>
        <v>7.9616000000000008E-4</v>
      </c>
      <c r="CJ26" s="12">
        <v>6.0606060606060606</v>
      </c>
      <c r="CK26" s="12">
        <v>1</v>
      </c>
      <c r="CL26" s="7">
        <v>3</v>
      </c>
      <c r="CM26" s="7">
        <v>19</v>
      </c>
      <c r="CN26" s="7">
        <v>78</v>
      </c>
      <c r="CO26" s="8">
        <f t="shared" si="40"/>
        <v>2.4259360000000001E-2</v>
      </c>
      <c r="CP26" s="8">
        <f t="shared" si="41"/>
        <v>2.4259360000000001E-2</v>
      </c>
      <c r="CQ26" s="18">
        <f t="shared" si="42"/>
        <v>7.2778079999999998E-4</v>
      </c>
      <c r="CR26" s="8">
        <f t="shared" si="43"/>
        <v>4.6092783999999998E-3</v>
      </c>
      <c r="CS26" s="8">
        <f t="shared" si="44"/>
        <v>1.89223008E-2</v>
      </c>
      <c r="CT26" s="18">
        <f t="shared" si="45"/>
        <v>8.582961568E-4</v>
      </c>
      <c r="CU26" s="8">
        <f t="shared" si="46"/>
        <v>4.6359636959999988E-3</v>
      </c>
      <c r="CV26" s="8">
        <f t="shared" si="47"/>
        <v>6.9139175999999997E-3</v>
      </c>
      <c r="CW26" s="8">
        <f t="shared" si="48"/>
        <v>2.83834512E-2</v>
      </c>
      <c r="CX26" s="18">
        <f t="shared" si="49"/>
        <v>1.2874442352000001E-3</v>
      </c>
      <c r="CY26" s="8">
        <f t="shared" si="50"/>
        <v>6.9539455439999991E-3</v>
      </c>
      <c r="CZ26" s="12">
        <f t="shared" si="51"/>
        <v>0.22</v>
      </c>
      <c r="DA26" s="12">
        <f t="shared" si="63"/>
        <v>0.21323232323232322</v>
      </c>
      <c r="DB26" s="6">
        <v>1.5</v>
      </c>
      <c r="DC26" s="6">
        <v>1.5</v>
      </c>
      <c r="DD26" s="15">
        <v>0.1</v>
      </c>
      <c r="DE26" s="13">
        <v>0.39</v>
      </c>
      <c r="DF26" s="15">
        <v>2.1000000000000001E-2</v>
      </c>
      <c r="DG26" s="13">
        <v>0.15</v>
      </c>
      <c r="DH26" s="28">
        <f t="shared" si="52"/>
        <v>2.2643200000000002E-4</v>
      </c>
      <c r="DI26" s="29">
        <f t="shared" si="53"/>
        <v>1.2230399999999999E-3</v>
      </c>
    </row>
    <row r="27" spans="1:113" x14ac:dyDescent="0.25">
      <c r="A27" s="85">
        <v>19</v>
      </c>
      <c r="B27" s="9" t="s">
        <v>36</v>
      </c>
      <c r="C27" s="9" t="s">
        <v>24</v>
      </c>
      <c r="D27" s="31" t="s">
        <v>181</v>
      </c>
      <c r="E27" s="9">
        <v>2</v>
      </c>
      <c r="F27" s="9">
        <v>70</v>
      </c>
      <c r="G27" s="32" t="s">
        <v>99</v>
      </c>
      <c r="H27" s="9" t="s">
        <v>10</v>
      </c>
      <c r="I27" s="33" t="s">
        <v>5</v>
      </c>
      <c r="J27" s="32" t="s">
        <v>99</v>
      </c>
      <c r="K27" s="2" t="str">
        <f t="shared" si="0"/>
        <v>Kommunal Tätort VV 70 - GIF M</v>
      </c>
      <c r="L27" s="2"/>
      <c r="M27" s="32" t="s">
        <v>99</v>
      </c>
      <c r="N27" s="53">
        <f>'Beräkna - Länk'!$C$26</f>
        <v>1</v>
      </c>
      <c r="O27" s="53">
        <f>'Beräkna - Länk'!$C$24/('Beräkna - Länk'!$C$27)^('Beräkna - Länk'!$C$25-2010)</f>
        <v>10385</v>
      </c>
      <c r="P27" s="13">
        <f t="shared" si="1"/>
        <v>3.7905249999999997</v>
      </c>
      <c r="Q27" s="13">
        <f t="shared" si="2"/>
        <v>0.49125203999999995</v>
      </c>
      <c r="R27" s="13">
        <f t="shared" si="3"/>
        <v>0.81875339999999985</v>
      </c>
      <c r="S27" s="28">
        <f t="shared" si="4"/>
        <v>1.7398509749999996E-2</v>
      </c>
      <c r="T27" s="15">
        <f t="shared" si="5"/>
        <v>0.14137142039999998</v>
      </c>
      <c r="U27" s="13">
        <f t="shared" si="6"/>
        <v>0.65998346984999989</v>
      </c>
      <c r="V27" s="13">
        <f t="shared" si="7"/>
        <v>1.5792016336363632</v>
      </c>
      <c r="W27" s="15">
        <f t="shared" si="8"/>
        <v>2.439741850155E-2</v>
      </c>
      <c r="X27" s="15">
        <f t="shared" si="9"/>
        <v>0.13653531698400001</v>
      </c>
      <c r="Y27" s="15">
        <f t="shared" si="54"/>
        <v>0.21205713059999998</v>
      </c>
      <c r="Z27" s="14">
        <f t="shared" si="10"/>
        <v>0.98997520477499978</v>
      </c>
      <c r="AA27" s="14">
        <f t="shared" si="11"/>
        <v>11.054411435454544</v>
      </c>
      <c r="AB27" s="13">
        <f t="shared" si="12"/>
        <v>3.6596127752324986E-2</v>
      </c>
      <c r="AC27" s="14">
        <f t="shared" si="13"/>
        <v>0.20480297547599993</v>
      </c>
      <c r="AD27" s="13">
        <f t="shared" si="55"/>
        <v>0.18816617708770458</v>
      </c>
      <c r="AE27" s="15">
        <f t="shared" si="56"/>
        <v>6.0533999999999998E-2</v>
      </c>
      <c r="AF27" s="8">
        <v>0.1188</v>
      </c>
      <c r="AG27" s="12">
        <v>1.7272727272727271</v>
      </c>
      <c r="AH27" s="12">
        <v>2</v>
      </c>
      <c r="AI27" s="12">
        <v>17</v>
      </c>
      <c r="AJ27" s="7">
        <v>81</v>
      </c>
      <c r="AK27" s="12">
        <v>2.0303030303030303</v>
      </c>
      <c r="AL27" s="12">
        <f t="shared" si="14"/>
        <v>0.45031436999999996</v>
      </c>
      <c r="AM27" s="12">
        <f t="shared" si="57"/>
        <v>0.77781572999999982</v>
      </c>
      <c r="AN27" s="18">
        <f t="shared" si="15"/>
        <v>1.5556314599999996E-2</v>
      </c>
      <c r="AO27" s="8">
        <f t="shared" si="16"/>
        <v>0.13222867409999997</v>
      </c>
      <c r="AP27" s="12">
        <f t="shared" si="17"/>
        <v>0.63003074129999992</v>
      </c>
      <c r="AQ27" s="12">
        <f t="shared" si="18"/>
        <v>1.5792016336363632</v>
      </c>
      <c r="AR27" s="18">
        <f t="shared" si="19"/>
        <v>2.2548878012699999E-2</v>
      </c>
      <c r="AS27" s="8">
        <f t="shared" si="20"/>
        <v>0.12787290601199999</v>
      </c>
      <c r="AT27" s="8">
        <f t="shared" si="21"/>
        <v>0.19834301114999997</v>
      </c>
      <c r="AU27" s="8">
        <f t="shared" si="22"/>
        <v>0.94504611194999988</v>
      </c>
      <c r="AV27" s="8">
        <f t="shared" si="23"/>
        <v>11.054411435454544</v>
      </c>
      <c r="AW27" s="8">
        <f t="shared" si="24"/>
        <v>3.3823317019049996E-2</v>
      </c>
      <c r="AX27" s="8">
        <f t="shared" si="25"/>
        <v>0.191809359018</v>
      </c>
      <c r="AY27" s="495">
        <f t="shared" si="58"/>
        <v>0.18456375838926173</v>
      </c>
      <c r="AZ27" s="8">
        <f t="shared" si="59"/>
        <v>3.8987999999999995E-2</v>
      </c>
      <c r="BA27" s="6">
        <v>1.5</v>
      </c>
      <c r="BB27" s="6">
        <v>1.5</v>
      </c>
      <c r="BC27" s="6">
        <v>7</v>
      </c>
      <c r="BD27" s="15">
        <v>0.08</v>
      </c>
      <c r="BE27" s="13">
        <v>0.3</v>
      </c>
      <c r="BF27" s="15">
        <v>1.9E-2</v>
      </c>
      <c r="BG27" s="13">
        <v>0.14000000000000001</v>
      </c>
      <c r="BH27" s="28">
        <f t="shared" si="26"/>
        <v>5.9487480000000002E-3</v>
      </c>
      <c r="BI27" s="15">
        <f t="shared" si="27"/>
        <v>3.3734880000000002E-2</v>
      </c>
      <c r="BJ27" s="12">
        <v>3.0303030303030303</v>
      </c>
      <c r="BK27" s="12">
        <v>1</v>
      </c>
      <c r="BL27" s="7">
        <v>7.5</v>
      </c>
      <c r="BM27" s="7">
        <v>29</v>
      </c>
      <c r="BN27" s="7">
        <v>63.5</v>
      </c>
      <c r="BO27" s="8">
        <f t="shared" si="28"/>
        <v>1.3645889999999999E-2</v>
      </c>
      <c r="BP27" s="8">
        <f t="shared" si="29"/>
        <v>1.3645889999999999E-2</v>
      </c>
      <c r="BQ27" s="8">
        <f t="shared" si="30"/>
        <v>1.02344175E-3</v>
      </c>
      <c r="BR27" s="8">
        <f t="shared" si="31"/>
        <v>3.9573080999999993E-3</v>
      </c>
      <c r="BS27" s="8">
        <f t="shared" si="32"/>
        <v>8.6651401500000003E-3</v>
      </c>
      <c r="BT27" s="18">
        <f t="shared" si="33"/>
        <v>7.5332135745000009E-4</v>
      </c>
      <c r="BU27" s="8">
        <f t="shared" si="34"/>
        <v>3.3950974320000006E-3</v>
      </c>
      <c r="BV27" s="8">
        <f t="shared" si="35"/>
        <v>5.9359621499999989E-3</v>
      </c>
      <c r="BW27" s="8">
        <f t="shared" si="36"/>
        <v>1.2997710225E-2</v>
      </c>
      <c r="BX27" s="18">
        <f t="shared" si="37"/>
        <v>1.1299820361749999E-3</v>
      </c>
      <c r="BY27" s="8">
        <f t="shared" si="38"/>
        <v>5.0926461479999996E-3</v>
      </c>
      <c r="BZ27" s="12">
        <f t="shared" si="60"/>
        <v>0.36499999999999999</v>
      </c>
      <c r="CA27" s="12">
        <f t="shared" si="61"/>
        <v>0.30646153846153845</v>
      </c>
      <c r="CB27" s="6">
        <v>1.5</v>
      </c>
      <c r="CC27" s="6">
        <v>1.5</v>
      </c>
      <c r="CD27" s="15">
        <v>0.14000000000000001</v>
      </c>
      <c r="CE27" s="13">
        <v>0.42</v>
      </c>
      <c r="CF27" s="15">
        <v>2.3E-2</v>
      </c>
      <c r="CG27" s="13">
        <v>0.2</v>
      </c>
      <c r="CH27" s="28">
        <f t="shared" si="62"/>
        <v>1.9873800000000003E-4</v>
      </c>
      <c r="CI27" s="15">
        <f t="shared" si="39"/>
        <v>8.9568000000000026E-4</v>
      </c>
      <c r="CJ27" s="12">
        <v>6.0606060606060606</v>
      </c>
      <c r="CK27" s="12">
        <v>1</v>
      </c>
      <c r="CL27" s="7">
        <v>3</v>
      </c>
      <c r="CM27" s="7">
        <v>19</v>
      </c>
      <c r="CN27" s="7">
        <v>78</v>
      </c>
      <c r="CO27" s="8">
        <f t="shared" si="40"/>
        <v>2.7291779999999998E-2</v>
      </c>
      <c r="CP27" s="8">
        <f t="shared" si="41"/>
        <v>2.7291779999999998E-2</v>
      </c>
      <c r="CQ27" s="18">
        <f t="shared" si="42"/>
        <v>8.1875339999999989E-4</v>
      </c>
      <c r="CR27" s="8">
        <f t="shared" si="43"/>
        <v>5.1854381999999997E-3</v>
      </c>
      <c r="CS27" s="8">
        <f t="shared" si="44"/>
        <v>2.1287588399999998E-2</v>
      </c>
      <c r="CT27" s="18">
        <f t="shared" si="45"/>
        <v>1.0952191314E-3</v>
      </c>
      <c r="CU27" s="8">
        <f t="shared" si="46"/>
        <v>5.2673135400000013E-3</v>
      </c>
      <c r="CV27" s="8">
        <f t="shared" si="47"/>
        <v>7.7781572999999996E-3</v>
      </c>
      <c r="CW27" s="8">
        <f t="shared" si="48"/>
        <v>3.1931382599999995E-2</v>
      </c>
      <c r="CX27" s="18">
        <f t="shared" si="49"/>
        <v>1.6428286970999999E-3</v>
      </c>
      <c r="CY27" s="8">
        <f t="shared" si="50"/>
        <v>7.9009703099999981E-3</v>
      </c>
      <c r="CZ27" s="12">
        <f t="shared" si="51"/>
        <v>0.22</v>
      </c>
      <c r="DA27" s="12">
        <f t="shared" si="63"/>
        <v>0.21515151515151512</v>
      </c>
      <c r="DB27" s="6">
        <v>1.5</v>
      </c>
      <c r="DC27" s="6">
        <v>1.5</v>
      </c>
      <c r="DD27" s="15">
        <v>0.125</v>
      </c>
      <c r="DE27" s="13">
        <v>0.4</v>
      </c>
      <c r="DF27" s="15">
        <v>2.1000000000000001E-2</v>
      </c>
      <c r="DG27" s="13">
        <v>0.15</v>
      </c>
      <c r="DH27" s="28">
        <f t="shared" si="52"/>
        <v>2.88936E-4</v>
      </c>
      <c r="DI27" s="29">
        <f t="shared" si="53"/>
        <v>1.3896000000000004E-3</v>
      </c>
    </row>
    <row r="28" spans="1:113" x14ac:dyDescent="0.25">
      <c r="A28" s="85">
        <v>20</v>
      </c>
      <c r="B28" s="9" t="s">
        <v>36</v>
      </c>
      <c r="C28" s="9" t="s">
        <v>24</v>
      </c>
      <c r="D28" s="31" t="s">
        <v>181</v>
      </c>
      <c r="E28" s="9">
        <v>2</v>
      </c>
      <c r="F28" s="9">
        <v>70</v>
      </c>
      <c r="G28" s="32" t="s">
        <v>99</v>
      </c>
      <c r="H28" s="9" t="s">
        <v>10</v>
      </c>
      <c r="I28" s="33" t="s">
        <v>6</v>
      </c>
      <c r="J28" s="32" t="s">
        <v>99</v>
      </c>
      <c r="K28" s="2" t="str">
        <f t="shared" si="0"/>
        <v>Kommunal Tätort VV 70 - GIF Y</v>
      </c>
      <c r="L28" s="2"/>
      <c r="M28" s="32" t="s">
        <v>99</v>
      </c>
      <c r="N28" s="53">
        <f>'Beräkna - Länk'!$C$26</f>
        <v>1</v>
      </c>
      <c r="O28" s="53">
        <f>'Beräkna - Länk'!$C$24/('Beräkna - Länk'!$C$27)^('Beräkna - Länk'!$C$25-2010)</f>
        <v>10385</v>
      </c>
      <c r="P28" s="13">
        <f t="shared" si="1"/>
        <v>3.7905249999999997</v>
      </c>
      <c r="Q28" s="13">
        <f t="shared" si="2"/>
        <v>0.42866289120000001</v>
      </c>
      <c r="R28" s="13">
        <f t="shared" si="3"/>
        <v>0.78042361119999992</v>
      </c>
      <c r="S28" s="28">
        <f t="shared" si="4"/>
        <v>1.6258016588E-2</v>
      </c>
      <c r="T28" s="15">
        <f t="shared" si="5"/>
        <v>0.13405237148799998</v>
      </c>
      <c r="U28" s="13">
        <f t="shared" si="6"/>
        <v>0.63011322312399998</v>
      </c>
      <c r="V28" s="13">
        <f t="shared" si="7"/>
        <v>1.5268694157575757</v>
      </c>
      <c r="W28" s="15">
        <f t="shared" si="8"/>
        <v>2.3063184935475996E-2</v>
      </c>
      <c r="X28" s="15">
        <f t="shared" si="9"/>
        <v>0.12956688860207999</v>
      </c>
      <c r="Y28" s="15">
        <f t="shared" si="54"/>
        <v>0.20107855723199997</v>
      </c>
      <c r="Z28" s="14">
        <f t="shared" si="10"/>
        <v>0.94516983468599991</v>
      </c>
      <c r="AA28" s="14">
        <f t="shared" si="11"/>
        <v>10.68808591030303</v>
      </c>
      <c r="AB28" s="13">
        <f t="shared" si="12"/>
        <v>3.459477740321399E-2</v>
      </c>
      <c r="AC28" s="14">
        <f t="shared" si="13"/>
        <v>0.19435033290312001</v>
      </c>
      <c r="AD28" s="13">
        <f t="shared" si="55"/>
        <v>0.18695516190685862</v>
      </c>
      <c r="AE28" s="15">
        <f t="shared" si="56"/>
        <v>5.7336799999999993E-2</v>
      </c>
      <c r="AF28" s="8">
        <v>0.1056</v>
      </c>
      <c r="AG28" s="12">
        <v>1.8787878787878787</v>
      </c>
      <c r="AH28" s="12">
        <v>2</v>
      </c>
      <c r="AI28" s="12">
        <v>17</v>
      </c>
      <c r="AJ28" s="7">
        <v>81</v>
      </c>
      <c r="AK28" s="12">
        <v>2.0303030303030303</v>
      </c>
      <c r="AL28" s="12">
        <f t="shared" si="14"/>
        <v>0.40027943999999999</v>
      </c>
      <c r="AM28" s="12">
        <f t="shared" si="57"/>
        <v>0.75204015999999996</v>
      </c>
      <c r="AN28" s="18">
        <f t="shared" si="15"/>
        <v>1.5040803199999999E-2</v>
      </c>
      <c r="AO28" s="8">
        <f t="shared" si="16"/>
        <v>0.12784682719999999</v>
      </c>
      <c r="AP28" s="12">
        <f t="shared" si="17"/>
        <v>0.60915252959999999</v>
      </c>
      <c r="AQ28" s="12">
        <f t="shared" si="18"/>
        <v>1.5268694157575757</v>
      </c>
      <c r="AR28" s="18">
        <f t="shared" si="19"/>
        <v>2.1801644238399996E-2</v>
      </c>
      <c r="AS28" s="8">
        <f t="shared" si="20"/>
        <v>0.123635402304</v>
      </c>
      <c r="AT28" s="8">
        <f t="shared" si="21"/>
        <v>0.19177024079999999</v>
      </c>
      <c r="AU28" s="8">
        <f t="shared" si="22"/>
        <v>0.91372879439999999</v>
      </c>
      <c r="AV28" s="8">
        <f t="shared" si="23"/>
        <v>10.68808591030303</v>
      </c>
      <c r="AW28" s="8">
        <f t="shared" si="24"/>
        <v>3.2702466357599998E-2</v>
      </c>
      <c r="AX28" s="8">
        <f t="shared" si="25"/>
        <v>0.18545310345600002</v>
      </c>
      <c r="AY28" s="495">
        <f t="shared" si="58"/>
        <v>0.18456375838926173</v>
      </c>
      <c r="AZ28" s="8">
        <f t="shared" si="59"/>
        <v>3.7695999999999993E-2</v>
      </c>
      <c r="BA28" s="6">
        <v>1.5</v>
      </c>
      <c r="BB28" s="6">
        <v>1.5</v>
      </c>
      <c r="BC28" s="6">
        <v>7</v>
      </c>
      <c r="BD28" s="15">
        <v>0.08</v>
      </c>
      <c r="BE28" s="13">
        <v>0.3</v>
      </c>
      <c r="BF28" s="15">
        <v>1.9E-2</v>
      </c>
      <c r="BG28" s="13">
        <v>0.14000000000000001</v>
      </c>
      <c r="BH28" s="28">
        <f t="shared" si="26"/>
        <v>5.7516159999999993E-3</v>
      </c>
      <c r="BI28" s="15">
        <f t="shared" si="27"/>
        <v>3.261696E-2</v>
      </c>
      <c r="BJ28" s="12">
        <v>2.0303030303030303</v>
      </c>
      <c r="BK28" s="12">
        <v>1</v>
      </c>
      <c r="BL28" s="7">
        <v>7.5</v>
      </c>
      <c r="BM28" s="7">
        <v>29</v>
      </c>
      <c r="BN28" s="7">
        <v>63.5</v>
      </c>
      <c r="BO28" s="8">
        <f t="shared" si="28"/>
        <v>8.1268855999999997E-3</v>
      </c>
      <c r="BP28" s="8">
        <f t="shared" si="29"/>
        <v>8.1268855999999997E-3</v>
      </c>
      <c r="BQ28" s="8">
        <f t="shared" si="30"/>
        <v>6.0951642E-4</v>
      </c>
      <c r="BR28" s="8">
        <f t="shared" si="31"/>
        <v>2.3567968239999997E-3</v>
      </c>
      <c r="BS28" s="8">
        <f t="shared" si="32"/>
        <v>5.1605723559999999E-3</v>
      </c>
      <c r="BT28" s="18">
        <f t="shared" si="33"/>
        <v>4.4864471954800001E-4</v>
      </c>
      <c r="BU28" s="8">
        <f t="shared" si="34"/>
        <v>2.0219691372800005E-3</v>
      </c>
      <c r="BV28" s="8">
        <f t="shared" si="35"/>
        <v>3.5351952359999996E-3</v>
      </c>
      <c r="BW28" s="8">
        <f t="shared" si="36"/>
        <v>7.7408585340000002E-3</v>
      </c>
      <c r="BX28" s="18">
        <f t="shared" si="37"/>
        <v>6.7296707932200004E-4</v>
      </c>
      <c r="BY28" s="8">
        <f t="shared" si="38"/>
        <v>3.0329537059200001E-3</v>
      </c>
      <c r="BZ28" s="12">
        <f t="shared" si="60"/>
        <v>0.36499999999999999</v>
      </c>
      <c r="CA28" s="12">
        <f t="shared" si="61"/>
        <v>0.30646153846153851</v>
      </c>
      <c r="CB28" s="6">
        <v>1.5</v>
      </c>
      <c r="CC28" s="6">
        <v>1.5</v>
      </c>
      <c r="CD28" s="15">
        <v>0.14000000000000001</v>
      </c>
      <c r="CE28" s="13">
        <v>0.42</v>
      </c>
      <c r="CF28" s="15">
        <v>2.3E-2</v>
      </c>
      <c r="CG28" s="13">
        <v>0.2</v>
      </c>
      <c r="CH28" s="28">
        <f t="shared" si="62"/>
        <v>1.1835952000000001E-4</v>
      </c>
      <c r="CI28" s="15">
        <f t="shared" si="39"/>
        <v>5.3342720000000012E-4</v>
      </c>
      <c r="CJ28" s="12">
        <v>5.0606060606060606</v>
      </c>
      <c r="CK28" s="12">
        <v>1</v>
      </c>
      <c r="CL28" s="7">
        <v>3</v>
      </c>
      <c r="CM28" s="7">
        <v>19</v>
      </c>
      <c r="CN28" s="7">
        <v>78</v>
      </c>
      <c r="CO28" s="8">
        <f t="shared" si="40"/>
        <v>2.0256565599999998E-2</v>
      </c>
      <c r="CP28" s="8">
        <f t="shared" si="41"/>
        <v>2.0256565599999998E-2</v>
      </c>
      <c r="CQ28" s="18">
        <f t="shared" si="42"/>
        <v>6.0769696799999994E-4</v>
      </c>
      <c r="CR28" s="8">
        <f t="shared" si="43"/>
        <v>3.8487474639999999E-3</v>
      </c>
      <c r="CS28" s="8">
        <f t="shared" si="44"/>
        <v>1.5800121168E-2</v>
      </c>
      <c r="CT28" s="18">
        <f t="shared" si="45"/>
        <v>8.1289597752799995E-4</v>
      </c>
      <c r="CU28" s="8">
        <f t="shared" si="46"/>
        <v>3.9095171607999996E-3</v>
      </c>
      <c r="CV28" s="8">
        <f t="shared" si="47"/>
        <v>5.7731211960000001E-3</v>
      </c>
      <c r="CW28" s="8">
        <f t="shared" si="48"/>
        <v>2.3700181751999998E-2</v>
      </c>
      <c r="CX28" s="18">
        <f t="shared" si="49"/>
        <v>1.2193439662919999E-3</v>
      </c>
      <c r="CY28" s="8">
        <f t="shared" si="50"/>
        <v>5.8642757411999993E-3</v>
      </c>
      <c r="CZ28" s="12">
        <f t="shared" si="51"/>
        <v>0.22</v>
      </c>
      <c r="DA28" s="12">
        <f t="shared" si="63"/>
        <v>0.21515151515151515</v>
      </c>
      <c r="DB28" s="6">
        <v>1.5</v>
      </c>
      <c r="DC28" s="6">
        <v>1.5</v>
      </c>
      <c r="DD28" s="15">
        <v>0.125</v>
      </c>
      <c r="DE28" s="13">
        <v>0.4</v>
      </c>
      <c r="DF28" s="15">
        <v>2.1000000000000001E-2</v>
      </c>
      <c r="DG28" s="13">
        <v>0.15</v>
      </c>
      <c r="DH28" s="28">
        <f t="shared" si="52"/>
        <v>2.1445472000000001E-4</v>
      </c>
      <c r="DI28" s="29">
        <f t="shared" si="53"/>
        <v>1.0313919999999999E-3</v>
      </c>
    </row>
    <row r="29" spans="1:113" x14ac:dyDescent="0.25">
      <c r="A29" s="85">
        <v>21</v>
      </c>
      <c r="B29" s="9" t="s">
        <v>36</v>
      </c>
      <c r="C29" s="9" t="s">
        <v>24</v>
      </c>
      <c r="D29" s="31" t="s">
        <v>181</v>
      </c>
      <c r="E29" s="9">
        <v>2</v>
      </c>
      <c r="F29" s="9">
        <v>70</v>
      </c>
      <c r="G29" s="32" t="s">
        <v>99</v>
      </c>
      <c r="H29" s="19" t="s">
        <v>25</v>
      </c>
      <c r="I29" s="33" t="s">
        <v>5</v>
      </c>
      <c r="J29" s="32" t="s">
        <v>99</v>
      </c>
      <c r="K29" s="2" t="str">
        <f t="shared" si="0"/>
        <v>Kommunal Tätort VV 70 - Tangent M</v>
      </c>
      <c r="L29" s="2"/>
      <c r="M29" s="32" t="s">
        <v>99</v>
      </c>
      <c r="N29" s="53">
        <f>'Beräkna - Länk'!$C$26</f>
        <v>1</v>
      </c>
      <c r="O29" s="53">
        <f>'Beräkna - Länk'!$C$24/('Beräkna - Länk'!$C$27)^('Beräkna - Länk'!$C$25-2010)</f>
        <v>10385</v>
      </c>
      <c r="P29" s="13">
        <f t="shared" si="1"/>
        <v>3.7905249999999997</v>
      </c>
      <c r="Q29" s="13">
        <f t="shared" si="2"/>
        <v>0.56084607899999994</v>
      </c>
      <c r="R29" s="13">
        <f t="shared" si="3"/>
        <v>0.90957437899999993</v>
      </c>
      <c r="S29" s="28">
        <f t="shared" si="4"/>
        <v>1.9703907055000001E-2</v>
      </c>
      <c r="T29" s="15">
        <f t="shared" si="5"/>
        <v>0.15785413930999997</v>
      </c>
      <c r="U29" s="13">
        <f t="shared" si="6"/>
        <v>0.73201633263499999</v>
      </c>
      <c r="V29" s="13">
        <f t="shared" si="7"/>
        <v>1.7238848242424243</v>
      </c>
      <c r="W29" s="15">
        <f t="shared" si="8"/>
        <v>2.7346491679745E-2</v>
      </c>
      <c r="X29" s="15">
        <f t="shared" si="9"/>
        <v>0.1523894758764</v>
      </c>
      <c r="Y29" s="15">
        <f t="shared" si="54"/>
        <v>0.23678120896499996</v>
      </c>
      <c r="Z29" s="14">
        <f t="shared" si="10"/>
        <v>1.0980244989525001</v>
      </c>
      <c r="AA29" s="14">
        <f t="shared" si="11"/>
        <v>12.067193769696971</v>
      </c>
      <c r="AB29" s="13">
        <f t="shared" si="12"/>
        <v>4.1019737519617495E-2</v>
      </c>
      <c r="AC29" s="14">
        <f t="shared" si="13"/>
        <v>0.22858421381459998</v>
      </c>
      <c r="AD29" s="13">
        <f t="shared" si="55"/>
        <v>0.18935643806796251</v>
      </c>
      <c r="AE29" s="15">
        <f t="shared" si="56"/>
        <v>6.7664799999999997E-2</v>
      </c>
      <c r="AF29" s="8">
        <v>0.13200000000000001</v>
      </c>
      <c r="AG29" s="12">
        <v>1.696969696969697</v>
      </c>
      <c r="AH29" s="12">
        <v>2</v>
      </c>
      <c r="AI29" s="12">
        <v>17</v>
      </c>
      <c r="AJ29" s="7">
        <v>81</v>
      </c>
      <c r="AK29" s="12">
        <v>2.0303030303030303</v>
      </c>
      <c r="AL29" s="12">
        <f t="shared" si="14"/>
        <v>0.5003493</v>
      </c>
      <c r="AM29" s="12">
        <f t="shared" si="57"/>
        <v>0.84907759999999999</v>
      </c>
      <c r="AN29" s="18">
        <f t="shared" si="15"/>
        <v>1.6981552E-2</v>
      </c>
      <c r="AO29" s="8">
        <f t="shared" si="16"/>
        <v>0.14434319199999998</v>
      </c>
      <c r="AP29" s="12">
        <f t="shared" si="17"/>
        <v>0.68775285600000002</v>
      </c>
      <c r="AQ29" s="12">
        <f t="shared" si="18"/>
        <v>1.7238848242424243</v>
      </c>
      <c r="AR29" s="18">
        <f t="shared" si="19"/>
        <v>2.4614759624000001E-2</v>
      </c>
      <c r="AS29" s="8">
        <f t="shared" si="20"/>
        <v>0.13958835744</v>
      </c>
      <c r="AT29" s="8">
        <f t="shared" si="21"/>
        <v>0.21651478799999996</v>
      </c>
      <c r="AU29" s="8">
        <f t="shared" si="22"/>
        <v>1.0316292840000001</v>
      </c>
      <c r="AV29" s="8">
        <f t="shared" si="23"/>
        <v>12.067193769696971</v>
      </c>
      <c r="AW29" s="8">
        <f t="shared" si="24"/>
        <v>3.6922139436E-2</v>
      </c>
      <c r="AX29" s="8">
        <f t="shared" si="25"/>
        <v>0.20938253616000002</v>
      </c>
      <c r="AY29" s="495">
        <f t="shared" si="58"/>
        <v>0.18456375838926173</v>
      </c>
      <c r="AZ29" s="8">
        <f t="shared" si="59"/>
        <v>4.2560000000000008E-2</v>
      </c>
      <c r="BA29" s="6">
        <v>1.5</v>
      </c>
      <c r="BB29" s="6">
        <v>1.5</v>
      </c>
      <c r="BC29" s="6">
        <v>7</v>
      </c>
      <c r="BD29" s="15">
        <v>0.08</v>
      </c>
      <c r="BE29" s="13">
        <v>0.3</v>
      </c>
      <c r="BF29" s="15">
        <v>1.9E-2</v>
      </c>
      <c r="BG29" s="13">
        <v>0.14000000000000001</v>
      </c>
      <c r="BH29" s="28">
        <f t="shared" si="26"/>
        <v>6.4937600000000003E-3</v>
      </c>
      <c r="BI29" s="15">
        <f t="shared" si="27"/>
        <v>3.6825600000000007E-2</v>
      </c>
      <c r="BJ29" s="12">
        <v>4.0303030303030303</v>
      </c>
      <c r="BK29" s="12">
        <v>1</v>
      </c>
      <c r="BL29" s="7">
        <v>7.5</v>
      </c>
      <c r="BM29" s="7">
        <v>29</v>
      </c>
      <c r="BN29" s="7">
        <v>63.5</v>
      </c>
      <c r="BO29" s="8">
        <f t="shared" si="28"/>
        <v>2.0165593000000002E-2</v>
      </c>
      <c r="BP29" s="8">
        <f t="shared" si="29"/>
        <v>2.0165593000000002E-2</v>
      </c>
      <c r="BQ29" s="8">
        <f t="shared" si="30"/>
        <v>1.5124194750000001E-3</v>
      </c>
      <c r="BR29" s="8">
        <f t="shared" si="31"/>
        <v>5.8480219700000006E-3</v>
      </c>
      <c r="BS29" s="8">
        <f t="shared" si="32"/>
        <v>1.2805151555000002E-2</v>
      </c>
      <c r="BT29" s="18">
        <f t="shared" si="33"/>
        <v>1.1132415615650003E-3</v>
      </c>
      <c r="BU29" s="8">
        <f t="shared" si="34"/>
        <v>5.0171995384000008E-3</v>
      </c>
      <c r="BV29" s="8">
        <f t="shared" si="35"/>
        <v>8.7720329550000017E-3</v>
      </c>
      <c r="BW29" s="8">
        <f t="shared" si="36"/>
        <v>1.9207727332500001E-2</v>
      </c>
      <c r="BX29" s="18">
        <f t="shared" si="37"/>
        <v>1.6698623423475002E-3</v>
      </c>
      <c r="BY29" s="8">
        <f t="shared" si="38"/>
        <v>7.5257993076000007E-3</v>
      </c>
      <c r="BZ29" s="12">
        <f t="shared" si="60"/>
        <v>0.36499999999999999</v>
      </c>
      <c r="CA29" s="12">
        <f t="shared" si="61"/>
        <v>0.30646153846153851</v>
      </c>
      <c r="CB29" s="6">
        <v>1.5</v>
      </c>
      <c r="CC29" s="6">
        <v>1.5</v>
      </c>
      <c r="CD29" s="15">
        <v>0.14000000000000001</v>
      </c>
      <c r="CE29" s="13">
        <v>0.42</v>
      </c>
      <c r="CF29" s="15">
        <v>2.3E-2</v>
      </c>
      <c r="CG29" s="13">
        <v>0.2</v>
      </c>
      <c r="CH29" s="28">
        <f t="shared" si="62"/>
        <v>2.9369060000000008E-4</v>
      </c>
      <c r="CI29" s="15">
        <f t="shared" si="39"/>
        <v>1.3236160000000003E-3</v>
      </c>
      <c r="CJ29" s="12">
        <v>8.0606060606060606</v>
      </c>
      <c r="CK29" s="12">
        <v>1</v>
      </c>
      <c r="CL29" s="7">
        <v>3</v>
      </c>
      <c r="CM29" s="7">
        <v>19</v>
      </c>
      <c r="CN29" s="7">
        <v>78</v>
      </c>
      <c r="CO29" s="8">
        <f t="shared" si="40"/>
        <v>4.0331186000000005E-2</v>
      </c>
      <c r="CP29" s="8">
        <f t="shared" si="41"/>
        <v>4.0331186000000005E-2</v>
      </c>
      <c r="CQ29" s="18">
        <f t="shared" si="42"/>
        <v>1.2099355800000002E-3</v>
      </c>
      <c r="CR29" s="8">
        <f t="shared" si="43"/>
        <v>7.6629253400000014E-3</v>
      </c>
      <c r="CS29" s="8">
        <f t="shared" si="44"/>
        <v>3.1458325080000002E-2</v>
      </c>
      <c r="CT29" s="18">
        <f t="shared" si="45"/>
        <v>1.6184904941800001E-3</v>
      </c>
      <c r="CU29" s="8">
        <f t="shared" si="46"/>
        <v>7.7839188980000015E-3</v>
      </c>
      <c r="CV29" s="8">
        <f t="shared" si="47"/>
        <v>1.1494388010000002E-2</v>
      </c>
      <c r="CW29" s="8">
        <f t="shared" si="48"/>
        <v>4.7187487620000003E-2</v>
      </c>
      <c r="CX29" s="18">
        <f t="shared" si="49"/>
        <v>2.4277357412700006E-3</v>
      </c>
      <c r="CY29" s="8">
        <f t="shared" si="50"/>
        <v>1.1675878347000002E-2</v>
      </c>
      <c r="CZ29" s="12">
        <f t="shared" si="51"/>
        <v>0.22</v>
      </c>
      <c r="DA29" s="12">
        <f t="shared" si="63"/>
        <v>0.21515151515151518</v>
      </c>
      <c r="DB29" s="6">
        <v>1.5</v>
      </c>
      <c r="DC29" s="6">
        <v>1.5</v>
      </c>
      <c r="DD29" s="15">
        <v>0.125</v>
      </c>
      <c r="DE29" s="13">
        <v>0.4</v>
      </c>
      <c r="DF29" s="15">
        <v>2.1000000000000001E-2</v>
      </c>
      <c r="DG29" s="13">
        <v>0.15</v>
      </c>
      <c r="DH29" s="28">
        <f t="shared" si="52"/>
        <v>4.2698320000000004E-4</v>
      </c>
      <c r="DI29" s="29">
        <f t="shared" si="53"/>
        <v>2.0535200000000005E-3</v>
      </c>
    </row>
    <row r="30" spans="1:113" x14ac:dyDescent="0.25">
      <c r="A30" s="85">
        <v>22</v>
      </c>
      <c r="B30" s="9" t="s">
        <v>36</v>
      </c>
      <c r="C30" s="9" t="s">
        <v>24</v>
      </c>
      <c r="D30" s="31" t="s">
        <v>181</v>
      </c>
      <c r="E30" s="9">
        <v>2</v>
      </c>
      <c r="F30" s="9">
        <v>70</v>
      </c>
      <c r="G30" s="32" t="s">
        <v>99</v>
      </c>
      <c r="H30" s="19" t="s">
        <v>25</v>
      </c>
      <c r="I30" s="33" t="s">
        <v>6</v>
      </c>
      <c r="J30" s="32" t="s">
        <v>99</v>
      </c>
      <c r="K30" s="2" t="str">
        <f t="shared" si="0"/>
        <v>Kommunal Tätort VV 70 - Tangent Y</v>
      </c>
      <c r="L30" s="2"/>
      <c r="M30" s="32" t="s">
        <v>99</v>
      </c>
      <c r="N30" s="53">
        <f>'Beräkna - Länk'!$C$26</f>
        <v>1</v>
      </c>
      <c r="O30" s="53">
        <f>'Beräkna - Länk'!$C$24/('Beräkna - Länk'!$C$27)^('Beräkna - Länk'!$C$25-2010)</f>
        <v>10385</v>
      </c>
      <c r="P30" s="13">
        <f t="shared" si="1"/>
        <v>3.7905249999999997</v>
      </c>
      <c r="Q30" s="13">
        <f t="shared" si="2"/>
        <v>0.49125203999999995</v>
      </c>
      <c r="R30" s="13">
        <f t="shared" si="3"/>
        <v>0.85969106999999989</v>
      </c>
      <c r="S30" s="28">
        <f t="shared" si="4"/>
        <v>1.8217263149999996E-2</v>
      </c>
      <c r="T30" s="15">
        <f t="shared" si="5"/>
        <v>0.1483308243</v>
      </c>
      <c r="U30" s="13">
        <f t="shared" si="6"/>
        <v>0.69314298254999984</v>
      </c>
      <c r="V30" s="13">
        <f t="shared" si="7"/>
        <v>1.6623175090909088</v>
      </c>
      <c r="W30" s="15">
        <f t="shared" si="8"/>
        <v>2.5584201554849997E-2</v>
      </c>
      <c r="X30" s="15">
        <f t="shared" si="9"/>
        <v>0.14326546993200001</v>
      </c>
      <c r="Y30" s="15">
        <f t="shared" si="54"/>
        <v>0.22249623645</v>
      </c>
      <c r="Z30" s="14">
        <f t="shared" si="10"/>
        <v>1.0397144738249999</v>
      </c>
      <c r="AA30" s="14">
        <f t="shared" si="11"/>
        <v>11.636222563636363</v>
      </c>
      <c r="AB30" s="13">
        <f t="shared" si="12"/>
        <v>3.8376302332274986E-2</v>
      </c>
      <c r="AC30" s="14">
        <f t="shared" si="13"/>
        <v>0.21489820489799996</v>
      </c>
      <c r="AD30" s="13">
        <f t="shared" si="55"/>
        <v>0.18799456478299098</v>
      </c>
      <c r="AE30" s="15">
        <f t="shared" si="56"/>
        <v>6.3504000000000005E-2</v>
      </c>
      <c r="AF30" s="8">
        <v>0.1188</v>
      </c>
      <c r="AG30" s="12">
        <v>1.8181818181818181</v>
      </c>
      <c r="AH30" s="12">
        <v>2</v>
      </c>
      <c r="AI30" s="12">
        <v>17</v>
      </c>
      <c r="AJ30" s="7">
        <v>81</v>
      </c>
      <c r="AK30" s="12">
        <v>2.0303030303030303</v>
      </c>
      <c r="AL30" s="12">
        <f t="shared" si="14"/>
        <v>0.45031436999999996</v>
      </c>
      <c r="AM30" s="12">
        <f t="shared" si="57"/>
        <v>0.81875339999999985</v>
      </c>
      <c r="AN30" s="18">
        <f t="shared" si="15"/>
        <v>1.6375067999999996E-2</v>
      </c>
      <c r="AO30" s="8">
        <f t="shared" si="16"/>
        <v>0.13918807799999999</v>
      </c>
      <c r="AP30" s="12">
        <f t="shared" si="17"/>
        <v>0.66319025399999987</v>
      </c>
      <c r="AQ30" s="12">
        <f t="shared" si="18"/>
        <v>1.6623175090909088</v>
      </c>
      <c r="AR30" s="18">
        <f t="shared" si="19"/>
        <v>2.3735661065999995E-2</v>
      </c>
      <c r="AS30" s="8">
        <f t="shared" si="20"/>
        <v>0.13460305895999999</v>
      </c>
      <c r="AT30" s="8">
        <f t="shared" si="21"/>
        <v>0.20878211699999999</v>
      </c>
      <c r="AU30" s="8">
        <f t="shared" si="22"/>
        <v>0.9947853809999998</v>
      </c>
      <c r="AV30" s="8">
        <f t="shared" si="23"/>
        <v>11.636222563636363</v>
      </c>
      <c r="AW30" s="8">
        <f t="shared" si="24"/>
        <v>3.5603491598999996E-2</v>
      </c>
      <c r="AX30" s="8">
        <f t="shared" si="25"/>
        <v>0.20190458843999998</v>
      </c>
      <c r="AY30" s="495">
        <f t="shared" si="58"/>
        <v>0.18456375838926176</v>
      </c>
      <c r="AZ30" s="8">
        <f t="shared" si="59"/>
        <v>4.104E-2</v>
      </c>
      <c r="BA30" s="6">
        <v>1.5</v>
      </c>
      <c r="BB30" s="6">
        <v>1.5</v>
      </c>
      <c r="BC30" s="6">
        <v>7</v>
      </c>
      <c r="BD30" s="15">
        <v>0.08</v>
      </c>
      <c r="BE30" s="13">
        <v>0.3</v>
      </c>
      <c r="BF30" s="15">
        <v>1.9E-2</v>
      </c>
      <c r="BG30" s="13">
        <v>0.14000000000000001</v>
      </c>
      <c r="BH30" s="28">
        <f t="shared" si="26"/>
        <v>6.2618399999999994E-3</v>
      </c>
      <c r="BI30" s="15">
        <f t="shared" si="27"/>
        <v>3.5510400000000004E-2</v>
      </c>
      <c r="BJ30" s="12">
        <v>3.0303030303030303</v>
      </c>
      <c r="BK30" s="12">
        <v>1</v>
      </c>
      <c r="BL30" s="7">
        <v>7.5</v>
      </c>
      <c r="BM30" s="7">
        <v>29</v>
      </c>
      <c r="BN30" s="7">
        <v>63.5</v>
      </c>
      <c r="BO30" s="8">
        <f t="shared" si="28"/>
        <v>1.3645889999999999E-2</v>
      </c>
      <c r="BP30" s="8">
        <f t="shared" si="29"/>
        <v>1.3645889999999999E-2</v>
      </c>
      <c r="BQ30" s="8">
        <f t="shared" si="30"/>
        <v>1.02344175E-3</v>
      </c>
      <c r="BR30" s="8">
        <f t="shared" si="31"/>
        <v>3.9573080999999993E-3</v>
      </c>
      <c r="BS30" s="8">
        <f t="shared" si="32"/>
        <v>8.6651401500000003E-3</v>
      </c>
      <c r="BT30" s="18">
        <f t="shared" si="33"/>
        <v>7.5332135745000009E-4</v>
      </c>
      <c r="BU30" s="8">
        <f t="shared" si="34"/>
        <v>3.3950974320000006E-3</v>
      </c>
      <c r="BV30" s="8">
        <f t="shared" si="35"/>
        <v>5.9359621499999989E-3</v>
      </c>
      <c r="BW30" s="8">
        <f t="shared" si="36"/>
        <v>1.2997710225E-2</v>
      </c>
      <c r="BX30" s="18">
        <f t="shared" si="37"/>
        <v>1.1299820361749999E-3</v>
      </c>
      <c r="BY30" s="8">
        <f t="shared" si="38"/>
        <v>5.0926461479999996E-3</v>
      </c>
      <c r="BZ30" s="12">
        <f t="shared" si="60"/>
        <v>0.36499999999999999</v>
      </c>
      <c r="CA30" s="12">
        <f t="shared" si="61"/>
        <v>0.30646153846153845</v>
      </c>
      <c r="CB30" s="6">
        <v>1.5</v>
      </c>
      <c r="CC30" s="6">
        <v>1.5</v>
      </c>
      <c r="CD30" s="15">
        <v>0.14000000000000001</v>
      </c>
      <c r="CE30" s="13">
        <v>0.42</v>
      </c>
      <c r="CF30" s="15">
        <v>2.3E-2</v>
      </c>
      <c r="CG30" s="13">
        <v>0.2</v>
      </c>
      <c r="CH30" s="28">
        <f t="shared" si="62"/>
        <v>1.9873800000000003E-4</v>
      </c>
      <c r="CI30" s="15">
        <f t="shared" si="39"/>
        <v>8.9568000000000026E-4</v>
      </c>
      <c r="CJ30" s="12">
        <v>6.0606060606060606</v>
      </c>
      <c r="CK30" s="12">
        <v>1</v>
      </c>
      <c r="CL30" s="7">
        <v>3</v>
      </c>
      <c r="CM30" s="7">
        <v>19</v>
      </c>
      <c r="CN30" s="7">
        <v>78</v>
      </c>
      <c r="CO30" s="8">
        <f t="shared" si="40"/>
        <v>2.7291779999999998E-2</v>
      </c>
      <c r="CP30" s="8">
        <f t="shared" si="41"/>
        <v>2.7291779999999998E-2</v>
      </c>
      <c r="CQ30" s="18">
        <f t="shared" si="42"/>
        <v>8.1875339999999989E-4</v>
      </c>
      <c r="CR30" s="8">
        <f t="shared" si="43"/>
        <v>5.1854381999999997E-3</v>
      </c>
      <c r="CS30" s="8">
        <f t="shared" si="44"/>
        <v>2.1287588399999998E-2</v>
      </c>
      <c r="CT30" s="18">
        <f t="shared" si="45"/>
        <v>1.0952191314E-3</v>
      </c>
      <c r="CU30" s="8">
        <f t="shared" si="46"/>
        <v>5.2673135400000013E-3</v>
      </c>
      <c r="CV30" s="8">
        <f t="shared" si="47"/>
        <v>7.7781572999999996E-3</v>
      </c>
      <c r="CW30" s="8">
        <f t="shared" si="48"/>
        <v>3.1931382599999995E-2</v>
      </c>
      <c r="CX30" s="18">
        <f t="shared" si="49"/>
        <v>1.6428286970999999E-3</v>
      </c>
      <c r="CY30" s="8">
        <f t="shared" si="50"/>
        <v>7.9009703099999981E-3</v>
      </c>
      <c r="CZ30" s="12">
        <f t="shared" si="51"/>
        <v>0.22</v>
      </c>
      <c r="DA30" s="12">
        <f t="shared" si="63"/>
        <v>0.21515151515151512</v>
      </c>
      <c r="DB30" s="6">
        <v>1.5</v>
      </c>
      <c r="DC30" s="6">
        <v>1.5</v>
      </c>
      <c r="DD30" s="15">
        <v>0.125</v>
      </c>
      <c r="DE30" s="13">
        <v>0.4</v>
      </c>
      <c r="DF30" s="15">
        <v>2.1000000000000001E-2</v>
      </c>
      <c r="DG30" s="13">
        <v>0.15</v>
      </c>
      <c r="DH30" s="28">
        <f t="shared" si="52"/>
        <v>2.88936E-4</v>
      </c>
      <c r="DI30" s="29">
        <f t="shared" si="53"/>
        <v>1.3896000000000004E-3</v>
      </c>
    </row>
    <row r="31" spans="1:113" x14ac:dyDescent="0.25">
      <c r="A31" s="85">
        <v>23</v>
      </c>
      <c r="B31" s="9" t="s">
        <v>36</v>
      </c>
      <c r="C31" s="9" t="s">
        <v>24</v>
      </c>
      <c r="D31" s="31" t="s">
        <v>181</v>
      </c>
      <c r="E31" s="9">
        <v>2</v>
      </c>
      <c r="F31" s="11">
        <v>80</v>
      </c>
      <c r="G31" s="32" t="s">
        <v>99</v>
      </c>
      <c r="H31" s="9" t="s">
        <v>10</v>
      </c>
      <c r="I31" s="33" t="s">
        <v>6</v>
      </c>
      <c r="J31" s="32" t="s">
        <v>99</v>
      </c>
      <c r="K31" s="2" t="str">
        <f t="shared" si="0"/>
        <v>Kommunal Tätort VV 80 - GIF Y</v>
      </c>
      <c r="L31" s="2"/>
      <c r="M31" s="32" t="s">
        <v>99</v>
      </c>
      <c r="N31" s="53">
        <f>'Beräkna - Länk'!$C$26</f>
        <v>1</v>
      </c>
      <c r="O31" s="53">
        <f>'Beräkna - Länk'!$C$24/('Beräkna - Länk'!$C$27)^('Beräkna - Länk'!$C$25-2010)</f>
        <v>10385</v>
      </c>
      <c r="P31" s="13">
        <f t="shared" si="1"/>
        <v>3.7905249999999997</v>
      </c>
      <c r="Q31" s="13">
        <f t="shared" si="2"/>
        <v>0.34683303749999989</v>
      </c>
      <c r="R31" s="13">
        <f t="shared" si="3"/>
        <v>0.55531191249999989</v>
      </c>
      <c r="S31" s="28">
        <f t="shared" si="4"/>
        <v>1.4659855437499996E-2</v>
      </c>
      <c r="T31" s="15">
        <f t="shared" si="5"/>
        <v>9.8771605187499958E-2</v>
      </c>
      <c r="U31" s="13">
        <f t="shared" si="6"/>
        <v>0.44188045187499986</v>
      </c>
      <c r="V31" s="13">
        <f t="shared" si="7"/>
        <v>1.0031353660714284</v>
      </c>
      <c r="W31" s="15">
        <f t="shared" si="8"/>
        <v>1.6542419678749996E-2</v>
      </c>
      <c r="X31" s="15">
        <f t="shared" si="9"/>
        <v>9.2210774991249994E-2</v>
      </c>
      <c r="Y31" s="15">
        <f t="shared" si="54"/>
        <v>0.14815740778124994</v>
      </c>
      <c r="Z31" s="14">
        <f t="shared" si="10"/>
        <v>0.66282067781249976</v>
      </c>
      <c r="AA31" s="14">
        <f t="shared" si="11"/>
        <v>7.0219475624999985</v>
      </c>
      <c r="AB31" s="13">
        <f t="shared" si="12"/>
        <v>2.4813629518124988E-2</v>
      </c>
      <c r="AC31" s="14">
        <f t="shared" si="13"/>
        <v>0.13831616248687492</v>
      </c>
      <c r="AD31" s="13">
        <f t="shared" si="55"/>
        <v>0.19720176984040447</v>
      </c>
      <c r="AE31" s="15">
        <f t="shared" si="56"/>
        <v>4.2953749999999992E-2</v>
      </c>
      <c r="AF31" s="8">
        <v>8.7499999999999994E-2</v>
      </c>
      <c r="AG31" s="12">
        <v>1.6285714285714286</v>
      </c>
      <c r="AH31" s="12">
        <v>2.5</v>
      </c>
      <c r="AI31" s="12">
        <v>17.5</v>
      </c>
      <c r="AJ31" s="7">
        <v>80</v>
      </c>
      <c r="AK31" s="12">
        <v>1.8571428571428572</v>
      </c>
      <c r="AL31" s="12">
        <f t="shared" si="14"/>
        <v>0.33167093749999993</v>
      </c>
      <c r="AM31" s="12">
        <f t="shared" si="57"/>
        <v>0.54014981249999983</v>
      </c>
      <c r="AN31" s="18">
        <f t="shared" si="15"/>
        <v>1.3503745312499996E-2</v>
      </c>
      <c r="AO31" s="8">
        <f t="shared" si="16"/>
        <v>9.452621718749997E-2</v>
      </c>
      <c r="AP31" s="12">
        <f t="shared" si="17"/>
        <v>0.43211984999999986</v>
      </c>
      <c r="AQ31" s="12">
        <f t="shared" si="18"/>
        <v>1.0031353660714284</v>
      </c>
      <c r="AR31" s="18">
        <f t="shared" si="19"/>
        <v>1.5772374524999997E-2</v>
      </c>
      <c r="AS31" s="8">
        <f t="shared" si="20"/>
        <v>8.8854644156249996E-2</v>
      </c>
      <c r="AT31" s="8">
        <f t="shared" si="21"/>
        <v>0.14178932578124995</v>
      </c>
      <c r="AU31" s="8">
        <f t="shared" si="22"/>
        <v>0.64817977499999979</v>
      </c>
      <c r="AV31" s="8">
        <f t="shared" si="23"/>
        <v>7.0219475624999985</v>
      </c>
      <c r="AW31" s="8">
        <f t="shared" si="24"/>
        <v>2.365856178749999E-2</v>
      </c>
      <c r="AX31" s="8">
        <f t="shared" si="25"/>
        <v>0.13328196623437497</v>
      </c>
      <c r="AY31" s="495">
        <f t="shared" si="58"/>
        <v>0.19327731092436976</v>
      </c>
      <c r="AZ31" s="8">
        <f t="shared" si="59"/>
        <v>2.8499999999999994E-2</v>
      </c>
      <c r="BA31" s="6">
        <v>1.5</v>
      </c>
      <c r="BB31" s="6">
        <v>1.5</v>
      </c>
      <c r="BC31" s="6">
        <v>7</v>
      </c>
      <c r="BD31" s="15">
        <v>0.08</v>
      </c>
      <c r="BE31" s="13">
        <v>0.3</v>
      </c>
      <c r="BF31" s="15">
        <v>1.9E-2</v>
      </c>
      <c r="BG31" s="13">
        <v>0.14000000000000001</v>
      </c>
      <c r="BH31" s="28">
        <f t="shared" si="26"/>
        <v>4.1609999999999998E-3</v>
      </c>
      <c r="BI31" s="15">
        <f t="shared" si="27"/>
        <v>2.344125E-2</v>
      </c>
      <c r="BJ31" s="12">
        <v>1.7142857142857142</v>
      </c>
      <c r="BK31" s="12">
        <v>1</v>
      </c>
      <c r="BL31" s="7">
        <v>12</v>
      </c>
      <c r="BM31" s="7">
        <v>33</v>
      </c>
      <c r="BN31" s="7">
        <v>55</v>
      </c>
      <c r="BO31" s="8">
        <f t="shared" si="28"/>
        <v>5.6857874999999983E-3</v>
      </c>
      <c r="BP31" s="8">
        <f t="shared" si="29"/>
        <v>5.6857874999999983E-3</v>
      </c>
      <c r="BQ31" s="8">
        <f t="shared" si="30"/>
        <v>6.822944999999998E-4</v>
      </c>
      <c r="BR31" s="8">
        <f t="shared" si="31"/>
        <v>1.8763098749999996E-3</v>
      </c>
      <c r="BS31" s="8">
        <f t="shared" si="32"/>
        <v>3.1271831249999995E-3</v>
      </c>
      <c r="BT31" s="18">
        <f t="shared" si="33"/>
        <v>3.3460859437499981E-4</v>
      </c>
      <c r="BU31" s="8">
        <f t="shared" si="34"/>
        <v>1.4134867724999996E-3</v>
      </c>
      <c r="BV31" s="8">
        <f t="shared" si="35"/>
        <v>2.8144648124999996E-3</v>
      </c>
      <c r="BW31" s="8">
        <f t="shared" si="36"/>
        <v>4.6907746874999996E-3</v>
      </c>
      <c r="BX31" s="18">
        <f t="shared" si="37"/>
        <v>5.0191289156250002E-4</v>
      </c>
      <c r="BY31" s="8">
        <f t="shared" si="38"/>
        <v>2.12023015875E-3</v>
      </c>
      <c r="BZ31" s="12">
        <f t="shared" si="60"/>
        <v>0.45</v>
      </c>
      <c r="CA31" s="12">
        <f t="shared" si="61"/>
        <v>0.34229166666666666</v>
      </c>
      <c r="CB31" s="6">
        <v>1.5</v>
      </c>
      <c r="CC31" s="6">
        <v>1.5</v>
      </c>
      <c r="CD31" s="15">
        <v>0.14000000000000001</v>
      </c>
      <c r="CE31" s="13">
        <v>0.42</v>
      </c>
      <c r="CF31" s="15">
        <v>2.3E-2</v>
      </c>
      <c r="CG31" s="13">
        <v>0.2</v>
      </c>
      <c r="CH31" s="28">
        <f t="shared" si="62"/>
        <v>8.8274999999999964E-5</v>
      </c>
      <c r="CI31" s="15">
        <f t="shared" si="39"/>
        <v>3.728999999999999E-4</v>
      </c>
      <c r="CJ31" s="12">
        <v>2.8571428571428572</v>
      </c>
      <c r="CK31" s="12">
        <v>1</v>
      </c>
      <c r="CL31" s="7">
        <v>5</v>
      </c>
      <c r="CM31" s="7">
        <v>25</v>
      </c>
      <c r="CN31" s="7">
        <v>70</v>
      </c>
      <c r="CO31" s="8">
        <f t="shared" si="40"/>
        <v>9.4763124999999969E-3</v>
      </c>
      <c r="CP31" s="8">
        <f t="shared" si="41"/>
        <v>9.4763124999999969E-3</v>
      </c>
      <c r="CQ31" s="18">
        <f t="shared" si="42"/>
        <v>4.7381562499999988E-4</v>
      </c>
      <c r="CR31" s="8">
        <f t="shared" si="43"/>
        <v>2.3690781249999992E-3</v>
      </c>
      <c r="CS31" s="8">
        <f t="shared" si="44"/>
        <v>6.6334187499999973E-3</v>
      </c>
      <c r="CT31" s="18">
        <f t="shared" si="45"/>
        <v>4.3543655937499997E-4</v>
      </c>
      <c r="CU31" s="8">
        <f t="shared" si="46"/>
        <v>1.9426440624999996E-3</v>
      </c>
      <c r="CV31" s="8">
        <f t="shared" si="47"/>
        <v>3.5536171874999988E-3</v>
      </c>
      <c r="CW31" s="8">
        <f t="shared" si="48"/>
        <v>9.9501281249999955E-3</v>
      </c>
      <c r="CX31" s="18">
        <f t="shared" si="49"/>
        <v>6.5315483906249979E-4</v>
      </c>
      <c r="CY31" s="8">
        <f t="shared" si="50"/>
        <v>2.9139660937499987E-3</v>
      </c>
      <c r="CZ31" s="12">
        <f t="shared" si="51"/>
        <v>0.3</v>
      </c>
      <c r="DA31" s="12">
        <f t="shared" si="63"/>
        <v>0.24237288135593221</v>
      </c>
      <c r="DB31" s="6">
        <v>1.5</v>
      </c>
      <c r="DC31" s="6">
        <v>1.5</v>
      </c>
      <c r="DD31" s="15">
        <v>0.125</v>
      </c>
      <c r="DE31" s="13">
        <v>0.4</v>
      </c>
      <c r="DF31" s="15">
        <v>2.1000000000000001E-2</v>
      </c>
      <c r="DG31" s="13">
        <v>0.15</v>
      </c>
      <c r="DH31" s="28">
        <f t="shared" si="52"/>
        <v>1.14875E-4</v>
      </c>
      <c r="DI31" s="29">
        <f t="shared" si="53"/>
        <v>5.1249999999999993E-4</v>
      </c>
    </row>
    <row r="32" spans="1:113" x14ac:dyDescent="0.25">
      <c r="A32" s="85">
        <v>24</v>
      </c>
      <c r="B32" s="9" t="s">
        <v>36</v>
      </c>
      <c r="C32" s="9" t="s">
        <v>24</v>
      </c>
      <c r="D32" s="31" t="s">
        <v>181</v>
      </c>
      <c r="E32" s="9">
        <v>2</v>
      </c>
      <c r="F32" s="11">
        <v>80</v>
      </c>
      <c r="G32" s="32" t="s">
        <v>99</v>
      </c>
      <c r="H32" s="19" t="s">
        <v>25</v>
      </c>
      <c r="I32" s="33" t="s">
        <v>6</v>
      </c>
      <c r="J32" s="32" t="s">
        <v>99</v>
      </c>
      <c r="K32" s="2" t="str">
        <f t="shared" si="0"/>
        <v>Kommunal Tätort VV 80 - Tangent Y</v>
      </c>
      <c r="L32" s="2"/>
      <c r="M32" s="32" t="s">
        <v>99</v>
      </c>
      <c r="N32" s="53">
        <f>'Beräkna - Länk'!$C$26</f>
        <v>1</v>
      </c>
      <c r="O32" s="53">
        <f>'Beräkna - Länk'!$C$24/('Beräkna - Länk'!$C$27)^('Beräkna - Länk'!$C$25-2010)</f>
        <v>10385</v>
      </c>
      <c r="P32" s="13">
        <f t="shared" si="1"/>
        <v>3.7905249999999997</v>
      </c>
      <c r="Q32" s="13">
        <f t="shared" si="2"/>
        <v>0.34683303749999989</v>
      </c>
      <c r="R32" s="13">
        <f t="shared" si="3"/>
        <v>0.55531191249999989</v>
      </c>
      <c r="S32" s="28">
        <f t="shared" si="4"/>
        <v>1.4659855437499996E-2</v>
      </c>
      <c r="T32" s="15">
        <f t="shared" si="5"/>
        <v>9.8771605187499958E-2</v>
      </c>
      <c r="U32" s="13">
        <f t="shared" si="6"/>
        <v>0.44188045187499986</v>
      </c>
      <c r="V32" s="13">
        <f t="shared" si="7"/>
        <v>1.0031353660714284</v>
      </c>
      <c r="W32" s="15">
        <f t="shared" si="8"/>
        <v>1.6542419678749996E-2</v>
      </c>
      <c r="X32" s="15">
        <f t="shared" si="9"/>
        <v>9.2210774991249994E-2</v>
      </c>
      <c r="Y32" s="15">
        <f t="shared" si="54"/>
        <v>0.14815740778124994</v>
      </c>
      <c r="Z32" s="14">
        <f t="shared" si="10"/>
        <v>0.66282067781249976</v>
      </c>
      <c r="AA32" s="14">
        <f t="shared" si="11"/>
        <v>7.0219475624999985</v>
      </c>
      <c r="AB32" s="13">
        <f t="shared" si="12"/>
        <v>2.4813629518124988E-2</v>
      </c>
      <c r="AC32" s="14">
        <f t="shared" si="13"/>
        <v>0.13831616248687492</v>
      </c>
      <c r="AD32" s="13">
        <f t="shared" si="55"/>
        <v>0.19720176984040447</v>
      </c>
      <c r="AE32" s="15">
        <f t="shared" si="56"/>
        <v>4.2953749999999992E-2</v>
      </c>
      <c r="AF32" s="8">
        <v>8.7499999999999994E-2</v>
      </c>
      <c r="AG32" s="12">
        <v>1.6285714285714286</v>
      </c>
      <c r="AH32" s="12">
        <v>2.5</v>
      </c>
      <c r="AI32" s="12">
        <v>17.5</v>
      </c>
      <c r="AJ32" s="7">
        <v>80</v>
      </c>
      <c r="AK32" s="12">
        <v>1.8571428571428572</v>
      </c>
      <c r="AL32" s="12">
        <f t="shared" si="14"/>
        <v>0.33167093749999993</v>
      </c>
      <c r="AM32" s="12">
        <f t="shared" si="57"/>
        <v>0.54014981249999983</v>
      </c>
      <c r="AN32" s="18">
        <f t="shared" si="15"/>
        <v>1.3503745312499996E-2</v>
      </c>
      <c r="AO32" s="8">
        <f t="shared" si="16"/>
        <v>9.452621718749997E-2</v>
      </c>
      <c r="AP32" s="12">
        <f t="shared" si="17"/>
        <v>0.43211984999999986</v>
      </c>
      <c r="AQ32" s="12">
        <f t="shared" si="18"/>
        <v>1.0031353660714284</v>
      </c>
      <c r="AR32" s="18">
        <f t="shared" si="19"/>
        <v>1.5772374524999997E-2</v>
      </c>
      <c r="AS32" s="8">
        <f t="shared" si="20"/>
        <v>8.8854644156249996E-2</v>
      </c>
      <c r="AT32" s="8">
        <f t="shared" si="21"/>
        <v>0.14178932578124995</v>
      </c>
      <c r="AU32" s="8">
        <f t="shared" si="22"/>
        <v>0.64817977499999979</v>
      </c>
      <c r="AV32" s="8">
        <f t="shared" si="23"/>
        <v>7.0219475624999985</v>
      </c>
      <c r="AW32" s="8">
        <f t="shared" si="24"/>
        <v>2.365856178749999E-2</v>
      </c>
      <c r="AX32" s="8">
        <f t="shared" si="25"/>
        <v>0.13328196623437497</v>
      </c>
      <c r="AY32" s="495">
        <f t="shared" si="58"/>
        <v>0.19327731092436976</v>
      </c>
      <c r="AZ32" s="8">
        <f t="shared" si="59"/>
        <v>2.8499999999999994E-2</v>
      </c>
      <c r="BA32" s="6">
        <v>1.5</v>
      </c>
      <c r="BB32" s="6">
        <v>1.5</v>
      </c>
      <c r="BC32" s="6">
        <v>7</v>
      </c>
      <c r="BD32" s="15">
        <v>0.08</v>
      </c>
      <c r="BE32" s="13">
        <v>0.3</v>
      </c>
      <c r="BF32" s="15">
        <v>1.9E-2</v>
      </c>
      <c r="BG32" s="13">
        <v>0.14000000000000001</v>
      </c>
      <c r="BH32" s="28">
        <f t="shared" si="26"/>
        <v>4.1609999999999998E-3</v>
      </c>
      <c r="BI32" s="15">
        <f t="shared" si="27"/>
        <v>2.344125E-2</v>
      </c>
      <c r="BJ32" s="12">
        <v>1.7142857142857142</v>
      </c>
      <c r="BK32" s="12">
        <v>1</v>
      </c>
      <c r="BL32" s="7">
        <v>12</v>
      </c>
      <c r="BM32" s="7">
        <v>33</v>
      </c>
      <c r="BN32" s="7">
        <v>55</v>
      </c>
      <c r="BO32" s="8">
        <f t="shared" si="28"/>
        <v>5.6857874999999983E-3</v>
      </c>
      <c r="BP32" s="8">
        <f t="shared" si="29"/>
        <v>5.6857874999999983E-3</v>
      </c>
      <c r="BQ32" s="8">
        <f t="shared" si="30"/>
        <v>6.822944999999998E-4</v>
      </c>
      <c r="BR32" s="8">
        <f t="shared" si="31"/>
        <v>1.8763098749999996E-3</v>
      </c>
      <c r="BS32" s="8">
        <f t="shared" si="32"/>
        <v>3.1271831249999995E-3</v>
      </c>
      <c r="BT32" s="18">
        <f t="shared" si="33"/>
        <v>3.3460859437499981E-4</v>
      </c>
      <c r="BU32" s="8">
        <f t="shared" si="34"/>
        <v>1.4134867724999996E-3</v>
      </c>
      <c r="BV32" s="8">
        <f t="shared" si="35"/>
        <v>2.8144648124999996E-3</v>
      </c>
      <c r="BW32" s="8">
        <f t="shared" si="36"/>
        <v>4.6907746874999996E-3</v>
      </c>
      <c r="BX32" s="18">
        <f t="shared" si="37"/>
        <v>5.0191289156250002E-4</v>
      </c>
      <c r="BY32" s="8">
        <f t="shared" si="38"/>
        <v>2.12023015875E-3</v>
      </c>
      <c r="BZ32" s="12">
        <f t="shared" si="60"/>
        <v>0.45</v>
      </c>
      <c r="CA32" s="12">
        <f t="shared" si="61"/>
        <v>0.34229166666666666</v>
      </c>
      <c r="CB32" s="6">
        <v>1.5</v>
      </c>
      <c r="CC32" s="6">
        <v>1.5</v>
      </c>
      <c r="CD32" s="15">
        <v>0.14000000000000001</v>
      </c>
      <c r="CE32" s="13">
        <v>0.42</v>
      </c>
      <c r="CF32" s="15">
        <v>2.3E-2</v>
      </c>
      <c r="CG32" s="13">
        <v>0.2</v>
      </c>
      <c r="CH32" s="28">
        <f t="shared" si="62"/>
        <v>8.8274999999999964E-5</v>
      </c>
      <c r="CI32" s="15">
        <f t="shared" si="39"/>
        <v>3.728999999999999E-4</v>
      </c>
      <c r="CJ32" s="12">
        <v>2.8571428571428572</v>
      </c>
      <c r="CK32" s="12">
        <v>1</v>
      </c>
      <c r="CL32" s="7">
        <v>5</v>
      </c>
      <c r="CM32" s="7">
        <v>25</v>
      </c>
      <c r="CN32" s="7">
        <v>70</v>
      </c>
      <c r="CO32" s="8">
        <f t="shared" si="40"/>
        <v>9.4763124999999969E-3</v>
      </c>
      <c r="CP32" s="8">
        <f t="shared" si="41"/>
        <v>9.4763124999999969E-3</v>
      </c>
      <c r="CQ32" s="18">
        <f t="shared" si="42"/>
        <v>4.7381562499999988E-4</v>
      </c>
      <c r="CR32" s="8">
        <f t="shared" si="43"/>
        <v>2.3690781249999992E-3</v>
      </c>
      <c r="CS32" s="8">
        <f t="shared" si="44"/>
        <v>6.6334187499999973E-3</v>
      </c>
      <c r="CT32" s="18">
        <f t="shared" si="45"/>
        <v>4.3543655937499997E-4</v>
      </c>
      <c r="CU32" s="8">
        <f t="shared" si="46"/>
        <v>1.9426440624999996E-3</v>
      </c>
      <c r="CV32" s="8">
        <f t="shared" si="47"/>
        <v>3.5536171874999988E-3</v>
      </c>
      <c r="CW32" s="8">
        <f t="shared" si="48"/>
        <v>9.9501281249999955E-3</v>
      </c>
      <c r="CX32" s="18">
        <f t="shared" si="49"/>
        <v>6.5315483906249979E-4</v>
      </c>
      <c r="CY32" s="8">
        <f t="shared" si="50"/>
        <v>2.9139660937499987E-3</v>
      </c>
      <c r="CZ32" s="12">
        <f t="shared" si="51"/>
        <v>0.3</v>
      </c>
      <c r="DA32" s="12">
        <f t="shared" si="63"/>
        <v>0.24237288135593221</v>
      </c>
      <c r="DB32" s="6">
        <v>1.5</v>
      </c>
      <c r="DC32" s="6">
        <v>1.5</v>
      </c>
      <c r="DD32" s="15">
        <v>0.125</v>
      </c>
      <c r="DE32" s="13">
        <v>0.4</v>
      </c>
      <c r="DF32" s="15">
        <v>2.1000000000000001E-2</v>
      </c>
      <c r="DG32" s="13">
        <v>0.15</v>
      </c>
      <c r="DH32" s="28">
        <f t="shared" si="52"/>
        <v>1.14875E-4</v>
      </c>
      <c r="DI32" s="29">
        <f t="shared" si="53"/>
        <v>5.1249999999999993E-4</v>
      </c>
    </row>
    <row r="33" spans="1:113" x14ac:dyDescent="0.25">
      <c r="A33" s="85">
        <v>25</v>
      </c>
      <c r="B33" s="35" t="s">
        <v>26</v>
      </c>
      <c r="C33" s="35" t="s">
        <v>24</v>
      </c>
      <c r="D33" s="31" t="s">
        <v>181</v>
      </c>
      <c r="E33" s="9">
        <v>2</v>
      </c>
      <c r="F33" s="11">
        <v>40</v>
      </c>
      <c r="G33" s="32" t="s">
        <v>99</v>
      </c>
      <c r="H33" s="19" t="s">
        <v>99</v>
      </c>
      <c r="I33" s="31" t="s">
        <v>99</v>
      </c>
      <c r="J33" s="32" t="s">
        <v>99</v>
      </c>
      <c r="K33" s="2" t="str">
        <f t="shared" si="0"/>
        <v>Statlig Tätort VV 40 - - -</v>
      </c>
      <c r="L33" s="2"/>
      <c r="M33" s="32" t="s">
        <v>99</v>
      </c>
      <c r="N33" s="53">
        <f>'Beräkna - Länk'!$C$26</f>
        <v>1</v>
      </c>
      <c r="O33" s="53">
        <f>'Beräkna - Länk'!$C$24/('Beräkna - Länk'!$C$27)^('Beräkna - Länk'!$C$25-2010)</f>
        <v>10385</v>
      </c>
      <c r="P33" s="13">
        <f t="shared" si="1"/>
        <v>3.7905249999999997</v>
      </c>
      <c r="Q33" s="13">
        <f t="shared" si="2"/>
        <v>0.58586354399999996</v>
      </c>
      <c r="R33" s="13">
        <f t="shared" si="3"/>
        <v>0.8142654184</v>
      </c>
      <c r="S33" s="28">
        <f t="shared" si="4"/>
        <v>1.0923383323999997E-2</v>
      </c>
      <c r="T33" s="15">
        <f t="shared" si="5"/>
        <v>0.14753147838800001</v>
      </c>
      <c r="U33" s="13">
        <f t="shared" si="6"/>
        <v>0.65581055668799992</v>
      </c>
      <c r="V33" s="13">
        <f t="shared" si="7"/>
        <v>1.4858857999999999</v>
      </c>
      <c r="W33" s="15">
        <f t="shared" si="8"/>
        <v>2.5182656685984003E-2</v>
      </c>
      <c r="X33" s="15">
        <f t="shared" si="9"/>
        <v>0.14097558042288003</v>
      </c>
      <c r="Y33" s="15">
        <f t="shared" si="54"/>
        <v>0.22129721758199999</v>
      </c>
      <c r="Z33" s="14">
        <f t="shared" si="10"/>
        <v>0.983715835032</v>
      </c>
      <c r="AA33" s="14">
        <f t="shared" si="11"/>
        <v>10.401200599999999</v>
      </c>
      <c r="AB33" s="13">
        <f t="shared" si="12"/>
        <v>3.7773985028975998E-2</v>
      </c>
      <c r="AC33" s="14">
        <f t="shared" si="13"/>
        <v>0.21146337063432002</v>
      </c>
      <c r="AD33" s="13">
        <f t="shared" si="55"/>
        <v>0.19098087206084907</v>
      </c>
      <c r="AE33" s="15">
        <f t="shared" si="56"/>
        <v>6.1263440000000002E-2</v>
      </c>
      <c r="AF33" s="10">
        <v>0.112</v>
      </c>
      <c r="AG33" s="16">
        <v>1.5</v>
      </c>
      <c r="AH33" s="16">
        <v>1.4</v>
      </c>
      <c r="AI33" s="16">
        <v>18.100000000000001</v>
      </c>
      <c r="AJ33" s="17">
        <v>80.5</v>
      </c>
      <c r="AK33" s="12">
        <v>2.3333333333333335</v>
      </c>
      <c r="AL33" s="12">
        <f t="shared" si="14"/>
        <v>0.42453879999999999</v>
      </c>
      <c r="AM33" s="12">
        <f t="shared" si="57"/>
        <v>0.63680819999999994</v>
      </c>
      <c r="AN33" s="18">
        <f t="shared" si="15"/>
        <v>8.9153147999999974E-3</v>
      </c>
      <c r="AO33" s="8">
        <f t="shared" si="16"/>
        <v>0.1152622842</v>
      </c>
      <c r="AP33" s="12">
        <f t="shared" si="17"/>
        <v>0.51263060100000002</v>
      </c>
      <c r="AQ33" s="12">
        <f t="shared" si="18"/>
        <v>1.4858857999999999</v>
      </c>
      <c r="AR33" s="18">
        <f t="shared" si="19"/>
        <v>1.7295710712000003E-2</v>
      </c>
      <c r="AS33" s="8">
        <f t="shared" si="20"/>
        <v>9.8915417706000014E-2</v>
      </c>
      <c r="AT33" s="8">
        <f t="shared" si="21"/>
        <v>0.17289342629999999</v>
      </c>
      <c r="AU33" s="8">
        <f t="shared" si="22"/>
        <v>0.76894590149999997</v>
      </c>
      <c r="AV33" s="8">
        <f t="shared" si="23"/>
        <v>10.401200599999999</v>
      </c>
      <c r="AW33" s="8">
        <f t="shared" si="24"/>
        <v>2.5943566067999996E-2</v>
      </c>
      <c r="AX33" s="8">
        <f t="shared" si="25"/>
        <v>0.14837312655900001</v>
      </c>
      <c r="AY33" s="495">
        <f t="shared" si="58"/>
        <v>0.19122572002679167</v>
      </c>
      <c r="AZ33" s="8">
        <f t="shared" si="59"/>
        <v>3.2759999999999997E-2</v>
      </c>
      <c r="BA33" s="6">
        <v>1.5</v>
      </c>
      <c r="BB33" s="6">
        <v>1.5</v>
      </c>
      <c r="BC33" s="6">
        <v>7</v>
      </c>
      <c r="BD33" s="15">
        <v>7.0000000000000007E-2</v>
      </c>
      <c r="BE33" s="9">
        <v>0.28000000000000003</v>
      </c>
      <c r="BF33" s="9">
        <v>1.7999999999999999E-2</v>
      </c>
      <c r="BG33" s="9">
        <v>0.13</v>
      </c>
      <c r="BH33" s="28">
        <f t="shared" si="26"/>
        <v>4.5628800000000009E-3</v>
      </c>
      <c r="BI33" s="15">
        <f t="shared" si="27"/>
        <v>2.6095440000000004E-2</v>
      </c>
      <c r="BJ33" s="13">
        <v>16</v>
      </c>
      <c r="BK33" s="13">
        <v>1.1000000000000001</v>
      </c>
      <c r="BL33" s="14">
        <v>2</v>
      </c>
      <c r="BM33" s="14">
        <v>26</v>
      </c>
      <c r="BN33" s="14">
        <v>72</v>
      </c>
      <c r="BO33" s="8">
        <f t="shared" si="28"/>
        <v>6.7926208000000002E-2</v>
      </c>
      <c r="BP33" s="8">
        <f t="shared" si="29"/>
        <v>7.4718828800000012E-2</v>
      </c>
      <c r="BQ33" s="8">
        <f t="shared" si="30"/>
        <v>1.4943765760000003E-3</v>
      </c>
      <c r="BR33" s="8">
        <f t="shared" si="31"/>
        <v>1.9426895488000005E-2</v>
      </c>
      <c r="BS33" s="8">
        <f t="shared" si="32"/>
        <v>5.3797556736000007E-2</v>
      </c>
      <c r="BT33" s="18">
        <f t="shared" si="33"/>
        <v>4.0856255587840007E-3</v>
      </c>
      <c r="BU33" s="8">
        <f t="shared" si="34"/>
        <v>2.0577565451520001E-2</v>
      </c>
      <c r="BV33" s="8">
        <f t="shared" si="35"/>
        <v>2.9140343232000009E-2</v>
      </c>
      <c r="BW33" s="8">
        <f t="shared" si="36"/>
        <v>8.0696335104000011E-2</v>
      </c>
      <c r="BX33" s="18">
        <f t="shared" si="37"/>
        <v>6.128438338176001E-3</v>
      </c>
      <c r="BY33" s="8">
        <f t="shared" si="38"/>
        <v>3.0866348177280005E-2</v>
      </c>
      <c r="BZ33" s="12">
        <f t="shared" si="60"/>
        <v>0.28000000000000003</v>
      </c>
      <c r="CA33" s="12">
        <f t="shared" si="61"/>
        <v>0.29067114093959734</v>
      </c>
      <c r="CB33" s="6">
        <v>1.5</v>
      </c>
      <c r="CC33" s="6">
        <v>1.5</v>
      </c>
      <c r="CD33" s="15">
        <v>0.13</v>
      </c>
      <c r="CE33" s="9">
        <v>0.45</v>
      </c>
      <c r="CF33" s="9">
        <v>2.9000000000000001E-2</v>
      </c>
      <c r="CG33" s="11">
        <v>0.22</v>
      </c>
      <c r="CH33" s="28">
        <f t="shared" si="62"/>
        <v>1.0778521600000002E-3</v>
      </c>
      <c r="CI33" s="15">
        <f t="shared" si="39"/>
        <v>5.4286848000000007E-3</v>
      </c>
      <c r="CJ33" s="13">
        <v>22</v>
      </c>
      <c r="CK33" s="13">
        <v>1.1000000000000001</v>
      </c>
      <c r="CL33" s="14">
        <v>0.5</v>
      </c>
      <c r="CM33" s="14">
        <v>12.5</v>
      </c>
      <c r="CN33" s="14">
        <v>87</v>
      </c>
      <c r="CO33" s="8">
        <f t="shared" si="40"/>
        <v>9.3398536000000004E-2</v>
      </c>
      <c r="CP33" s="8">
        <f t="shared" si="41"/>
        <v>0.10273838960000001</v>
      </c>
      <c r="CQ33" s="18">
        <f t="shared" si="42"/>
        <v>5.1369194800000005E-4</v>
      </c>
      <c r="CR33" s="8">
        <f t="shared" si="43"/>
        <v>1.2842298700000001E-2</v>
      </c>
      <c r="CS33" s="8">
        <f t="shared" si="44"/>
        <v>8.9382398952000008E-2</v>
      </c>
      <c r="CT33" s="18">
        <f t="shared" si="45"/>
        <v>3.8013204152000006E-3</v>
      </c>
      <c r="CU33" s="8">
        <f t="shared" si="46"/>
        <v>2.148259726536E-2</v>
      </c>
      <c r="CV33" s="8">
        <f t="shared" si="47"/>
        <v>1.926344805E-2</v>
      </c>
      <c r="CW33" s="8">
        <f t="shared" si="48"/>
        <v>0.13407359842800001</v>
      </c>
      <c r="CX33" s="18">
        <f t="shared" si="49"/>
        <v>5.7019806228000005E-3</v>
      </c>
      <c r="CY33" s="8">
        <f t="shared" si="50"/>
        <v>3.2223895898039999E-2</v>
      </c>
      <c r="CZ33" s="12">
        <f t="shared" si="51"/>
        <v>0.13</v>
      </c>
      <c r="DA33" s="12">
        <f t="shared" si="63"/>
        <v>0.21278797996661103</v>
      </c>
      <c r="DB33" s="6">
        <v>1.5</v>
      </c>
      <c r="DC33" s="6">
        <v>1.5</v>
      </c>
      <c r="DD33" s="9">
        <v>0.122</v>
      </c>
      <c r="DE33" s="9">
        <v>0.42</v>
      </c>
      <c r="DF33" s="15">
        <v>2.5000000000000001E-2</v>
      </c>
      <c r="DG33" s="13">
        <v>0.18</v>
      </c>
      <c r="DH33" s="28">
        <f t="shared" si="52"/>
        <v>1.0028480000000002E-3</v>
      </c>
      <c r="DI33" s="29">
        <f t="shared" si="53"/>
        <v>5.6674464000000006E-3</v>
      </c>
    </row>
    <row r="34" spans="1:113" x14ac:dyDescent="0.25">
      <c r="A34" s="85">
        <v>26</v>
      </c>
      <c r="B34" s="35" t="s">
        <v>26</v>
      </c>
      <c r="C34" s="35" t="s">
        <v>24</v>
      </c>
      <c r="D34" s="31" t="s">
        <v>181</v>
      </c>
      <c r="E34" s="9">
        <v>2</v>
      </c>
      <c r="F34" s="11">
        <v>50</v>
      </c>
      <c r="G34" s="36" t="s">
        <v>164</v>
      </c>
      <c r="H34" s="19" t="s">
        <v>99</v>
      </c>
      <c r="I34" s="31" t="s">
        <v>99</v>
      </c>
      <c r="J34" s="32" t="s">
        <v>99</v>
      </c>
      <c r="K34" s="2" t="str">
        <f t="shared" si="0"/>
        <v>Statlig Tätort VV 50 &lt;5,7 - -</v>
      </c>
      <c r="L34" s="2"/>
      <c r="M34" s="32" t="s">
        <v>99</v>
      </c>
      <c r="N34" s="53">
        <f>'Beräkna - Länk'!$C$26</f>
        <v>1</v>
      </c>
      <c r="O34" s="53">
        <f>'Beräkna - Länk'!$C$24/('Beräkna - Länk'!$C$27)^('Beräkna - Länk'!$C$25-2010)</f>
        <v>10385</v>
      </c>
      <c r="P34" s="13">
        <f t="shared" si="1"/>
        <v>3.7905249999999997</v>
      </c>
      <c r="Q34" s="13">
        <f t="shared" si="2"/>
        <v>0.6958721605499999</v>
      </c>
      <c r="R34" s="13">
        <f t="shared" si="3"/>
        <v>1.0086939543824998</v>
      </c>
      <c r="S34" s="28">
        <f t="shared" si="4"/>
        <v>1.4627478668212497E-2</v>
      </c>
      <c r="T34" s="15">
        <f t="shared" si="5"/>
        <v>0.14561873209143747</v>
      </c>
      <c r="U34" s="13">
        <f t="shared" si="6"/>
        <v>0.8484477436228498</v>
      </c>
      <c r="V34" s="13">
        <f t="shared" si="7"/>
        <v>1.9205073964999999</v>
      </c>
      <c r="W34" s="15">
        <f t="shared" si="8"/>
        <v>2.8955112863583515E-2</v>
      </c>
      <c r="X34" s="15">
        <f t="shared" si="9"/>
        <v>0.16651221621466761</v>
      </c>
      <c r="Y34" s="15">
        <f t="shared" si="54"/>
        <v>0.21842809813715622</v>
      </c>
      <c r="Z34" s="14">
        <f t="shared" si="10"/>
        <v>1.2726716154342745</v>
      </c>
      <c r="AA34" s="14">
        <f t="shared" si="11"/>
        <v>13.4435517755</v>
      </c>
      <c r="AB34" s="13">
        <f t="shared" si="12"/>
        <v>4.3432669295375287E-2</v>
      </c>
      <c r="AC34" s="14">
        <f t="shared" si="13"/>
        <v>0.24976832432200138</v>
      </c>
      <c r="AD34" s="13">
        <f t="shared" si="55"/>
        <v>0.15477941688674562</v>
      </c>
      <c r="AE34" s="15">
        <f t="shared" si="56"/>
        <v>6.1483719749999992E-2</v>
      </c>
      <c r="AF34" s="15">
        <v>0.14099999999999999</v>
      </c>
      <c r="AG34" s="13">
        <v>1.54</v>
      </c>
      <c r="AH34" s="16">
        <v>1.3</v>
      </c>
      <c r="AI34" s="16">
        <v>12.7</v>
      </c>
      <c r="AJ34" s="17">
        <v>86</v>
      </c>
      <c r="AK34" s="12">
        <v>2.3333333333333335</v>
      </c>
      <c r="AL34" s="12">
        <f t="shared" si="14"/>
        <v>0.5344640249999999</v>
      </c>
      <c r="AM34" s="12">
        <f t="shared" si="57"/>
        <v>0.82307459849999987</v>
      </c>
      <c r="AN34" s="18">
        <f t="shared" si="15"/>
        <v>1.0699969780499998E-2</v>
      </c>
      <c r="AO34" s="8">
        <f t="shared" si="16"/>
        <v>0.10453047400949998</v>
      </c>
      <c r="AP34" s="12">
        <f t="shared" si="17"/>
        <v>0.70784415470999984</v>
      </c>
      <c r="AQ34" s="12">
        <f t="shared" si="18"/>
        <v>1.9205073964999999</v>
      </c>
      <c r="AR34" s="18">
        <f t="shared" si="19"/>
        <v>2.0058327965444996E-2</v>
      </c>
      <c r="AS34" s="8">
        <f t="shared" si="20"/>
        <v>0.12128827283495998</v>
      </c>
      <c r="AT34" s="8">
        <f t="shared" si="21"/>
        <v>0.15679571101424997</v>
      </c>
      <c r="AU34" s="8">
        <f t="shared" si="22"/>
        <v>1.0617662320649996</v>
      </c>
      <c r="AV34" s="8">
        <f t="shared" si="23"/>
        <v>13.4435517755</v>
      </c>
      <c r="AW34" s="8">
        <f t="shared" si="24"/>
        <v>3.008749194816749E-2</v>
      </c>
      <c r="AX34" s="8">
        <f t="shared" si="25"/>
        <v>0.18193240925243995</v>
      </c>
      <c r="AY34" s="495">
        <f t="shared" si="58"/>
        <v>0.13625711416136593</v>
      </c>
      <c r="AZ34" s="8">
        <f t="shared" si="59"/>
        <v>3.0399599999999999E-2</v>
      </c>
      <c r="BA34" s="6">
        <v>1.5</v>
      </c>
      <c r="BB34" s="6">
        <v>1.5</v>
      </c>
      <c r="BC34" s="6">
        <v>7</v>
      </c>
      <c r="BD34" s="15">
        <v>7.0000000000000007E-2</v>
      </c>
      <c r="BE34" s="9">
        <v>0.28000000000000003</v>
      </c>
      <c r="BF34" s="9">
        <v>1.7999999999999999E-2</v>
      </c>
      <c r="BG34" s="9">
        <v>0.13</v>
      </c>
      <c r="BH34" s="28">
        <f t="shared" si="26"/>
        <v>5.2917017999999996E-3</v>
      </c>
      <c r="BI34" s="15">
        <f t="shared" si="27"/>
        <v>3.1997750399999997E-2</v>
      </c>
      <c r="BJ34" s="13">
        <v>12.2</v>
      </c>
      <c r="BK34" s="13">
        <v>1.1499999999999999</v>
      </c>
      <c r="BL34" s="14">
        <v>4.5</v>
      </c>
      <c r="BM34" s="14">
        <v>27.5</v>
      </c>
      <c r="BN34" s="14">
        <v>68</v>
      </c>
      <c r="BO34" s="8">
        <f t="shared" si="28"/>
        <v>6.5204611049999986E-2</v>
      </c>
      <c r="BP34" s="8">
        <f t="shared" si="29"/>
        <v>7.4985302707499979E-2</v>
      </c>
      <c r="BQ34" s="8">
        <f t="shared" si="30"/>
        <v>3.3743386218374988E-3</v>
      </c>
      <c r="BR34" s="8">
        <f t="shared" si="31"/>
        <v>2.0620958244562497E-2</v>
      </c>
      <c r="BS34" s="8">
        <f t="shared" si="32"/>
        <v>5.0990005841099986E-2</v>
      </c>
      <c r="BT34" s="18">
        <f t="shared" si="33"/>
        <v>4.159434741185024E-3</v>
      </c>
      <c r="BU34" s="8">
        <f t="shared" si="34"/>
        <v>2.0497232495095122E-2</v>
      </c>
      <c r="BV34" s="8">
        <f t="shared" si="35"/>
        <v>3.0931437366843745E-2</v>
      </c>
      <c r="BW34" s="8">
        <f t="shared" si="36"/>
        <v>7.6485008761649986E-2</v>
      </c>
      <c r="BX34" s="18">
        <f t="shared" si="37"/>
        <v>6.2391521117775364E-3</v>
      </c>
      <c r="BY34" s="8">
        <f t="shared" si="38"/>
        <v>3.0745848742642683E-2</v>
      </c>
      <c r="BZ34" s="12">
        <f t="shared" si="60"/>
        <v>0.32</v>
      </c>
      <c r="CA34" s="12">
        <f t="shared" si="61"/>
        <v>0.30796954314720809</v>
      </c>
      <c r="CB34" s="6">
        <v>1.5</v>
      </c>
      <c r="CC34" s="6">
        <v>1.5</v>
      </c>
      <c r="CD34" s="15">
        <v>0.13</v>
      </c>
      <c r="CE34" s="9">
        <v>0.45</v>
      </c>
      <c r="CF34" s="9">
        <v>2.9000000000000001E-2</v>
      </c>
      <c r="CG34" s="11">
        <v>0.22</v>
      </c>
      <c r="CH34" s="28">
        <f t="shared" si="62"/>
        <v>1.0973241809999999E-3</v>
      </c>
      <c r="CI34" s="15">
        <f t="shared" si="39"/>
        <v>5.4074917049999997E-3</v>
      </c>
      <c r="CJ34" s="13">
        <v>18</v>
      </c>
      <c r="CK34" s="13">
        <v>1.1499999999999999</v>
      </c>
      <c r="CL34" s="14">
        <v>0.5</v>
      </c>
      <c r="CM34" s="14">
        <v>18.5</v>
      </c>
      <c r="CN34" s="14">
        <v>81</v>
      </c>
      <c r="CO34" s="8">
        <f t="shared" si="40"/>
        <v>9.6203524499999984E-2</v>
      </c>
      <c r="CP34" s="8">
        <f t="shared" si="41"/>
        <v>0.11063405317499997</v>
      </c>
      <c r="CQ34" s="18">
        <f t="shared" si="42"/>
        <v>5.5317026587499982E-4</v>
      </c>
      <c r="CR34" s="8">
        <f t="shared" si="43"/>
        <v>2.0467299837374994E-2</v>
      </c>
      <c r="CS34" s="8">
        <f t="shared" si="44"/>
        <v>8.9613583071749978E-2</v>
      </c>
      <c r="CT34" s="18">
        <f t="shared" si="45"/>
        <v>4.7373501569534984E-3</v>
      </c>
      <c r="CU34" s="8">
        <f t="shared" si="46"/>
        <v>2.4726710884612493E-2</v>
      </c>
      <c r="CV34" s="8">
        <f t="shared" si="47"/>
        <v>3.0700949756062489E-2</v>
      </c>
      <c r="CW34" s="8">
        <f t="shared" si="48"/>
        <v>0.13442037460762496</v>
      </c>
      <c r="CX34" s="18">
        <f t="shared" si="49"/>
        <v>7.1060252354302475E-3</v>
      </c>
      <c r="CY34" s="8">
        <f t="shared" si="50"/>
        <v>3.709006632691874E-2</v>
      </c>
      <c r="CZ34" s="12">
        <f t="shared" si="51"/>
        <v>0.19</v>
      </c>
      <c r="DA34" s="12">
        <f t="shared" si="63"/>
        <v>0.22721202003338897</v>
      </c>
      <c r="DB34" s="6">
        <v>1.5</v>
      </c>
      <c r="DC34" s="6">
        <v>1.5</v>
      </c>
      <c r="DD34" s="9">
        <v>0.122</v>
      </c>
      <c r="DE34" s="9">
        <v>0.42</v>
      </c>
      <c r="DF34" s="15">
        <v>2.5000000000000001E-2</v>
      </c>
      <c r="DG34" s="13">
        <v>0.18</v>
      </c>
      <c r="DH34" s="28">
        <f t="shared" si="52"/>
        <v>1.2497873399999998E-3</v>
      </c>
      <c r="DI34" s="29">
        <f t="shared" si="53"/>
        <v>6.5232944999999987E-3</v>
      </c>
    </row>
    <row r="35" spans="1:113" x14ac:dyDescent="0.25">
      <c r="A35" s="85">
        <v>27</v>
      </c>
      <c r="B35" s="35" t="s">
        <v>26</v>
      </c>
      <c r="C35" s="35" t="s">
        <v>24</v>
      </c>
      <c r="D35" s="31" t="s">
        <v>181</v>
      </c>
      <c r="E35" s="9">
        <v>2</v>
      </c>
      <c r="F35" s="11">
        <v>50</v>
      </c>
      <c r="G35" s="37" t="s">
        <v>114</v>
      </c>
      <c r="H35" s="19" t="s">
        <v>99</v>
      </c>
      <c r="I35" s="31" t="s">
        <v>99</v>
      </c>
      <c r="J35" s="32" t="s">
        <v>99</v>
      </c>
      <c r="K35" s="2" t="str">
        <f t="shared" si="0"/>
        <v>Statlig Tätort VV 50 5,7-6,6 - -</v>
      </c>
      <c r="L35" s="2"/>
      <c r="M35" s="32" t="s">
        <v>99</v>
      </c>
      <c r="N35" s="53">
        <f>'Beräkna - Länk'!$C$26</f>
        <v>1</v>
      </c>
      <c r="O35" s="53">
        <f>'Beräkna - Länk'!$C$24/('Beräkna - Länk'!$C$27)^('Beräkna - Länk'!$C$25-2010)</f>
        <v>10385</v>
      </c>
      <c r="P35" s="13">
        <f t="shared" si="1"/>
        <v>3.7905249999999997</v>
      </c>
      <c r="Q35" s="13">
        <f t="shared" si="2"/>
        <v>0.6958721605499999</v>
      </c>
      <c r="R35" s="13">
        <f t="shared" si="3"/>
        <v>1.0086939543824998</v>
      </c>
      <c r="S35" s="28">
        <f t="shared" si="4"/>
        <v>1.4627478668212497E-2</v>
      </c>
      <c r="T35" s="15">
        <f t="shared" si="5"/>
        <v>0.14561873209143747</v>
      </c>
      <c r="U35" s="13">
        <f t="shared" si="6"/>
        <v>0.8484477436228498</v>
      </c>
      <c r="V35" s="13">
        <f t="shared" si="7"/>
        <v>1.9205073964999999</v>
      </c>
      <c r="W35" s="15">
        <f t="shared" si="8"/>
        <v>2.8955112863583515E-2</v>
      </c>
      <c r="X35" s="15">
        <f t="shared" si="9"/>
        <v>0.16651221621466761</v>
      </c>
      <c r="Y35" s="15">
        <f t="shared" si="54"/>
        <v>0.21842809813715622</v>
      </c>
      <c r="Z35" s="14">
        <f t="shared" si="10"/>
        <v>1.2726716154342745</v>
      </c>
      <c r="AA35" s="14">
        <f t="shared" si="11"/>
        <v>13.4435517755</v>
      </c>
      <c r="AB35" s="13">
        <f t="shared" si="12"/>
        <v>4.3432669295375287E-2</v>
      </c>
      <c r="AC35" s="14">
        <f t="shared" si="13"/>
        <v>0.24976832432200138</v>
      </c>
      <c r="AD35" s="13">
        <f t="shared" si="55"/>
        <v>0.15477941688674562</v>
      </c>
      <c r="AE35" s="15">
        <f t="shared" si="56"/>
        <v>6.1483719749999992E-2</v>
      </c>
      <c r="AF35" s="15">
        <v>0.14099999999999999</v>
      </c>
      <c r="AG35" s="13">
        <v>1.54</v>
      </c>
      <c r="AH35" s="16">
        <v>1.3</v>
      </c>
      <c r="AI35" s="16">
        <v>12.7</v>
      </c>
      <c r="AJ35" s="17">
        <v>86</v>
      </c>
      <c r="AK35" s="12">
        <v>2.3333333333333335</v>
      </c>
      <c r="AL35" s="12">
        <f t="shared" si="14"/>
        <v>0.5344640249999999</v>
      </c>
      <c r="AM35" s="12">
        <f t="shared" si="57"/>
        <v>0.82307459849999987</v>
      </c>
      <c r="AN35" s="18">
        <f t="shared" si="15"/>
        <v>1.0699969780499998E-2</v>
      </c>
      <c r="AO35" s="8">
        <f t="shared" si="16"/>
        <v>0.10453047400949998</v>
      </c>
      <c r="AP35" s="12">
        <f t="shared" si="17"/>
        <v>0.70784415470999984</v>
      </c>
      <c r="AQ35" s="12">
        <f t="shared" si="18"/>
        <v>1.9205073964999999</v>
      </c>
      <c r="AR35" s="18">
        <f t="shared" si="19"/>
        <v>2.0058327965444996E-2</v>
      </c>
      <c r="AS35" s="8">
        <f t="shared" si="20"/>
        <v>0.12128827283495998</v>
      </c>
      <c r="AT35" s="8">
        <f t="shared" si="21"/>
        <v>0.15679571101424997</v>
      </c>
      <c r="AU35" s="8">
        <f t="shared" si="22"/>
        <v>1.0617662320649996</v>
      </c>
      <c r="AV35" s="8">
        <f t="shared" si="23"/>
        <v>13.4435517755</v>
      </c>
      <c r="AW35" s="8">
        <f t="shared" si="24"/>
        <v>3.008749194816749E-2</v>
      </c>
      <c r="AX35" s="8">
        <f t="shared" si="25"/>
        <v>0.18193240925243995</v>
      </c>
      <c r="AY35" s="495">
        <f t="shared" si="58"/>
        <v>0.13625711416136593</v>
      </c>
      <c r="AZ35" s="8">
        <f t="shared" si="59"/>
        <v>3.0399599999999999E-2</v>
      </c>
      <c r="BA35" s="6">
        <v>1.5</v>
      </c>
      <c r="BB35" s="6">
        <v>1.5</v>
      </c>
      <c r="BC35" s="6">
        <v>7</v>
      </c>
      <c r="BD35" s="15">
        <v>7.0000000000000007E-2</v>
      </c>
      <c r="BE35" s="9">
        <v>0.28000000000000003</v>
      </c>
      <c r="BF35" s="9">
        <v>1.7999999999999999E-2</v>
      </c>
      <c r="BG35" s="9">
        <v>0.13</v>
      </c>
      <c r="BH35" s="28">
        <f t="shared" si="26"/>
        <v>5.2917017999999996E-3</v>
      </c>
      <c r="BI35" s="15">
        <f t="shared" si="27"/>
        <v>3.1997750399999997E-2</v>
      </c>
      <c r="BJ35" s="13">
        <v>12.2</v>
      </c>
      <c r="BK35" s="13">
        <v>1.1499999999999999</v>
      </c>
      <c r="BL35" s="14">
        <v>4.5</v>
      </c>
      <c r="BM35" s="14">
        <v>27.5</v>
      </c>
      <c r="BN35" s="14">
        <v>68</v>
      </c>
      <c r="BO35" s="8">
        <f t="shared" si="28"/>
        <v>6.5204611049999986E-2</v>
      </c>
      <c r="BP35" s="8">
        <f t="shared" si="29"/>
        <v>7.4985302707499979E-2</v>
      </c>
      <c r="BQ35" s="8">
        <f t="shared" si="30"/>
        <v>3.3743386218374988E-3</v>
      </c>
      <c r="BR35" s="8">
        <f t="shared" si="31"/>
        <v>2.0620958244562497E-2</v>
      </c>
      <c r="BS35" s="8">
        <f t="shared" si="32"/>
        <v>5.0990005841099986E-2</v>
      </c>
      <c r="BT35" s="18">
        <f t="shared" si="33"/>
        <v>4.159434741185024E-3</v>
      </c>
      <c r="BU35" s="8">
        <f t="shared" si="34"/>
        <v>2.0497232495095122E-2</v>
      </c>
      <c r="BV35" s="8">
        <f t="shared" si="35"/>
        <v>3.0931437366843745E-2</v>
      </c>
      <c r="BW35" s="8">
        <f t="shared" si="36"/>
        <v>7.6485008761649986E-2</v>
      </c>
      <c r="BX35" s="18">
        <f t="shared" si="37"/>
        <v>6.2391521117775364E-3</v>
      </c>
      <c r="BY35" s="8">
        <f t="shared" si="38"/>
        <v>3.0745848742642683E-2</v>
      </c>
      <c r="BZ35" s="12">
        <f t="shared" si="60"/>
        <v>0.32</v>
      </c>
      <c r="CA35" s="12">
        <f t="shared" si="61"/>
        <v>0.30796954314720809</v>
      </c>
      <c r="CB35" s="6">
        <v>1.5</v>
      </c>
      <c r="CC35" s="6">
        <v>1.5</v>
      </c>
      <c r="CD35" s="15">
        <v>0.13</v>
      </c>
      <c r="CE35" s="9">
        <v>0.45</v>
      </c>
      <c r="CF35" s="9">
        <v>2.9000000000000001E-2</v>
      </c>
      <c r="CG35" s="11">
        <v>0.22</v>
      </c>
      <c r="CH35" s="28">
        <f t="shared" si="62"/>
        <v>1.0973241809999999E-3</v>
      </c>
      <c r="CI35" s="15">
        <f t="shared" si="39"/>
        <v>5.4074917049999997E-3</v>
      </c>
      <c r="CJ35" s="13">
        <v>18</v>
      </c>
      <c r="CK35" s="13">
        <v>1.1499999999999999</v>
      </c>
      <c r="CL35" s="14">
        <v>0.5</v>
      </c>
      <c r="CM35" s="14">
        <v>18.5</v>
      </c>
      <c r="CN35" s="7">
        <v>81</v>
      </c>
      <c r="CO35" s="8">
        <f t="shared" si="40"/>
        <v>9.6203524499999984E-2</v>
      </c>
      <c r="CP35" s="8">
        <f t="shared" si="41"/>
        <v>0.11063405317499997</v>
      </c>
      <c r="CQ35" s="18">
        <f t="shared" si="42"/>
        <v>5.5317026587499982E-4</v>
      </c>
      <c r="CR35" s="8">
        <f t="shared" si="43"/>
        <v>2.0467299837374994E-2</v>
      </c>
      <c r="CS35" s="8">
        <f t="shared" si="44"/>
        <v>8.9613583071749978E-2</v>
      </c>
      <c r="CT35" s="18">
        <f t="shared" si="45"/>
        <v>4.7373501569534984E-3</v>
      </c>
      <c r="CU35" s="8">
        <f t="shared" si="46"/>
        <v>2.4726710884612493E-2</v>
      </c>
      <c r="CV35" s="8">
        <f t="shared" si="47"/>
        <v>3.0700949756062489E-2</v>
      </c>
      <c r="CW35" s="8">
        <f t="shared" si="48"/>
        <v>0.13442037460762496</v>
      </c>
      <c r="CX35" s="18">
        <f t="shared" si="49"/>
        <v>7.1060252354302475E-3</v>
      </c>
      <c r="CY35" s="8">
        <f t="shared" si="50"/>
        <v>3.709006632691874E-2</v>
      </c>
      <c r="CZ35" s="12">
        <f t="shared" si="51"/>
        <v>0.19</v>
      </c>
      <c r="DA35" s="12">
        <f t="shared" si="63"/>
        <v>0.22721202003338897</v>
      </c>
      <c r="DB35" s="6">
        <v>1.5</v>
      </c>
      <c r="DC35" s="6">
        <v>1.5</v>
      </c>
      <c r="DD35" s="9">
        <v>0.122</v>
      </c>
      <c r="DE35" s="9">
        <v>0.42</v>
      </c>
      <c r="DF35" s="15">
        <v>2.5000000000000001E-2</v>
      </c>
      <c r="DG35" s="13">
        <v>0.18</v>
      </c>
      <c r="DH35" s="28">
        <f t="shared" si="52"/>
        <v>1.2497873399999998E-3</v>
      </c>
      <c r="DI35" s="29">
        <f t="shared" si="53"/>
        <v>6.5232944999999987E-3</v>
      </c>
    </row>
    <row r="36" spans="1:113" x14ac:dyDescent="0.25">
      <c r="A36" s="85">
        <v>28</v>
      </c>
      <c r="B36" s="35" t="s">
        <v>26</v>
      </c>
      <c r="C36" s="35" t="s">
        <v>24</v>
      </c>
      <c r="D36" s="31" t="s">
        <v>181</v>
      </c>
      <c r="E36" s="9">
        <v>2</v>
      </c>
      <c r="F36" s="11">
        <v>50</v>
      </c>
      <c r="G36" s="37" t="s">
        <v>111</v>
      </c>
      <c r="H36" s="19" t="s">
        <v>99</v>
      </c>
      <c r="I36" s="31" t="s">
        <v>99</v>
      </c>
      <c r="J36" s="32" t="s">
        <v>99</v>
      </c>
      <c r="K36" s="2" t="str">
        <f t="shared" si="0"/>
        <v>Statlig Tätort VV 50 6,7-7,9 - -</v>
      </c>
      <c r="L36" s="2"/>
      <c r="M36" s="32" t="s">
        <v>99</v>
      </c>
      <c r="N36" s="53">
        <f>'Beräkna - Länk'!$C$26</f>
        <v>1</v>
      </c>
      <c r="O36" s="53">
        <f>'Beräkna - Länk'!$C$24/('Beräkna - Länk'!$C$27)^('Beräkna - Länk'!$C$25-2010)</f>
        <v>10385</v>
      </c>
      <c r="P36" s="13">
        <f t="shared" si="1"/>
        <v>3.7905249999999997</v>
      </c>
      <c r="Q36" s="13">
        <f t="shared" si="2"/>
        <v>0.6958721605499999</v>
      </c>
      <c r="R36" s="13">
        <f t="shared" si="3"/>
        <v>1.0086939543824998</v>
      </c>
      <c r="S36" s="28">
        <f t="shared" si="4"/>
        <v>1.4627478668212497E-2</v>
      </c>
      <c r="T36" s="15">
        <f t="shared" si="5"/>
        <v>0.14561873209143747</v>
      </c>
      <c r="U36" s="13">
        <f t="shared" si="6"/>
        <v>0.8484477436228498</v>
      </c>
      <c r="V36" s="13">
        <f t="shared" si="7"/>
        <v>1.9205073964999999</v>
      </c>
      <c r="W36" s="15">
        <f t="shared" si="8"/>
        <v>2.8955112863583515E-2</v>
      </c>
      <c r="X36" s="15">
        <f t="shared" si="9"/>
        <v>0.16651221621466761</v>
      </c>
      <c r="Y36" s="15">
        <f t="shared" si="54"/>
        <v>0.21842809813715622</v>
      </c>
      <c r="Z36" s="14">
        <f t="shared" si="10"/>
        <v>1.2726716154342745</v>
      </c>
      <c r="AA36" s="14">
        <f t="shared" si="11"/>
        <v>13.4435517755</v>
      </c>
      <c r="AB36" s="13">
        <f t="shared" si="12"/>
        <v>4.3432669295375287E-2</v>
      </c>
      <c r="AC36" s="14">
        <f t="shared" si="13"/>
        <v>0.24976832432200138</v>
      </c>
      <c r="AD36" s="13">
        <f t="shared" si="55"/>
        <v>0.15477941688674562</v>
      </c>
      <c r="AE36" s="15">
        <f t="shared" si="56"/>
        <v>6.1483719749999992E-2</v>
      </c>
      <c r="AF36" s="15">
        <v>0.14099999999999999</v>
      </c>
      <c r="AG36" s="13">
        <v>1.54</v>
      </c>
      <c r="AH36" s="16">
        <v>1.3</v>
      </c>
      <c r="AI36" s="16">
        <v>12.7</v>
      </c>
      <c r="AJ36" s="17">
        <v>86</v>
      </c>
      <c r="AK36" s="12">
        <v>2.3333333333333335</v>
      </c>
      <c r="AL36" s="12">
        <f t="shared" si="14"/>
        <v>0.5344640249999999</v>
      </c>
      <c r="AM36" s="12">
        <f t="shared" si="57"/>
        <v>0.82307459849999987</v>
      </c>
      <c r="AN36" s="18">
        <f t="shared" si="15"/>
        <v>1.0699969780499998E-2</v>
      </c>
      <c r="AO36" s="8">
        <f t="shared" si="16"/>
        <v>0.10453047400949998</v>
      </c>
      <c r="AP36" s="12">
        <f t="shared" si="17"/>
        <v>0.70784415470999984</v>
      </c>
      <c r="AQ36" s="12">
        <f t="shared" si="18"/>
        <v>1.9205073964999999</v>
      </c>
      <c r="AR36" s="18">
        <f t="shared" si="19"/>
        <v>2.0058327965444996E-2</v>
      </c>
      <c r="AS36" s="8">
        <f t="shared" si="20"/>
        <v>0.12128827283495998</v>
      </c>
      <c r="AT36" s="8">
        <f t="shared" si="21"/>
        <v>0.15679571101424997</v>
      </c>
      <c r="AU36" s="8">
        <f t="shared" si="22"/>
        <v>1.0617662320649996</v>
      </c>
      <c r="AV36" s="8">
        <f t="shared" si="23"/>
        <v>13.4435517755</v>
      </c>
      <c r="AW36" s="8">
        <f t="shared" si="24"/>
        <v>3.008749194816749E-2</v>
      </c>
      <c r="AX36" s="8">
        <f t="shared" si="25"/>
        <v>0.18193240925243995</v>
      </c>
      <c r="AY36" s="495">
        <f t="shared" si="58"/>
        <v>0.13625711416136593</v>
      </c>
      <c r="AZ36" s="8">
        <f t="shared" si="59"/>
        <v>3.0399599999999999E-2</v>
      </c>
      <c r="BA36" s="6">
        <v>1.5</v>
      </c>
      <c r="BB36" s="6">
        <v>1.5</v>
      </c>
      <c r="BC36" s="6">
        <v>7</v>
      </c>
      <c r="BD36" s="15">
        <v>7.0000000000000007E-2</v>
      </c>
      <c r="BE36" s="9">
        <v>0.28000000000000003</v>
      </c>
      <c r="BF36" s="9">
        <v>1.7999999999999999E-2</v>
      </c>
      <c r="BG36" s="9">
        <v>0.13</v>
      </c>
      <c r="BH36" s="28">
        <f t="shared" si="26"/>
        <v>5.2917017999999996E-3</v>
      </c>
      <c r="BI36" s="15">
        <f t="shared" si="27"/>
        <v>3.1997750399999997E-2</v>
      </c>
      <c r="BJ36" s="13">
        <v>12.2</v>
      </c>
      <c r="BK36" s="13">
        <v>1.1499999999999999</v>
      </c>
      <c r="BL36" s="14">
        <v>4.5</v>
      </c>
      <c r="BM36" s="14">
        <v>27.5</v>
      </c>
      <c r="BN36" s="14">
        <v>68</v>
      </c>
      <c r="BO36" s="8">
        <f t="shared" si="28"/>
        <v>6.5204611049999986E-2</v>
      </c>
      <c r="BP36" s="8">
        <f t="shared" si="29"/>
        <v>7.4985302707499979E-2</v>
      </c>
      <c r="BQ36" s="8">
        <f t="shared" si="30"/>
        <v>3.3743386218374988E-3</v>
      </c>
      <c r="BR36" s="8">
        <f t="shared" si="31"/>
        <v>2.0620958244562497E-2</v>
      </c>
      <c r="BS36" s="8">
        <f t="shared" si="32"/>
        <v>5.0990005841099986E-2</v>
      </c>
      <c r="BT36" s="18">
        <f t="shared" si="33"/>
        <v>4.159434741185024E-3</v>
      </c>
      <c r="BU36" s="8">
        <f t="shared" si="34"/>
        <v>2.0497232495095122E-2</v>
      </c>
      <c r="BV36" s="8">
        <f t="shared" si="35"/>
        <v>3.0931437366843745E-2</v>
      </c>
      <c r="BW36" s="8">
        <f t="shared" si="36"/>
        <v>7.6485008761649986E-2</v>
      </c>
      <c r="BX36" s="18">
        <f t="shared" si="37"/>
        <v>6.2391521117775364E-3</v>
      </c>
      <c r="BY36" s="8">
        <f t="shared" si="38"/>
        <v>3.0745848742642683E-2</v>
      </c>
      <c r="BZ36" s="12">
        <f t="shared" si="60"/>
        <v>0.32</v>
      </c>
      <c r="CA36" s="12">
        <f t="shared" si="61"/>
        <v>0.30796954314720809</v>
      </c>
      <c r="CB36" s="6">
        <v>1.5</v>
      </c>
      <c r="CC36" s="6">
        <v>1.5</v>
      </c>
      <c r="CD36" s="15">
        <v>0.13</v>
      </c>
      <c r="CE36" s="9">
        <v>0.45</v>
      </c>
      <c r="CF36" s="9">
        <v>2.9000000000000001E-2</v>
      </c>
      <c r="CG36" s="11">
        <v>0.22</v>
      </c>
      <c r="CH36" s="28">
        <f t="shared" si="62"/>
        <v>1.0973241809999999E-3</v>
      </c>
      <c r="CI36" s="15">
        <f t="shared" si="39"/>
        <v>5.4074917049999997E-3</v>
      </c>
      <c r="CJ36" s="13">
        <v>18</v>
      </c>
      <c r="CK36" s="13">
        <v>1.1499999999999999</v>
      </c>
      <c r="CL36" s="14">
        <v>0.5</v>
      </c>
      <c r="CM36" s="14">
        <v>18.5</v>
      </c>
      <c r="CN36" s="14">
        <v>81</v>
      </c>
      <c r="CO36" s="8">
        <f t="shared" si="40"/>
        <v>9.6203524499999984E-2</v>
      </c>
      <c r="CP36" s="8">
        <f t="shared" si="41"/>
        <v>0.11063405317499997</v>
      </c>
      <c r="CQ36" s="18">
        <f t="shared" si="42"/>
        <v>5.5317026587499982E-4</v>
      </c>
      <c r="CR36" s="8">
        <f t="shared" si="43"/>
        <v>2.0467299837374994E-2</v>
      </c>
      <c r="CS36" s="8">
        <f t="shared" si="44"/>
        <v>8.9613583071749978E-2</v>
      </c>
      <c r="CT36" s="18">
        <f t="shared" si="45"/>
        <v>4.7373501569534984E-3</v>
      </c>
      <c r="CU36" s="8">
        <f t="shared" si="46"/>
        <v>2.4726710884612493E-2</v>
      </c>
      <c r="CV36" s="8">
        <f t="shared" si="47"/>
        <v>3.0700949756062489E-2</v>
      </c>
      <c r="CW36" s="8">
        <f t="shared" si="48"/>
        <v>0.13442037460762496</v>
      </c>
      <c r="CX36" s="18">
        <f t="shared" si="49"/>
        <v>7.1060252354302475E-3</v>
      </c>
      <c r="CY36" s="8">
        <f t="shared" si="50"/>
        <v>3.709006632691874E-2</v>
      </c>
      <c r="CZ36" s="12">
        <f t="shared" si="51"/>
        <v>0.19</v>
      </c>
      <c r="DA36" s="12">
        <f t="shared" si="63"/>
        <v>0.22721202003338897</v>
      </c>
      <c r="DB36" s="6">
        <v>1.5</v>
      </c>
      <c r="DC36" s="6">
        <v>1.5</v>
      </c>
      <c r="DD36" s="9">
        <v>0.122</v>
      </c>
      <c r="DE36" s="9">
        <v>0.42</v>
      </c>
      <c r="DF36" s="15">
        <v>2.5000000000000001E-2</v>
      </c>
      <c r="DG36" s="13">
        <v>0.18</v>
      </c>
      <c r="DH36" s="28">
        <f t="shared" si="52"/>
        <v>1.2497873399999998E-3</v>
      </c>
      <c r="DI36" s="29">
        <f t="shared" si="53"/>
        <v>6.5232944999999987E-3</v>
      </c>
    </row>
    <row r="37" spans="1:113" x14ac:dyDescent="0.25">
      <c r="A37" s="85">
        <v>29</v>
      </c>
      <c r="B37" s="35" t="s">
        <v>26</v>
      </c>
      <c r="C37" s="35" t="s">
        <v>24</v>
      </c>
      <c r="D37" s="31" t="s">
        <v>181</v>
      </c>
      <c r="E37" s="9">
        <v>2</v>
      </c>
      <c r="F37" s="11">
        <v>50</v>
      </c>
      <c r="G37" s="37" t="s">
        <v>27</v>
      </c>
      <c r="H37" s="19" t="s">
        <v>99</v>
      </c>
      <c r="I37" s="31" t="s">
        <v>99</v>
      </c>
      <c r="J37" s="32" t="s">
        <v>99</v>
      </c>
      <c r="K37" s="2" t="str">
        <f t="shared" si="0"/>
        <v>Statlig Tätort VV 50 8-10 - -</v>
      </c>
      <c r="L37" s="2"/>
      <c r="M37" s="32" t="s">
        <v>99</v>
      </c>
      <c r="N37" s="53">
        <f>'Beräkna - Länk'!$C$26</f>
        <v>1</v>
      </c>
      <c r="O37" s="53">
        <f>'Beräkna - Länk'!$C$24/('Beräkna - Länk'!$C$27)^('Beräkna - Länk'!$C$25-2010)</f>
        <v>10385</v>
      </c>
      <c r="P37" s="13">
        <f t="shared" si="1"/>
        <v>3.7905249999999997</v>
      </c>
      <c r="Q37" s="13">
        <f t="shared" si="2"/>
        <v>0.6958721605499999</v>
      </c>
      <c r="R37" s="13">
        <f t="shared" si="3"/>
        <v>1.0086939543824998</v>
      </c>
      <c r="S37" s="28">
        <f t="shared" si="4"/>
        <v>1.4627478668212497E-2</v>
      </c>
      <c r="T37" s="15">
        <f t="shared" si="5"/>
        <v>0.14561873209143747</v>
      </c>
      <c r="U37" s="13">
        <f t="shared" si="6"/>
        <v>0.8484477436228498</v>
      </c>
      <c r="V37" s="13">
        <f t="shared" si="7"/>
        <v>1.9205073964999999</v>
      </c>
      <c r="W37" s="15">
        <f t="shared" si="8"/>
        <v>2.8955112863583515E-2</v>
      </c>
      <c r="X37" s="15">
        <f t="shared" si="9"/>
        <v>0.16651221621466761</v>
      </c>
      <c r="Y37" s="15">
        <f t="shared" si="54"/>
        <v>0.21842809813715622</v>
      </c>
      <c r="Z37" s="14">
        <f t="shared" si="10"/>
        <v>1.2726716154342745</v>
      </c>
      <c r="AA37" s="14">
        <f t="shared" si="11"/>
        <v>13.4435517755</v>
      </c>
      <c r="AB37" s="13">
        <f t="shared" si="12"/>
        <v>4.3432669295375287E-2</v>
      </c>
      <c r="AC37" s="14">
        <f t="shared" si="13"/>
        <v>0.24976832432200138</v>
      </c>
      <c r="AD37" s="13">
        <f t="shared" si="55"/>
        <v>0.15477941688674562</v>
      </c>
      <c r="AE37" s="15">
        <f t="shared" si="56"/>
        <v>6.1483719749999992E-2</v>
      </c>
      <c r="AF37" s="15">
        <v>0.14099999999999999</v>
      </c>
      <c r="AG37" s="13">
        <v>1.54</v>
      </c>
      <c r="AH37" s="16">
        <v>1.3</v>
      </c>
      <c r="AI37" s="16">
        <v>12.7</v>
      </c>
      <c r="AJ37" s="17">
        <v>86</v>
      </c>
      <c r="AK37" s="12">
        <v>2.3333333333333335</v>
      </c>
      <c r="AL37" s="12">
        <f t="shared" si="14"/>
        <v>0.5344640249999999</v>
      </c>
      <c r="AM37" s="12">
        <f t="shared" si="57"/>
        <v>0.82307459849999987</v>
      </c>
      <c r="AN37" s="18">
        <f t="shared" si="15"/>
        <v>1.0699969780499998E-2</v>
      </c>
      <c r="AO37" s="8">
        <f t="shared" si="16"/>
        <v>0.10453047400949998</v>
      </c>
      <c r="AP37" s="12">
        <f t="shared" si="17"/>
        <v>0.70784415470999984</v>
      </c>
      <c r="AQ37" s="12">
        <f t="shared" si="18"/>
        <v>1.9205073964999999</v>
      </c>
      <c r="AR37" s="18">
        <f t="shared" si="19"/>
        <v>2.0058327965444996E-2</v>
      </c>
      <c r="AS37" s="8">
        <f t="shared" si="20"/>
        <v>0.12128827283495998</v>
      </c>
      <c r="AT37" s="8">
        <f t="shared" si="21"/>
        <v>0.15679571101424997</v>
      </c>
      <c r="AU37" s="8">
        <f t="shared" si="22"/>
        <v>1.0617662320649996</v>
      </c>
      <c r="AV37" s="8">
        <f t="shared" si="23"/>
        <v>13.4435517755</v>
      </c>
      <c r="AW37" s="8">
        <f t="shared" si="24"/>
        <v>3.008749194816749E-2</v>
      </c>
      <c r="AX37" s="8">
        <f t="shared" si="25"/>
        <v>0.18193240925243995</v>
      </c>
      <c r="AY37" s="495">
        <f t="shared" si="58"/>
        <v>0.13625711416136593</v>
      </c>
      <c r="AZ37" s="8">
        <f t="shared" si="59"/>
        <v>3.0399599999999999E-2</v>
      </c>
      <c r="BA37" s="6">
        <v>1.5</v>
      </c>
      <c r="BB37" s="6">
        <v>1.5</v>
      </c>
      <c r="BC37" s="6">
        <v>7</v>
      </c>
      <c r="BD37" s="15">
        <v>7.0000000000000007E-2</v>
      </c>
      <c r="BE37" s="9">
        <v>0.28000000000000003</v>
      </c>
      <c r="BF37" s="9">
        <v>1.7999999999999999E-2</v>
      </c>
      <c r="BG37" s="9">
        <v>0.13</v>
      </c>
      <c r="BH37" s="28">
        <f t="shared" si="26"/>
        <v>5.2917017999999996E-3</v>
      </c>
      <c r="BI37" s="15">
        <f t="shared" si="27"/>
        <v>3.1997750399999997E-2</v>
      </c>
      <c r="BJ37" s="13">
        <v>12.2</v>
      </c>
      <c r="BK37" s="13">
        <v>1.1499999999999999</v>
      </c>
      <c r="BL37" s="14">
        <v>4.5</v>
      </c>
      <c r="BM37" s="14">
        <v>27.5</v>
      </c>
      <c r="BN37" s="14">
        <v>68</v>
      </c>
      <c r="BO37" s="8">
        <f t="shared" si="28"/>
        <v>6.5204611049999986E-2</v>
      </c>
      <c r="BP37" s="8">
        <f t="shared" si="29"/>
        <v>7.4985302707499979E-2</v>
      </c>
      <c r="BQ37" s="8">
        <f t="shared" si="30"/>
        <v>3.3743386218374988E-3</v>
      </c>
      <c r="BR37" s="8">
        <f t="shared" si="31"/>
        <v>2.0620958244562497E-2</v>
      </c>
      <c r="BS37" s="8">
        <f t="shared" si="32"/>
        <v>5.0990005841099986E-2</v>
      </c>
      <c r="BT37" s="18">
        <f t="shared" si="33"/>
        <v>4.159434741185024E-3</v>
      </c>
      <c r="BU37" s="8">
        <f t="shared" si="34"/>
        <v>2.0497232495095122E-2</v>
      </c>
      <c r="BV37" s="8">
        <f t="shared" si="35"/>
        <v>3.0931437366843745E-2</v>
      </c>
      <c r="BW37" s="8">
        <f t="shared" si="36"/>
        <v>7.6485008761649986E-2</v>
      </c>
      <c r="BX37" s="18">
        <f t="shared" si="37"/>
        <v>6.2391521117775364E-3</v>
      </c>
      <c r="BY37" s="8">
        <f t="shared" si="38"/>
        <v>3.0745848742642683E-2</v>
      </c>
      <c r="BZ37" s="12">
        <f t="shared" si="60"/>
        <v>0.32</v>
      </c>
      <c r="CA37" s="12">
        <f t="shared" si="61"/>
        <v>0.30796954314720809</v>
      </c>
      <c r="CB37" s="6">
        <v>1.5</v>
      </c>
      <c r="CC37" s="6">
        <v>1.5</v>
      </c>
      <c r="CD37" s="15">
        <v>0.13</v>
      </c>
      <c r="CE37" s="9">
        <v>0.45</v>
      </c>
      <c r="CF37" s="9">
        <v>2.9000000000000001E-2</v>
      </c>
      <c r="CG37" s="11">
        <v>0.22</v>
      </c>
      <c r="CH37" s="28">
        <f t="shared" si="62"/>
        <v>1.0973241809999999E-3</v>
      </c>
      <c r="CI37" s="15">
        <f t="shared" si="39"/>
        <v>5.4074917049999997E-3</v>
      </c>
      <c r="CJ37" s="13">
        <v>18</v>
      </c>
      <c r="CK37" s="13">
        <v>1.1499999999999999</v>
      </c>
      <c r="CL37" s="14">
        <v>0.5</v>
      </c>
      <c r="CM37" s="14">
        <v>18.5</v>
      </c>
      <c r="CN37" s="7">
        <v>81</v>
      </c>
      <c r="CO37" s="8">
        <f t="shared" si="40"/>
        <v>9.6203524499999984E-2</v>
      </c>
      <c r="CP37" s="8">
        <f t="shared" si="41"/>
        <v>0.11063405317499997</v>
      </c>
      <c r="CQ37" s="18">
        <f t="shared" si="42"/>
        <v>5.5317026587499982E-4</v>
      </c>
      <c r="CR37" s="8">
        <f t="shared" si="43"/>
        <v>2.0467299837374994E-2</v>
      </c>
      <c r="CS37" s="8">
        <f t="shared" si="44"/>
        <v>8.9613583071749978E-2</v>
      </c>
      <c r="CT37" s="18">
        <f t="shared" si="45"/>
        <v>4.7373501569534984E-3</v>
      </c>
      <c r="CU37" s="8">
        <f t="shared" si="46"/>
        <v>2.4726710884612493E-2</v>
      </c>
      <c r="CV37" s="8">
        <f t="shared" si="47"/>
        <v>3.0700949756062489E-2</v>
      </c>
      <c r="CW37" s="8">
        <f t="shared" si="48"/>
        <v>0.13442037460762496</v>
      </c>
      <c r="CX37" s="18">
        <f t="shared" si="49"/>
        <v>7.1060252354302475E-3</v>
      </c>
      <c r="CY37" s="8">
        <f t="shared" si="50"/>
        <v>3.709006632691874E-2</v>
      </c>
      <c r="CZ37" s="12">
        <f t="shared" si="51"/>
        <v>0.19</v>
      </c>
      <c r="DA37" s="12">
        <f t="shared" si="63"/>
        <v>0.22721202003338897</v>
      </c>
      <c r="DB37" s="6">
        <v>1.5</v>
      </c>
      <c r="DC37" s="6">
        <v>1.5</v>
      </c>
      <c r="DD37" s="9">
        <v>0.122</v>
      </c>
      <c r="DE37" s="9">
        <v>0.42</v>
      </c>
      <c r="DF37" s="15">
        <v>2.5000000000000001E-2</v>
      </c>
      <c r="DG37" s="13">
        <v>0.18</v>
      </c>
      <c r="DH37" s="28">
        <f t="shared" si="52"/>
        <v>1.2497873399999998E-3</v>
      </c>
      <c r="DI37" s="29">
        <f t="shared" si="53"/>
        <v>6.5232944999999987E-3</v>
      </c>
    </row>
    <row r="38" spans="1:113" x14ac:dyDescent="0.25">
      <c r="A38" s="85">
        <v>30</v>
      </c>
      <c r="B38" s="35" t="s">
        <v>26</v>
      </c>
      <c r="C38" s="35" t="s">
        <v>24</v>
      </c>
      <c r="D38" s="31" t="s">
        <v>181</v>
      </c>
      <c r="E38" s="9">
        <v>2</v>
      </c>
      <c r="F38" s="11">
        <v>50</v>
      </c>
      <c r="G38" s="37" t="s">
        <v>115</v>
      </c>
      <c r="H38" s="19" t="s">
        <v>99</v>
      </c>
      <c r="I38" s="31" t="s">
        <v>99</v>
      </c>
      <c r="J38" s="32" t="s">
        <v>99</v>
      </c>
      <c r="K38" s="2" t="str">
        <f t="shared" si="0"/>
        <v>Statlig Tätort VV 50 10,1-11,5 - -</v>
      </c>
      <c r="L38" s="2"/>
      <c r="M38" s="32" t="s">
        <v>99</v>
      </c>
      <c r="N38" s="53">
        <f>'Beräkna - Länk'!$C$26</f>
        <v>1</v>
      </c>
      <c r="O38" s="53">
        <f>'Beräkna - Länk'!$C$24/('Beräkna - Länk'!$C$27)^('Beräkna - Länk'!$C$25-2010)</f>
        <v>10385</v>
      </c>
      <c r="P38" s="13">
        <f t="shared" si="1"/>
        <v>3.7905249999999997</v>
      </c>
      <c r="Q38" s="13">
        <f t="shared" si="2"/>
        <v>0.6958721605499999</v>
      </c>
      <c r="R38" s="13">
        <f t="shared" si="3"/>
        <v>1.0086939543824998</v>
      </c>
      <c r="S38" s="28">
        <f t="shared" si="4"/>
        <v>1.4627478668212497E-2</v>
      </c>
      <c r="T38" s="15">
        <f t="shared" si="5"/>
        <v>0.14561873209143747</v>
      </c>
      <c r="U38" s="13">
        <f t="shared" si="6"/>
        <v>0.8484477436228498</v>
      </c>
      <c r="V38" s="13">
        <f t="shared" si="7"/>
        <v>1.9205073964999999</v>
      </c>
      <c r="W38" s="15">
        <f t="shared" si="8"/>
        <v>2.8955112863583515E-2</v>
      </c>
      <c r="X38" s="15">
        <f t="shared" si="9"/>
        <v>0.16651221621466761</v>
      </c>
      <c r="Y38" s="15">
        <f t="shared" si="54"/>
        <v>0.21842809813715622</v>
      </c>
      <c r="Z38" s="14">
        <f t="shared" si="10"/>
        <v>1.2726716154342745</v>
      </c>
      <c r="AA38" s="14">
        <f t="shared" si="11"/>
        <v>13.4435517755</v>
      </c>
      <c r="AB38" s="13">
        <f t="shared" si="12"/>
        <v>4.3432669295375287E-2</v>
      </c>
      <c r="AC38" s="14">
        <f t="shared" si="13"/>
        <v>0.24976832432200138</v>
      </c>
      <c r="AD38" s="13">
        <f t="shared" si="55"/>
        <v>0.15477941688674562</v>
      </c>
      <c r="AE38" s="15">
        <f t="shared" si="56"/>
        <v>6.1483719749999992E-2</v>
      </c>
      <c r="AF38" s="15">
        <v>0.14099999999999999</v>
      </c>
      <c r="AG38" s="13">
        <v>1.54</v>
      </c>
      <c r="AH38" s="16">
        <v>1.3</v>
      </c>
      <c r="AI38" s="16">
        <v>12.7</v>
      </c>
      <c r="AJ38" s="17">
        <v>86</v>
      </c>
      <c r="AK38" s="12">
        <v>2.3333333333333335</v>
      </c>
      <c r="AL38" s="12">
        <f t="shared" si="14"/>
        <v>0.5344640249999999</v>
      </c>
      <c r="AM38" s="12">
        <f t="shared" si="57"/>
        <v>0.82307459849999987</v>
      </c>
      <c r="AN38" s="18">
        <f t="shared" si="15"/>
        <v>1.0699969780499998E-2</v>
      </c>
      <c r="AO38" s="8">
        <f t="shared" si="16"/>
        <v>0.10453047400949998</v>
      </c>
      <c r="AP38" s="12">
        <f t="shared" si="17"/>
        <v>0.70784415470999984</v>
      </c>
      <c r="AQ38" s="12">
        <f t="shared" si="18"/>
        <v>1.9205073964999999</v>
      </c>
      <c r="AR38" s="18">
        <f t="shared" si="19"/>
        <v>2.0058327965444996E-2</v>
      </c>
      <c r="AS38" s="8">
        <f t="shared" si="20"/>
        <v>0.12128827283495998</v>
      </c>
      <c r="AT38" s="8">
        <f t="shared" si="21"/>
        <v>0.15679571101424997</v>
      </c>
      <c r="AU38" s="8">
        <f t="shared" si="22"/>
        <v>1.0617662320649996</v>
      </c>
      <c r="AV38" s="8">
        <f t="shared" si="23"/>
        <v>13.4435517755</v>
      </c>
      <c r="AW38" s="8">
        <f t="shared" si="24"/>
        <v>3.008749194816749E-2</v>
      </c>
      <c r="AX38" s="8">
        <f t="shared" si="25"/>
        <v>0.18193240925243995</v>
      </c>
      <c r="AY38" s="495">
        <f t="shared" si="58"/>
        <v>0.13625711416136593</v>
      </c>
      <c r="AZ38" s="8">
        <f t="shared" si="59"/>
        <v>3.0399599999999999E-2</v>
      </c>
      <c r="BA38" s="6">
        <v>1.5</v>
      </c>
      <c r="BB38" s="6">
        <v>1.5</v>
      </c>
      <c r="BC38" s="6">
        <v>7</v>
      </c>
      <c r="BD38" s="15">
        <v>7.0000000000000007E-2</v>
      </c>
      <c r="BE38" s="9">
        <v>0.28000000000000003</v>
      </c>
      <c r="BF38" s="9">
        <v>1.7999999999999999E-2</v>
      </c>
      <c r="BG38" s="9">
        <v>0.13</v>
      </c>
      <c r="BH38" s="28">
        <f t="shared" si="26"/>
        <v>5.2917017999999996E-3</v>
      </c>
      <c r="BI38" s="15">
        <f t="shared" si="27"/>
        <v>3.1997750399999997E-2</v>
      </c>
      <c r="BJ38" s="13">
        <v>12.2</v>
      </c>
      <c r="BK38" s="13">
        <v>1.1499999999999999</v>
      </c>
      <c r="BL38" s="14">
        <v>4.5</v>
      </c>
      <c r="BM38" s="14">
        <v>27.5</v>
      </c>
      <c r="BN38" s="14">
        <v>68</v>
      </c>
      <c r="BO38" s="8">
        <f t="shared" si="28"/>
        <v>6.5204611049999986E-2</v>
      </c>
      <c r="BP38" s="8">
        <f t="shared" si="29"/>
        <v>7.4985302707499979E-2</v>
      </c>
      <c r="BQ38" s="8">
        <f t="shared" si="30"/>
        <v>3.3743386218374988E-3</v>
      </c>
      <c r="BR38" s="8">
        <f t="shared" si="31"/>
        <v>2.0620958244562497E-2</v>
      </c>
      <c r="BS38" s="8">
        <f t="shared" si="32"/>
        <v>5.0990005841099986E-2</v>
      </c>
      <c r="BT38" s="18">
        <f t="shared" si="33"/>
        <v>4.159434741185024E-3</v>
      </c>
      <c r="BU38" s="8">
        <f t="shared" si="34"/>
        <v>2.0497232495095122E-2</v>
      </c>
      <c r="BV38" s="8">
        <f t="shared" si="35"/>
        <v>3.0931437366843745E-2</v>
      </c>
      <c r="BW38" s="8">
        <f t="shared" si="36"/>
        <v>7.6485008761649986E-2</v>
      </c>
      <c r="BX38" s="18">
        <f t="shared" si="37"/>
        <v>6.2391521117775364E-3</v>
      </c>
      <c r="BY38" s="8">
        <f t="shared" si="38"/>
        <v>3.0745848742642683E-2</v>
      </c>
      <c r="BZ38" s="12">
        <f t="shared" si="60"/>
        <v>0.32</v>
      </c>
      <c r="CA38" s="12">
        <f t="shared" si="61"/>
        <v>0.30796954314720809</v>
      </c>
      <c r="CB38" s="6">
        <v>1.5</v>
      </c>
      <c r="CC38" s="6">
        <v>1.5</v>
      </c>
      <c r="CD38" s="15">
        <v>0.13</v>
      </c>
      <c r="CE38" s="9">
        <v>0.45</v>
      </c>
      <c r="CF38" s="9">
        <v>2.9000000000000001E-2</v>
      </c>
      <c r="CG38" s="11">
        <v>0.22</v>
      </c>
      <c r="CH38" s="28">
        <f t="shared" si="62"/>
        <v>1.0973241809999999E-3</v>
      </c>
      <c r="CI38" s="15">
        <f t="shared" si="39"/>
        <v>5.4074917049999997E-3</v>
      </c>
      <c r="CJ38" s="13">
        <v>18</v>
      </c>
      <c r="CK38" s="13">
        <v>1.1499999999999999</v>
      </c>
      <c r="CL38" s="14">
        <v>0.5</v>
      </c>
      <c r="CM38" s="14">
        <v>18.5</v>
      </c>
      <c r="CN38" s="14">
        <v>81</v>
      </c>
      <c r="CO38" s="8">
        <f t="shared" si="40"/>
        <v>9.6203524499999984E-2</v>
      </c>
      <c r="CP38" s="8">
        <f t="shared" si="41"/>
        <v>0.11063405317499997</v>
      </c>
      <c r="CQ38" s="18">
        <f t="shared" si="42"/>
        <v>5.5317026587499982E-4</v>
      </c>
      <c r="CR38" s="8">
        <f t="shared" si="43"/>
        <v>2.0467299837374994E-2</v>
      </c>
      <c r="CS38" s="8">
        <f t="shared" si="44"/>
        <v>8.9613583071749978E-2</v>
      </c>
      <c r="CT38" s="18">
        <f t="shared" si="45"/>
        <v>4.7373501569534984E-3</v>
      </c>
      <c r="CU38" s="8">
        <f t="shared" si="46"/>
        <v>2.4726710884612493E-2</v>
      </c>
      <c r="CV38" s="8">
        <f t="shared" si="47"/>
        <v>3.0700949756062489E-2</v>
      </c>
      <c r="CW38" s="8">
        <f t="shared" si="48"/>
        <v>0.13442037460762496</v>
      </c>
      <c r="CX38" s="18">
        <f t="shared" si="49"/>
        <v>7.1060252354302475E-3</v>
      </c>
      <c r="CY38" s="8">
        <f t="shared" si="50"/>
        <v>3.709006632691874E-2</v>
      </c>
      <c r="CZ38" s="12">
        <f t="shared" si="51"/>
        <v>0.19</v>
      </c>
      <c r="DA38" s="12">
        <f t="shared" si="63"/>
        <v>0.22721202003338897</v>
      </c>
      <c r="DB38" s="6">
        <v>1.5</v>
      </c>
      <c r="DC38" s="6">
        <v>1.5</v>
      </c>
      <c r="DD38" s="9">
        <v>0.122</v>
      </c>
      <c r="DE38" s="9">
        <v>0.42</v>
      </c>
      <c r="DF38" s="15">
        <v>2.5000000000000001E-2</v>
      </c>
      <c r="DG38" s="13">
        <v>0.18</v>
      </c>
      <c r="DH38" s="28">
        <f t="shared" si="52"/>
        <v>1.2497873399999998E-3</v>
      </c>
      <c r="DI38" s="29">
        <f t="shared" si="53"/>
        <v>6.5232944999999987E-3</v>
      </c>
    </row>
    <row r="39" spans="1:113" x14ac:dyDescent="0.25">
      <c r="A39" s="85">
        <v>31</v>
      </c>
      <c r="B39" s="35" t="s">
        <v>26</v>
      </c>
      <c r="C39" s="35" t="s">
        <v>24</v>
      </c>
      <c r="D39" s="31" t="s">
        <v>181</v>
      </c>
      <c r="E39" s="9">
        <v>2</v>
      </c>
      <c r="F39" s="11">
        <v>50</v>
      </c>
      <c r="G39" s="36" t="s">
        <v>165</v>
      </c>
      <c r="H39" s="19" t="s">
        <v>99</v>
      </c>
      <c r="I39" s="31" t="s">
        <v>99</v>
      </c>
      <c r="J39" s="32" t="s">
        <v>99</v>
      </c>
      <c r="K39" s="2" t="str">
        <f t="shared" si="0"/>
        <v>Statlig Tätort VV 50 11,6- - -</v>
      </c>
      <c r="L39" s="2"/>
      <c r="M39" s="32" t="s">
        <v>99</v>
      </c>
      <c r="N39" s="53">
        <f>'Beräkna - Länk'!$C$26</f>
        <v>1</v>
      </c>
      <c r="O39" s="53">
        <f>'Beräkna - Länk'!$C$24/('Beräkna - Länk'!$C$27)^('Beräkna - Länk'!$C$25-2010)</f>
        <v>10385</v>
      </c>
      <c r="P39" s="13">
        <f t="shared" si="1"/>
        <v>3.7905249999999997</v>
      </c>
      <c r="Q39" s="13">
        <f t="shared" si="2"/>
        <v>0.6958721605499999</v>
      </c>
      <c r="R39" s="13">
        <f t="shared" si="3"/>
        <v>1.0086939543824998</v>
      </c>
      <c r="S39" s="28">
        <f t="shared" si="4"/>
        <v>1.4627478668212497E-2</v>
      </c>
      <c r="T39" s="15">
        <f t="shared" si="5"/>
        <v>0.14561873209143747</v>
      </c>
      <c r="U39" s="13">
        <f t="shared" si="6"/>
        <v>0.8484477436228498</v>
      </c>
      <c r="V39" s="13">
        <f t="shared" si="7"/>
        <v>1.9205073964999999</v>
      </c>
      <c r="W39" s="15">
        <f t="shared" si="8"/>
        <v>2.8955112863583515E-2</v>
      </c>
      <c r="X39" s="15">
        <f t="shared" si="9"/>
        <v>0.16651221621466761</v>
      </c>
      <c r="Y39" s="15">
        <f t="shared" si="54"/>
        <v>0.21842809813715622</v>
      </c>
      <c r="Z39" s="14">
        <f t="shared" si="10"/>
        <v>1.2726716154342745</v>
      </c>
      <c r="AA39" s="14">
        <f t="shared" si="11"/>
        <v>13.4435517755</v>
      </c>
      <c r="AB39" s="13">
        <f t="shared" si="12"/>
        <v>4.3432669295375287E-2</v>
      </c>
      <c r="AC39" s="14">
        <f t="shared" si="13"/>
        <v>0.24976832432200138</v>
      </c>
      <c r="AD39" s="13">
        <f t="shared" si="55"/>
        <v>0.15477941688674562</v>
      </c>
      <c r="AE39" s="15">
        <f t="shared" si="56"/>
        <v>6.1483719749999992E-2</v>
      </c>
      <c r="AF39" s="15">
        <v>0.14099999999999999</v>
      </c>
      <c r="AG39" s="13">
        <v>1.54</v>
      </c>
      <c r="AH39" s="16">
        <v>1.3</v>
      </c>
      <c r="AI39" s="16">
        <v>12.7</v>
      </c>
      <c r="AJ39" s="17">
        <v>86</v>
      </c>
      <c r="AK39" s="12">
        <v>2.3333333333333335</v>
      </c>
      <c r="AL39" s="12">
        <f t="shared" si="14"/>
        <v>0.5344640249999999</v>
      </c>
      <c r="AM39" s="12">
        <f t="shared" si="57"/>
        <v>0.82307459849999987</v>
      </c>
      <c r="AN39" s="18">
        <f t="shared" si="15"/>
        <v>1.0699969780499998E-2</v>
      </c>
      <c r="AO39" s="8">
        <f t="shared" si="16"/>
        <v>0.10453047400949998</v>
      </c>
      <c r="AP39" s="12">
        <f t="shared" si="17"/>
        <v>0.70784415470999984</v>
      </c>
      <c r="AQ39" s="12">
        <f t="shared" si="18"/>
        <v>1.9205073964999999</v>
      </c>
      <c r="AR39" s="18">
        <f t="shared" si="19"/>
        <v>2.0058327965444996E-2</v>
      </c>
      <c r="AS39" s="8">
        <f t="shared" si="20"/>
        <v>0.12128827283495998</v>
      </c>
      <c r="AT39" s="8">
        <f t="shared" si="21"/>
        <v>0.15679571101424997</v>
      </c>
      <c r="AU39" s="8">
        <f t="shared" si="22"/>
        <v>1.0617662320649996</v>
      </c>
      <c r="AV39" s="8">
        <f t="shared" si="23"/>
        <v>13.4435517755</v>
      </c>
      <c r="AW39" s="8">
        <f t="shared" si="24"/>
        <v>3.008749194816749E-2</v>
      </c>
      <c r="AX39" s="8">
        <f t="shared" si="25"/>
        <v>0.18193240925243995</v>
      </c>
      <c r="AY39" s="495">
        <f t="shared" si="58"/>
        <v>0.13625711416136593</v>
      </c>
      <c r="AZ39" s="8">
        <f t="shared" si="59"/>
        <v>3.0399599999999999E-2</v>
      </c>
      <c r="BA39" s="6">
        <v>1.5</v>
      </c>
      <c r="BB39" s="6">
        <v>1.5</v>
      </c>
      <c r="BC39" s="6">
        <v>7</v>
      </c>
      <c r="BD39" s="15">
        <v>7.0000000000000007E-2</v>
      </c>
      <c r="BE39" s="9">
        <v>0.28000000000000003</v>
      </c>
      <c r="BF39" s="9">
        <v>1.7999999999999999E-2</v>
      </c>
      <c r="BG39" s="9">
        <v>0.13</v>
      </c>
      <c r="BH39" s="28">
        <f t="shared" si="26"/>
        <v>5.2917017999999996E-3</v>
      </c>
      <c r="BI39" s="15">
        <f t="shared" si="27"/>
        <v>3.1997750399999997E-2</v>
      </c>
      <c r="BJ39" s="13">
        <v>12.2</v>
      </c>
      <c r="BK39" s="13">
        <v>1.1499999999999999</v>
      </c>
      <c r="BL39" s="14">
        <v>4.5</v>
      </c>
      <c r="BM39" s="14">
        <v>27.5</v>
      </c>
      <c r="BN39" s="14">
        <v>68</v>
      </c>
      <c r="BO39" s="8">
        <f t="shared" si="28"/>
        <v>6.5204611049999986E-2</v>
      </c>
      <c r="BP39" s="8">
        <f t="shared" si="29"/>
        <v>7.4985302707499979E-2</v>
      </c>
      <c r="BQ39" s="8">
        <f t="shared" si="30"/>
        <v>3.3743386218374988E-3</v>
      </c>
      <c r="BR39" s="8">
        <f t="shared" si="31"/>
        <v>2.0620958244562497E-2</v>
      </c>
      <c r="BS39" s="8">
        <f t="shared" si="32"/>
        <v>5.0990005841099986E-2</v>
      </c>
      <c r="BT39" s="18">
        <f t="shared" si="33"/>
        <v>4.159434741185024E-3</v>
      </c>
      <c r="BU39" s="8">
        <f t="shared" si="34"/>
        <v>2.0497232495095122E-2</v>
      </c>
      <c r="BV39" s="8">
        <f t="shared" si="35"/>
        <v>3.0931437366843745E-2</v>
      </c>
      <c r="BW39" s="8">
        <f t="shared" si="36"/>
        <v>7.6485008761649986E-2</v>
      </c>
      <c r="BX39" s="18">
        <f t="shared" si="37"/>
        <v>6.2391521117775364E-3</v>
      </c>
      <c r="BY39" s="8">
        <f t="shared" si="38"/>
        <v>3.0745848742642683E-2</v>
      </c>
      <c r="BZ39" s="12">
        <f t="shared" si="60"/>
        <v>0.32</v>
      </c>
      <c r="CA39" s="12">
        <f t="shared" si="61"/>
        <v>0.30796954314720809</v>
      </c>
      <c r="CB39" s="6">
        <v>1.5</v>
      </c>
      <c r="CC39" s="6">
        <v>1.5</v>
      </c>
      <c r="CD39" s="15">
        <v>0.13</v>
      </c>
      <c r="CE39" s="9">
        <v>0.45</v>
      </c>
      <c r="CF39" s="9">
        <v>2.9000000000000001E-2</v>
      </c>
      <c r="CG39" s="11">
        <v>0.22</v>
      </c>
      <c r="CH39" s="28">
        <f t="shared" si="62"/>
        <v>1.0973241809999999E-3</v>
      </c>
      <c r="CI39" s="15">
        <f t="shared" si="39"/>
        <v>5.4074917049999997E-3</v>
      </c>
      <c r="CJ39" s="13">
        <v>18</v>
      </c>
      <c r="CK39" s="13">
        <v>1.1499999999999999</v>
      </c>
      <c r="CL39" s="14">
        <v>0.5</v>
      </c>
      <c r="CM39" s="14">
        <v>18.5</v>
      </c>
      <c r="CN39" s="7">
        <v>81</v>
      </c>
      <c r="CO39" s="8">
        <f t="shared" si="40"/>
        <v>9.6203524499999984E-2</v>
      </c>
      <c r="CP39" s="8">
        <f t="shared" si="41"/>
        <v>0.11063405317499997</v>
      </c>
      <c r="CQ39" s="18">
        <f t="shared" si="42"/>
        <v>5.5317026587499982E-4</v>
      </c>
      <c r="CR39" s="8">
        <f t="shared" si="43"/>
        <v>2.0467299837374994E-2</v>
      </c>
      <c r="CS39" s="8">
        <f t="shared" si="44"/>
        <v>8.9613583071749978E-2</v>
      </c>
      <c r="CT39" s="18">
        <f t="shared" si="45"/>
        <v>4.7373501569534984E-3</v>
      </c>
      <c r="CU39" s="8">
        <f t="shared" si="46"/>
        <v>2.4726710884612493E-2</v>
      </c>
      <c r="CV39" s="8">
        <f t="shared" si="47"/>
        <v>3.0700949756062489E-2</v>
      </c>
      <c r="CW39" s="8">
        <f t="shared" si="48"/>
        <v>0.13442037460762496</v>
      </c>
      <c r="CX39" s="18">
        <f t="shared" si="49"/>
        <v>7.1060252354302475E-3</v>
      </c>
      <c r="CY39" s="8">
        <f t="shared" si="50"/>
        <v>3.709006632691874E-2</v>
      </c>
      <c r="CZ39" s="12">
        <f t="shared" si="51"/>
        <v>0.19</v>
      </c>
      <c r="DA39" s="12">
        <f t="shared" si="63"/>
        <v>0.22721202003338897</v>
      </c>
      <c r="DB39" s="6">
        <v>1.5</v>
      </c>
      <c r="DC39" s="6">
        <v>1.5</v>
      </c>
      <c r="DD39" s="9">
        <v>0.122</v>
      </c>
      <c r="DE39" s="9">
        <v>0.42</v>
      </c>
      <c r="DF39" s="15">
        <v>2.5000000000000001E-2</v>
      </c>
      <c r="DG39" s="13">
        <v>0.18</v>
      </c>
      <c r="DH39" s="28">
        <f t="shared" si="52"/>
        <v>1.2497873399999998E-3</v>
      </c>
      <c r="DI39" s="29">
        <f t="shared" si="53"/>
        <v>6.5232944999999987E-3</v>
      </c>
    </row>
    <row r="40" spans="1:113" x14ac:dyDescent="0.25">
      <c r="A40" s="85">
        <v>32</v>
      </c>
      <c r="B40" s="35" t="s">
        <v>26</v>
      </c>
      <c r="C40" s="31" t="s">
        <v>24</v>
      </c>
      <c r="D40" s="31" t="s">
        <v>181</v>
      </c>
      <c r="E40" s="9">
        <v>2</v>
      </c>
      <c r="F40" s="11">
        <v>60</v>
      </c>
      <c r="G40" s="32" t="s">
        <v>99</v>
      </c>
      <c r="H40" s="19" t="s">
        <v>99</v>
      </c>
      <c r="I40" s="31" t="s">
        <v>99</v>
      </c>
      <c r="J40" s="32" t="s">
        <v>99</v>
      </c>
      <c r="K40" s="2" t="str">
        <f t="shared" si="0"/>
        <v>Statlig Tätort VV 60 - - -</v>
      </c>
      <c r="L40" s="2"/>
      <c r="M40" s="32" t="s">
        <v>99</v>
      </c>
      <c r="N40" s="53">
        <f>'Beräkna - Länk'!$C$26</f>
        <v>1</v>
      </c>
      <c r="O40" s="53">
        <f>'Beräkna - Länk'!$C$24/('Beräkna - Länk'!$C$27)^('Beräkna - Länk'!$C$25-2010)</f>
        <v>10385</v>
      </c>
      <c r="P40" s="13">
        <f t="shared" si="1"/>
        <v>3.7905249999999997</v>
      </c>
      <c r="Q40" s="13">
        <f t="shared" si="2"/>
        <v>0.49514111864999993</v>
      </c>
      <c r="R40" s="13">
        <f t="shared" si="3"/>
        <v>0.76174352494749997</v>
      </c>
      <c r="S40" s="28">
        <f t="shared" si="4"/>
        <v>1.64359343551875E-2</v>
      </c>
      <c r="T40" s="15">
        <f t="shared" si="5"/>
        <v>0.10536632078198747</v>
      </c>
      <c r="U40" s="13">
        <f t="shared" si="6"/>
        <v>0.63994126981032495</v>
      </c>
      <c r="V40" s="13">
        <f t="shared" si="7"/>
        <v>1.6489794556666666</v>
      </c>
      <c r="W40" s="15">
        <f t="shared" si="8"/>
        <v>1.9960620785163797E-2</v>
      </c>
      <c r="X40" s="15">
        <f t="shared" si="9"/>
        <v>0.11717863229132275</v>
      </c>
      <c r="Y40" s="15">
        <f t="shared" si="54"/>
        <v>0.15804948117298123</v>
      </c>
      <c r="Z40" s="14">
        <f t="shared" si="10"/>
        <v>0.95991190471548749</v>
      </c>
      <c r="AA40" s="14">
        <f t="shared" si="11"/>
        <v>11.542856189666667</v>
      </c>
      <c r="AB40" s="13">
        <f t="shared" si="12"/>
        <v>2.9940931177745694E-2</v>
      </c>
      <c r="AC40" s="14">
        <f t="shared" si="13"/>
        <v>0.17576794843698412</v>
      </c>
      <c r="AD40" s="13">
        <f t="shared" si="55"/>
        <v>0.15381331779829238</v>
      </c>
      <c r="AE40" s="15">
        <f t="shared" si="56"/>
        <v>4.6031991750000001E-2</v>
      </c>
      <c r="AF40" s="10">
        <v>0.11799999999999999</v>
      </c>
      <c r="AG40" s="16">
        <v>1.58</v>
      </c>
      <c r="AH40" s="16">
        <v>2</v>
      </c>
      <c r="AI40" s="16">
        <v>13</v>
      </c>
      <c r="AJ40" s="17">
        <v>85</v>
      </c>
      <c r="AK40" s="12">
        <v>2.3333333333333335</v>
      </c>
      <c r="AL40" s="12">
        <f t="shared" si="14"/>
        <v>0.44728194999999993</v>
      </c>
      <c r="AM40" s="12">
        <f t="shared" si="57"/>
        <v>0.70670548099999997</v>
      </c>
      <c r="AN40" s="18">
        <f t="shared" si="15"/>
        <v>1.413410962E-2</v>
      </c>
      <c r="AO40" s="8">
        <f t="shared" si="16"/>
        <v>9.1871712529999983E-2</v>
      </c>
      <c r="AP40" s="12">
        <f t="shared" si="17"/>
        <v>0.60069965884999998</v>
      </c>
      <c r="AQ40" s="12">
        <f t="shared" si="18"/>
        <v>1.6489794556666666</v>
      </c>
      <c r="AR40" s="18">
        <f t="shared" si="19"/>
        <v>1.7243613736399998E-2</v>
      </c>
      <c r="AS40" s="8">
        <f t="shared" si="20"/>
        <v>0.10381503515889999</v>
      </c>
      <c r="AT40" s="8">
        <f t="shared" si="21"/>
        <v>0.13780756879499997</v>
      </c>
      <c r="AU40" s="8">
        <f t="shared" si="22"/>
        <v>0.90104948827499998</v>
      </c>
      <c r="AV40" s="8">
        <f t="shared" si="23"/>
        <v>11.542856189666667</v>
      </c>
      <c r="AW40" s="8">
        <f t="shared" si="24"/>
        <v>2.5865420604599999E-2</v>
      </c>
      <c r="AX40" s="8">
        <f t="shared" si="25"/>
        <v>0.15572255273835001</v>
      </c>
      <c r="AY40" s="495">
        <f t="shared" si="58"/>
        <v>0.14429530201342278</v>
      </c>
      <c r="AZ40" s="8">
        <f t="shared" si="59"/>
        <v>2.7965999999999998E-2</v>
      </c>
      <c r="BA40" s="6">
        <v>1.5</v>
      </c>
      <c r="BB40" s="6">
        <v>1.5</v>
      </c>
      <c r="BC40" s="6">
        <v>7</v>
      </c>
      <c r="BD40" s="15">
        <v>7.0000000000000007E-2</v>
      </c>
      <c r="BE40" s="9">
        <v>0.28000000000000003</v>
      </c>
      <c r="BF40" s="9">
        <v>1.7999999999999999E-2</v>
      </c>
      <c r="BG40" s="9">
        <v>0.13</v>
      </c>
      <c r="BH40" s="28">
        <f t="shared" si="26"/>
        <v>4.5491359999999996E-3</v>
      </c>
      <c r="BI40" s="15">
        <f t="shared" si="27"/>
        <v>2.7388036000000001E-2</v>
      </c>
      <c r="BJ40" s="13">
        <v>3.6</v>
      </c>
      <c r="BK40" s="13">
        <v>1.1499999999999999</v>
      </c>
      <c r="BL40" s="14">
        <v>7.5</v>
      </c>
      <c r="BM40" s="14">
        <v>28.5</v>
      </c>
      <c r="BN40" s="14">
        <v>64</v>
      </c>
      <c r="BO40" s="8">
        <f t="shared" si="28"/>
        <v>1.6102150199999998E-2</v>
      </c>
      <c r="BP40" s="8">
        <f t="shared" si="29"/>
        <v>1.8517472729999998E-2</v>
      </c>
      <c r="BQ40" s="8">
        <f t="shared" si="30"/>
        <v>1.3888104547499999E-3</v>
      </c>
      <c r="BR40" s="8">
        <f t="shared" si="31"/>
        <v>5.2774797280499986E-3</v>
      </c>
      <c r="BS40" s="8">
        <f t="shared" si="32"/>
        <v>1.1851182547199999E-2</v>
      </c>
      <c r="BT40" s="18">
        <f t="shared" si="33"/>
        <v>1.0297566585152997E-3</v>
      </c>
      <c r="BU40" s="8">
        <f t="shared" si="34"/>
        <v>4.9821260380064989E-3</v>
      </c>
      <c r="BV40" s="8">
        <f t="shared" si="35"/>
        <v>7.9162195920749988E-3</v>
      </c>
      <c r="BW40" s="8">
        <f t="shared" si="36"/>
        <v>1.77767738208E-2</v>
      </c>
      <c r="BX40" s="18">
        <f t="shared" si="37"/>
        <v>1.5446349877729498E-3</v>
      </c>
      <c r="BY40" s="8">
        <f t="shared" si="38"/>
        <v>7.4731890570097492E-3</v>
      </c>
      <c r="BZ40" s="12">
        <f t="shared" si="60"/>
        <v>0.36</v>
      </c>
      <c r="CA40" s="12">
        <f t="shared" si="61"/>
        <v>0.32723076923076921</v>
      </c>
      <c r="CB40" s="6">
        <v>1.5</v>
      </c>
      <c r="CC40" s="6">
        <v>1.5</v>
      </c>
      <c r="CD40" s="15">
        <v>0.13</v>
      </c>
      <c r="CE40" s="9">
        <v>0.45</v>
      </c>
      <c r="CF40" s="9">
        <v>2.9000000000000001E-2</v>
      </c>
      <c r="CG40" s="11">
        <v>0.22</v>
      </c>
      <c r="CH40" s="28">
        <f t="shared" si="62"/>
        <v>2.7166597199999995E-4</v>
      </c>
      <c r="CI40" s="15">
        <f t="shared" si="39"/>
        <v>1.3143630599999998E-3</v>
      </c>
      <c r="CJ40" s="13">
        <v>7.1</v>
      </c>
      <c r="CK40" s="13">
        <v>1.1499999999999999</v>
      </c>
      <c r="CL40" s="14">
        <v>2.5</v>
      </c>
      <c r="CM40" s="14">
        <v>22.5</v>
      </c>
      <c r="CN40" s="14">
        <v>75</v>
      </c>
      <c r="CO40" s="8">
        <f t="shared" si="40"/>
        <v>3.1757018449999994E-2</v>
      </c>
      <c r="CP40" s="8">
        <f t="shared" si="41"/>
        <v>3.6520571217499992E-2</v>
      </c>
      <c r="CQ40" s="18">
        <f t="shared" si="42"/>
        <v>9.130142804374998E-4</v>
      </c>
      <c r="CR40" s="8">
        <f t="shared" si="43"/>
        <v>8.2171285239374982E-3</v>
      </c>
      <c r="CS40" s="8">
        <f t="shared" si="44"/>
        <v>2.7390428413124994E-2</v>
      </c>
      <c r="CT40" s="18">
        <f t="shared" si="45"/>
        <v>1.6872503902484995E-3</v>
      </c>
      <c r="CU40" s="8">
        <f t="shared" si="46"/>
        <v>8.3814710944162471E-3</v>
      </c>
      <c r="CV40" s="8">
        <f t="shared" si="47"/>
        <v>1.2325692785906247E-2</v>
      </c>
      <c r="CW40" s="8">
        <f t="shared" si="48"/>
        <v>4.1085642619687487E-2</v>
      </c>
      <c r="CX40" s="18">
        <f t="shared" si="49"/>
        <v>2.5308755853727495E-3</v>
      </c>
      <c r="CY40" s="8">
        <f t="shared" si="50"/>
        <v>1.2572206641624371E-2</v>
      </c>
      <c r="CZ40" s="12">
        <f t="shared" si="51"/>
        <v>0.25</v>
      </c>
      <c r="DA40" s="12">
        <f t="shared" si="63"/>
        <v>0.24823529411764705</v>
      </c>
      <c r="DB40" s="6">
        <v>1.5</v>
      </c>
      <c r="DC40" s="6">
        <v>1.5</v>
      </c>
      <c r="DD40" s="9">
        <v>0.122</v>
      </c>
      <c r="DE40" s="9">
        <v>0.42</v>
      </c>
      <c r="DF40" s="15">
        <v>2.5000000000000001E-2</v>
      </c>
      <c r="DG40" s="13">
        <v>0.18</v>
      </c>
      <c r="DH40" s="28">
        <f t="shared" si="52"/>
        <v>4.4512313999999989E-4</v>
      </c>
      <c r="DI40" s="29">
        <f t="shared" si="53"/>
        <v>2.2111636499999995E-3</v>
      </c>
    </row>
    <row r="41" spans="1:113" x14ac:dyDescent="0.25">
      <c r="A41" s="85">
        <v>33</v>
      </c>
      <c r="B41" s="35" t="s">
        <v>26</v>
      </c>
      <c r="C41" s="35" t="s">
        <v>28</v>
      </c>
      <c r="D41" s="31" t="s">
        <v>181</v>
      </c>
      <c r="E41" s="9">
        <v>2</v>
      </c>
      <c r="F41" s="11">
        <v>70</v>
      </c>
      <c r="G41" s="36" t="s">
        <v>164</v>
      </c>
      <c r="H41" s="19" t="s">
        <v>99</v>
      </c>
      <c r="I41" s="31" t="s">
        <v>99</v>
      </c>
      <c r="J41" s="32" t="s">
        <v>99</v>
      </c>
      <c r="K41" s="2" t="str">
        <f t="shared" ref="K41:K72" si="64">B41&amp;" "&amp;C41&amp;" "&amp;D41&amp;" "&amp;F41&amp;" "&amp;G41&amp;" "&amp;H41&amp;" "&amp;I41</f>
        <v>Statlig Landsbygd VV 70 &lt;5,7 - -</v>
      </c>
      <c r="L41" s="2"/>
      <c r="M41" s="32" t="s">
        <v>99</v>
      </c>
      <c r="N41" s="53">
        <f>'Beräkna - Länk'!$C$26</f>
        <v>1</v>
      </c>
      <c r="O41" s="53">
        <f>'Beräkna - Länk'!$C$24/('Beräkna - Länk'!$C$27)^('Beräkna - Länk'!$C$25-2010)</f>
        <v>10385</v>
      </c>
      <c r="P41" s="13">
        <f t="shared" ref="P41:P72" si="65">N41*O41*365*0.000001</f>
        <v>3.7905249999999997</v>
      </c>
      <c r="Q41" s="13">
        <f t="shared" ref="Q41:Q72" si="66">AL41+BO41+CO41</f>
        <v>0.67416382387499996</v>
      </c>
      <c r="R41" s="13">
        <f t="shared" ref="R41:R72" si="67">AM41+BP41+CP41</f>
        <v>0.92360443870874986</v>
      </c>
      <c r="S41" s="28">
        <f t="shared" ref="S41:S72" si="68">AN41+BQ41+CQ41</f>
        <v>1.9560246157499996E-2</v>
      </c>
      <c r="T41" s="15">
        <f t="shared" ref="T41:T72" si="69">AO41+BR41+CR41</f>
        <v>0.16303053710787499</v>
      </c>
      <c r="U41" s="13">
        <f t="shared" ref="U41:U72" si="70">AP41+BS41+CS41</f>
        <v>0.74101365544337483</v>
      </c>
      <c r="V41" s="13">
        <f t="shared" ref="V41:V72" si="71">AQ41</f>
        <v>1.7736004312272724</v>
      </c>
      <c r="W41" s="15">
        <f t="shared" ref="W41:W72" si="72">AR41+BT41+CT41</f>
        <v>2.9514597856028627E-2</v>
      </c>
      <c r="X41" s="15">
        <f t="shared" ref="X41:X72" si="73">AS41+BU41+CU41</f>
        <v>0.16110692299708501</v>
      </c>
      <c r="Y41" s="15">
        <f t="shared" ref="Y41:Y72" si="74">AO41*BA41+BR41*CB41+CR41*DB41</f>
        <v>0.27715191308338749</v>
      </c>
      <c r="Z41" s="14">
        <f t="shared" ref="Z41:Z72" si="75">AP41*BB41+BS41*CC41+CS41*DC41</f>
        <v>1.2597232142537371</v>
      </c>
      <c r="AA41" s="14">
        <f t="shared" ref="AA41:AA72" si="76">AQ41*BC41</f>
        <v>12.415203018590907</v>
      </c>
      <c r="AB41" s="13">
        <f t="shared" ref="AB41:AB72" si="77">BD41*AO41*BA41+BF41*AP41*BB41+CD41*BR41*CB41+CF41*BS41*CC41+DD41*CR41*DB41+DF41*CS41*DC41</f>
        <v>5.0174816355248661E-2</v>
      </c>
      <c r="AC41" s="14">
        <f t="shared" ref="AC41:AC72" si="78">BE41*AO41*BA41+BG41*AP41*BB41+CE41*BR41*CB41+CG41*BS41*CC41+DE41*CR41*DB41+DG41*CS41*DC41</f>
        <v>0.27388176909504452</v>
      </c>
      <c r="AD41" s="13">
        <f t="shared" si="55"/>
        <v>0.19063570790908413</v>
      </c>
      <c r="AE41" s="15">
        <f t="shared" si="56"/>
        <v>7.8277325500000008E-2</v>
      </c>
      <c r="AF41" s="11">
        <v>0.16700000000000001</v>
      </c>
      <c r="AG41" s="11">
        <v>1.38</v>
      </c>
      <c r="AH41" s="16">
        <v>1.9</v>
      </c>
      <c r="AI41" s="16">
        <v>17.100000000000001</v>
      </c>
      <c r="AJ41" s="17">
        <v>81</v>
      </c>
      <c r="AK41" s="12">
        <v>2.0303030303030303</v>
      </c>
      <c r="AL41" s="12">
        <f t="shared" ref="AL41:AL72" si="79">$N$4*P41*AF41</f>
        <v>0.63301767499999995</v>
      </c>
      <c r="AM41" s="12">
        <f t="shared" ref="AM41:AM72" si="80">AG41*$AL41</f>
        <v>0.87356439149999987</v>
      </c>
      <c r="AN41" s="18">
        <f t="shared" ref="AN41:AN72" si="81">AH41*$AM41/100</f>
        <v>1.6597723438499995E-2</v>
      </c>
      <c r="AO41" s="8">
        <f t="shared" ref="AO41:AO72" si="82">AI41*$AM41/100</f>
        <v>0.14937951094650001</v>
      </c>
      <c r="AP41" s="12">
        <f t="shared" ref="AP41:AP72" si="83">AJ41*$AM41/100</f>
        <v>0.70758715711499987</v>
      </c>
      <c r="AQ41" s="12">
        <f t="shared" ref="AQ41:AQ72" si="84">AK41*$AM41</f>
        <v>1.7736004312272724</v>
      </c>
      <c r="AR41" s="18">
        <f t="shared" ref="AR41:AR72" si="85">BH41*P41</f>
        <v>2.6550242550859502E-2</v>
      </c>
      <c r="AS41" s="8">
        <f t="shared" ref="AS41:AS72" si="86">BI41*P41</f>
        <v>0.14835744060844502</v>
      </c>
      <c r="AT41" s="8">
        <f t="shared" ref="AT41:AT72" si="87">AO41*BA41</f>
        <v>0.25394516860905003</v>
      </c>
      <c r="AU41" s="8">
        <f t="shared" ref="AU41:AU72" si="88">AP41*BB41</f>
        <v>1.2028981670954997</v>
      </c>
      <c r="AV41" s="8">
        <f t="shared" ref="AV41:AV72" si="89">AQ41*BC41</f>
        <v>12.415203018590907</v>
      </c>
      <c r="AW41" s="8">
        <f t="shared" ref="AW41:AW72" si="90">BD41*AT41+BF41*AU41</f>
        <v>4.513541233646115E-2</v>
      </c>
      <c r="AX41" s="8">
        <f t="shared" ref="AX41:AX72" si="91">BE41*AT41+BG41*AU41</f>
        <v>0.2522076490343565</v>
      </c>
      <c r="AY41" s="495">
        <f t="shared" si="58"/>
        <v>0.18361297207565069</v>
      </c>
      <c r="AZ41" s="8">
        <f t="shared" ref="AZ41:AZ72" si="92">(AH41/100+AI41/100)*AG41*AF41</f>
        <v>4.3787399999999997E-2</v>
      </c>
      <c r="BA41" s="6">
        <v>1.7</v>
      </c>
      <c r="BB41" s="6">
        <v>1.7</v>
      </c>
      <c r="BC41" s="6">
        <v>7</v>
      </c>
      <c r="BD41" s="9">
        <v>8.3000000000000004E-2</v>
      </c>
      <c r="BE41" s="9">
        <v>0.33</v>
      </c>
      <c r="BF41" s="15">
        <v>0.02</v>
      </c>
      <c r="BG41" s="9">
        <v>0.14000000000000001</v>
      </c>
      <c r="BH41" s="28">
        <f t="shared" ref="BH41:BH72" si="93">$AF41*$AG41*($AI41*BD41+$AJ41*BF41)/100</f>
        <v>7.0043707800000014E-3</v>
      </c>
      <c r="BI41" s="15">
        <f t="shared" ref="BI41:BI72" si="94">$AF41*$AG41*($AI41*BE41+$AJ41*BG41)/100</f>
        <v>3.9139021800000007E-2</v>
      </c>
      <c r="BJ41" s="13">
        <v>2.2000000000000002</v>
      </c>
      <c r="BK41" s="13">
        <v>1.1499999999999999</v>
      </c>
      <c r="BL41" s="14">
        <v>10</v>
      </c>
      <c r="BM41" s="14">
        <v>30</v>
      </c>
      <c r="BN41" s="14">
        <v>60</v>
      </c>
      <c r="BO41" s="8">
        <f t="shared" ref="BO41:BO72" si="95">$N$5*BJ41/100*AL41</f>
        <v>1.3926388850000001E-2</v>
      </c>
      <c r="BP41" s="8">
        <f t="shared" ref="BP41:BP72" si="96">BK41*BO41</f>
        <v>1.60153471775E-2</v>
      </c>
      <c r="BQ41" s="8">
        <f t="shared" ref="BQ41:BQ72" si="97">BL41/100*BP41</f>
        <v>1.60153471775E-3</v>
      </c>
      <c r="BR41" s="8">
        <f t="shared" ref="BR41:BR72" si="98">BM41/100*BP41</f>
        <v>4.80460415325E-3</v>
      </c>
      <c r="BS41" s="8">
        <f t="shared" ref="BS41:BS72" si="99">BN41/100*BP41</f>
        <v>9.6092083065E-3</v>
      </c>
      <c r="BT41" s="18">
        <f t="shared" ref="BT41:BT72" si="100">CH41*P41</f>
        <v>1.0474037054085002E-3</v>
      </c>
      <c r="BU41" s="8">
        <f t="shared" ref="BU41:BU72" si="101">CI41*P41</f>
        <v>4.4202358209899997E-3</v>
      </c>
      <c r="BV41" s="8">
        <f t="shared" ref="BV41:BV72" si="102">BR41*CB41</f>
        <v>8.167827060524999E-3</v>
      </c>
      <c r="BW41" s="8">
        <f t="shared" ref="BW41:BW72" si="103">BS41*CC41</f>
        <v>1.6335654121049998E-2</v>
      </c>
      <c r="BX41" s="18">
        <f t="shared" ref="BX41:BX72" si="104">BV41*CD41+CF41*BW41</f>
        <v>1.7805862991944498E-3</v>
      </c>
      <c r="BY41" s="8">
        <f t="shared" ref="BY41:BY72" si="105">BW41*CG41+BV41*CE41</f>
        <v>7.5144008956829992E-3</v>
      </c>
      <c r="BZ41" s="12">
        <f t="shared" ref="BZ41:BZ72" si="106">BL41/100+BM41/100</f>
        <v>0.4</v>
      </c>
      <c r="CA41" s="12">
        <f t="shared" si="61"/>
        <v>0.34920245398773003</v>
      </c>
      <c r="CB41" s="6">
        <v>1.7</v>
      </c>
      <c r="CC41" s="6">
        <v>1.7</v>
      </c>
      <c r="CD41" s="15">
        <v>0.16</v>
      </c>
      <c r="CE41" s="9">
        <v>0.48</v>
      </c>
      <c r="CF41" s="9">
        <v>2.9000000000000001E-2</v>
      </c>
      <c r="CG41" s="11">
        <v>0.22</v>
      </c>
      <c r="CH41" s="28">
        <f t="shared" si="62"/>
        <v>2.7632154000000006E-4</v>
      </c>
      <c r="CI41" s="15">
        <f t="shared" ref="CI41:CI72" si="107">$BJ41/100*$AF41*$BK41*($BM41*CE41+$BN41*CG41)/100</f>
        <v>1.1661276000000001E-3</v>
      </c>
      <c r="CJ41" s="13">
        <v>4.3</v>
      </c>
      <c r="CK41" s="13">
        <v>1.25</v>
      </c>
      <c r="CL41" s="14">
        <v>4</v>
      </c>
      <c r="CM41" s="14">
        <v>26</v>
      </c>
      <c r="CN41" s="14">
        <v>70</v>
      </c>
      <c r="CO41" s="8">
        <f t="shared" ref="CO41:CO72" si="108">$N$6*CJ41/100*AL41</f>
        <v>2.7219760024999994E-2</v>
      </c>
      <c r="CP41" s="8">
        <f t="shared" ref="CP41:CP72" si="109">CK41*CO41</f>
        <v>3.4024700031249994E-2</v>
      </c>
      <c r="CQ41" s="18">
        <f t="shared" ref="CQ41:CQ72" si="110">CL41/100*CP41</f>
        <v>1.3609880012499997E-3</v>
      </c>
      <c r="CR41" s="8">
        <f t="shared" ref="CR41:CR72" si="111">CM41/100*CP41</f>
        <v>8.8464220081249986E-3</v>
      </c>
      <c r="CS41" s="8">
        <f t="shared" ref="CS41:CS72" si="112">CN41/100*CP41</f>
        <v>2.3817290021874993E-2</v>
      </c>
      <c r="CT41" s="18">
        <f t="shared" ref="CT41:CT72" si="113">DH41*P41</f>
        <v>1.9169515997606247E-3</v>
      </c>
      <c r="CU41" s="8">
        <f t="shared" ref="CU41:CU72" si="114">DI41*P41</f>
        <v>8.3292465676499984E-3</v>
      </c>
      <c r="CV41" s="8">
        <f t="shared" ref="CV41:CV72" si="115">CR41*DB41</f>
        <v>1.5038917413812497E-2</v>
      </c>
      <c r="CW41" s="8">
        <f t="shared" ref="CW41:CW72" si="116">CS41*DC41</f>
        <v>4.0489393037187488E-2</v>
      </c>
      <c r="CX41" s="18">
        <f t="shared" ref="CX41:CX72" si="117">CV41*DD41+CW41*DF41</f>
        <v>3.258817719593062E-3</v>
      </c>
      <c r="CY41" s="8">
        <f t="shared" ref="CY41:CY72" si="118">CV41*DE41+CW41*DG41</f>
        <v>1.4159719165004997E-2</v>
      </c>
      <c r="CZ41" s="12">
        <f t="shared" ref="CZ41:CZ72" si="119">CL41/100+CM41/100</f>
        <v>0.3</v>
      </c>
      <c r="DA41" s="12">
        <f t="shared" si="63"/>
        <v>0.27282296650717708</v>
      </c>
      <c r="DB41" s="6">
        <v>1.7</v>
      </c>
      <c r="DC41" s="6">
        <v>1.7</v>
      </c>
      <c r="DD41" s="9">
        <v>0.14399999999999999</v>
      </c>
      <c r="DE41" s="9">
        <v>0.43</v>
      </c>
      <c r="DF41" s="15">
        <v>2.7E-2</v>
      </c>
      <c r="DG41" s="13">
        <v>0.19</v>
      </c>
      <c r="DH41" s="28">
        <f t="shared" ref="DH41:DH72" si="120">$CJ41/100*$AF41*$CK41*($CM41*DD41+$CN41*DF41)/100</f>
        <v>5.0572192499999998E-4</v>
      </c>
      <c r="DI41" s="29">
        <f t="shared" ref="DI41:DI72" si="121">$CJ41/100*$AF41*$CK41*($CM41*DE41+$CN41*DG41)/100</f>
        <v>2.197386E-3</v>
      </c>
    </row>
    <row r="42" spans="1:113" x14ac:dyDescent="0.25">
      <c r="A42" s="85">
        <v>34</v>
      </c>
      <c r="B42" s="35" t="s">
        <v>26</v>
      </c>
      <c r="C42" s="35" t="s">
        <v>28</v>
      </c>
      <c r="D42" s="31" t="s">
        <v>181</v>
      </c>
      <c r="E42" s="9">
        <v>2</v>
      </c>
      <c r="F42" s="11">
        <v>70</v>
      </c>
      <c r="G42" s="37" t="s">
        <v>114</v>
      </c>
      <c r="H42" s="19" t="s">
        <v>99</v>
      </c>
      <c r="I42" s="31" t="s">
        <v>99</v>
      </c>
      <c r="J42" s="32" t="s">
        <v>99</v>
      </c>
      <c r="K42" s="2" t="str">
        <f t="shared" si="64"/>
        <v>Statlig Landsbygd VV 70 5,7-6,6 - -</v>
      </c>
      <c r="L42" s="2"/>
      <c r="M42" s="32" t="s">
        <v>99</v>
      </c>
      <c r="N42" s="53">
        <f>'Beräkna - Länk'!$C$26</f>
        <v>1</v>
      </c>
      <c r="O42" s="53">
        <f>'Beräkna - Länk'!$C$24/('Beräkna - Länk'!$C$27)^('Beräkna - Länk'!$C$25-2010)</f>
        <v>10385</v>
      </c>
      <c r="P42" s="13">
        <f t="shared" si="65"/>
        <v>3.7905249999999997</v>
      </c>
      <c r="Q42" s="13">
        <f t="shared" si="66"/>
        <v>0.58240658519999977</v>
      </c>
      <c r="R42" s="13">
        <f t="shared" si="67"/>
        <v>0.85224041405999973</v>
      </c>
      <c r="S42" s="28">
        <f t="shared" si="68"/>
        <v>2.1260296619999994E-2</v>
      </c>
      <c r="T42" s="15">
        <f t="shared" si="69"/>
        <v>0.14705629817399996</v>
      </c>
      <c r="U42" s="13">
        <f t="shared" si="70"/>
        <v>0.68392381926599977</v>
      </c>
      <c r="V42" s="13">
        <f t="shared" si="71"/>
        <v>1.640153275636363</v>
      </c>
      <c r="W42" s="15">
        <f t="shared" si="72"/>
        <v>2.6922574070981992E-2</v>
      </c>
      <c r="X42" s="15">
        <f t="shared" si="73"/>
        <v>0.14746862238624001</v>
      </c>
      <c r="Y42" s="15">
        <f t="shared" si="74"/>
        <v>0.24999570689579989</v>
      </c>
      <c r="Z42" s="14">
        <f t="shared" si="75"/>
        <v>1.1626704927521994</v>
      </c>
      <c r="AA42" s="14">
        <f t="shared" si="76"/>
        <v>11.481072929454541</v>
      </c>
      <c r="AB42" s="13">
        <f t="shared" si="77"/>
        <v>4.5768375920669374E-2</v>
      </c>
      <c r="AC42" s="14">
        <f t="shared" si="78"/>
        <v>0.2506966580566079</v>
      </c>
      <c r="AD42" s="13">
        <f t="shared" si="55"/>
        <v>0.18917008941656549</v>
      </c>
      <c r="AE42" s="15">
        <f t="shared" si="56"/>
        <v>7.1561591999999966E-2</v>
      </c>
      <c r="AF42" s="10">
        <v>0.14399999999999999</v>
      </c>
      <c r="AG42" s="11">
        <v>1.48</v>
      </c>
      <c r="AH42" s="16">
        <v>2.2999999999999998</v>
      </c>
      <c r="AI42" s="16">
        <v>16.7</v>
      </c>
      <c r="AJ42" s="17">
        <v>81</v>
      </c>
      <c r="AK42" s="12">
        <v>2.0303030303030303</v>
      </c>
      <c r="AL42" s="12">
        <f t="shared" si="79"/>
        <v>0.54583559999999987</v>
      </c>
      <c r="AM42" s="12">
        <f t="shared" si="80"/>
        <v>0.80783668799999975</v>
      </c>
      <c r="AN42" s="18">
        <f t="shared" si="81"/>
        <v>1.8580243823999993E-2</v>
      </c>
      <c r="AO42" s="8">
        <f t="shared" si="82"/>
        <v>0.13490872689599995</v>
      </c>
      <c r="AP42" s="12">
        <f t="shared" si="83"/>
        <v>0.65434771727999974</v>
      </c>
      <c r="AQ42" s="12">
        <f t="shared" si="84"/>
        <v>1.640153275636363</v>
      </c>
      <c r="AR42" s="18">
        <f t="shared" si="85"/>
        <v>2.4284378677967993E-2</v>
      </c>
      <c r="AS42" s="8">
        <f t="shared" si="86"/>
        <v>0.13612856029488002</v>
      </c>
      <c r="AT42" s="8">
        <f t="shared" si="87"/>
        <v>0.22934483572319991</v>
      </c>
      <c r="AU42" s="8">
        <f t="shared" si="88"/>
        <v>1.1123911193759994</v>
      </c>
      <c r="AV42" s="8">
        <f t="shared" si="89"/>
        <v>11.481072929454541</v>
      </c>
      <c r="AW42" s="8">
        <f t="shared" si="90"/>
        <v>4.1283443752545584E-2</v>
      </c>
      <c r="AX42" s="8">
        <f t="shared" si="91"/>
        <v>0.23141855250129592</v>
      </c>
      <c r="AY42" s="495">
        <f t="shared" si="58"/>
        <v>0.18225547835382153</v>
      </c>
      <c r="AZ42" s="8">
        <f t="shared" si="92"/>
        <v>4.0492799999999989E-2</v>
      </c>
      <c r="BA42" s="6">
        <v>1.7</v>
      </c>
      <c r="BB42" s="6">
        <v>1.7</v>
      </c>
      <c r="BC42" s="6">
        <v>7</v>
      </c>
      <c r="BD42" s="9">
        <v>8.3000000000000004E-2</v>
      </c>
      <c r="BE42" s="9">
        <v>0.33</v>
      </c>
      <c r="BF42" s="15">
        <v>0.02</v>
      </c>
      <c r="BG42" s="9">
        <v>0.14000000000000001</v>
      </c>
      <c r="BH42" s="28">
        <f t="shared" si="93"/>
        <v>6.4066003199999989E-3</v>
      </c>
      <c r="BI42" s="15">
        <f t="shared" si="94"/>
        <v>3.5912851200000005E-2</v>
      </c>
      <c r="BJ42" s="13">
        <v>2.4</v>
      </c>
      <c r="BK42" s="13">
        <v>1.1499999999999999</v>
      </c>
      <c r="BL42" s="14">
        <v>10</v>
      </c>
      <c r="BM42" s="14">
        <v>30</v>
      </c>
      <c r="BN42" s="14">
        <v>60</v>
      </c>
      <c r="BO42" s="8">
        <f t="shared" si="95"/>
        <v>1.3100054399999997E-2</v>
      </c>
      <c r="BP42" s="8">
        <f t="shared" si="96"/>
        <v>1.5065062559999995E-2</v>
      </c>
      <c r="BQ42" s="8">
        <f t="shared" si="97"/>
        <v>1.5065062559999995E-3</v>
      </c>
      <c r="BR42" s="8">
        <f t="shared" si="98"/>
        <v>4.5195187679999979E-3</v>
      </c>
      <c r="BS42" s="8">
        <f t="shared" si="99"/>
        <v>9.0390375359999959E-3</v>
      </c>
      <c r="BT42" s="18">
        <f t="shared" si="100"/>
        <v>9.8525509142399987E-4</v>
      </c>
      <c r="BU42" s="8">
        <f t="shared" si="101"/>
        <v>4.1579572665599992E-3</v>
      </c>
      <c r="BV42" s="8">
        <f t="shared" si="102"/>
        <v>7.6831819055999959E-3</v>
      </c>
      <c r="BW42" s="8">
        <f t="shared" si="103"/>
        <v>1.5366363811199992E-2</v>
      </c>
      <c r="BX42" s="18">
        <f t="shared" si="104"/>
        <v>1.674933655420799E-3</v>
      </c>
      <c r="BY42" s="8">
        <f t="shared" si="105"/>
        <v>7.0685273531519962E-3</v>
      </c>
      <c r="BZ42" s="12">
        <f t="shared" si="106"/>
        <v>0.4</v>
      </c>
      <c r="CA42" s="12">
        <f t="shared" si="61"/>
        <v>0.34920245398773003</v>
      </c>
      <c r="CB42" s="6">
        <v>1.7</v>
      </c>
      <c r="CC42" s="6">
        <v>1.7</v>
      </c>
      <c r="CD42" s="15">
        <v>0.16</v>
      </c>
      <c r="CE42" s="9">
        <v>0.48</v>
      </c>
      <c r="CF42" s="9">
        <v>2.9000000000000001E-2</v>
      </c>
      <c r="CG42" s="11">
        <v>0.22</v>
      </c>
      <c r="CH42" s="28">
        <f t="shared" ref="CH42:CH73" si="122">$BJ42/100*$AF42*$BK42*($BM42*CD42+$BN42*CF42)/100</f>
        <v>2.5992575999999999E-4</v>
      </c>
      <c r="CI42" s="15">
        <f t="shared" si="107"/>
        <v>1.0969343999999998E-3</v>
      </c>
      <c r="CJ42" s="13">
        <v>4.3</v>
      </c>
      <c r="CK42" s="13">
        <v>1.25</v>
      </c>
      <c r="CL42" s="14">
        <v>4</v>
      </c>
      <c r="CM42" s="14">
        <v>26</v>
      </c>
      <c r="CN42" s="14">
        <v>70</v>
      </c>
      <c r="CO42" s="8">
        <f t="shared" si="108"/>
        <v>2.3470930799999991E-2</v>
      </c>
      <c r="CP42" s="8">
        <f t="shared" si="109"/>
        <v>2.9338663499999987E-2</v>
      </c>
      <c r="CQ42" s="18">
        <f t="shared" si="110"/>
        <v>1.1735465399999995E-3</v>
      </c>
      <c r="CR42" s="8">
        <f t="shared" si="111"/>
        <v>7.6280525099999968E-3</v>
      </c>
      <c r="CS42" s="8">
        <f t="shared" si="112"/>
        <v>2.0537064449999989E-2</v>
      </c>
      <c r="CT42" s="18">
        <f t="shared" si="113"/>
        <v>1.6529403015899992E-3</v>
      </c>
      <c r="CU42" s="8">
        <f t="shared" si="114"/>
        <v>7.1821048247999982E-3</v>
      </c>
      <c r="CV42" s="8">
        <f t="shared" si="115"/>
        <v>1.2967689266999994E-2</v>
      </c>
      <c r="CW42" s="8">
        <f t="shared" si="116"/>
        <v>3.4913009564999979E-2</v>
      </c>
      <c r="CX42" s="18">
        <f t="shared" si="117"/>
        <v>2.8099985127029983E-3</v>
      </c>
      <c r="CY42" s="8">
        <f t="shared" si="118"/>
        <v>1.2209578202159992E-2</v>
      </c>
      <c r="CZ42" s="12">
        <f t="shared" si="119"/>
        <v>0.3</v>
      </c>
      <c r="DA42" s="12">
        <f t="shared" si="63"/>
        <v>0.27282296650717702</v>
      </c>
      <c r="DB42" s="6">
        <v>1.7</v>
      </c>
      <c r="DC42" s="6">
        <v>1.7</v>
      </c>
      <c r="DD42" s="9">
        <v>0.14399999999999999</v>
      </c>
      <c r="DE42" s="9">
        <v>0.43</v>
      </c>
      <c r="DF42" s="15">
        <v>2.7E-2</v>
      </c>
      <c r="DG42" s="13">
        <v>0.19</v>
      </c>
      <c r="DH42" s="28">
        <f t="shared" si="120"/>
        <v>4.3607159999999983E-4</v>
      </c>
      <c r="DI42" s="29">
        <f t="shared" si="121"/>
        <v>1.8947519999999998E-3</v>
      </c>
    </row>
    <row r="43" spans="1:113" x14ac:dyDescent="0.25">
      <c r="A43" s="85">
        <v>35</v>
      </c>
      <c r="B43" s="35" t="s">
        <v>26</v>
      </c>
      <c r="C43" s="35" t="s">
        <v>28</v>
      </c>
      <c r="D43" s="31" t="s">
        <v>181</v>
      </c>
      <c r="E43" s="9">
        <v>2</v>
      </c>
      <c r="F43" s="11">
        <v>70</v>
      </c>
      <c r="G43" s="37" t="s">
        <v>111</v>
      </c>
      <c r="H43" s="19" t="s">
        <v>99</v>
      </c>
      <c r="I43" s="31" t="s">
        <v>99</v>
      </c>
      <c r="J43" s="32" t="s">
        <v>99</v>
      </c>
      <c r="K43" s="2" t="str">
        <f t="shared" si="64"/>
        <v>Statlig Landsbygd VV 70 6,7-7,9 - -</v>
      </c>
      <c r="L43" s="2"/>
      <c r="M43" s="32" t="s">
        <v>99</v>
      </c>
      <c r="N43" s="53">
        <f>'Beräkna - Länk'!$C$26</f>
        <v>1</v>
      </c>
      <c r="O43" s="53">
        <f>'Beräkna - Länk'!$C$24/('Beräkna - Länk'!$C$27)^('Beräkna - Länk'!$C$25-2010)</f>
        <v>10385</v>
      </c>
      <c r="P43" s="13">
        <f t="shared" si="65"/>
        <v>3.7905249999999997</v>
      </c>
      <c r="Q43" s="13">
        <f t="shared" si="66"/>
        <v>0.58240658519999977</v>
      </c>
      <c r="R43" s="13">
        <f t="shared" si="67"/>
        <v>0.85224041405999973</v>
      </c>
      <c r="S43" s="28">
        <f t="shared" si="68"/>
        <v>2.1260296619999994E-2</v>
      </c>
      <c r="T43" s="15">
        <f t="shared" si="69"/>
        <v>0.14705629817399996</v>
      </c>
      <c r="U43" s="13">
        <f t="shared" si="70"/>
        <v>0.68392381926599977</v>
      </c>
      <c r="V43" s="13">
        <f t="shared" si="71"/>
        <v>1.640153275636363</v>
      </c>
      <c r="W43" s="15">
        <f t="shared" si="72"/>
        <v>2.6922574070981992E-2</v>
      </c>
      <c r="X43" s="15">
        <f t="shared" si="73"/>
        <v>0.14746862238624001</v>
      </c>
      <c r="Y43" s="15">
        <f t="shared" si="74"/>
        <v>0.24999570689579989</v>
      </c>
      <c r="Z43" s="14">
        <f t="shared" si="75"/>
        <v>1.1626704927521994</v>
      </c>
      <c r="AA43" s="14">
        <f t="shared" si="76"/>
        <v>11.481072929454541</v>
      </c>
      <c r="AB43" s="13">
        <f t="shared" si="77"/>
        <v>4.5768375920669374E-2</v>
      </c>
      <c r="AC43" s="14">
        <f t="shared" si="78"/>
        <v>0.2506966580566079</v>
      </c>
      <c r="AD43" s="13">
        <f t="shared" si="55"/>
        <v>0.18917008941656549</v>
      </c>
      <c r="AE43" s="15">
        <f t="shared" si="56"/>
        <v>7.1561591999999966E-2</v>
      </c>
      <c r="AF43" s="10">
        <v>0.14399999999999999</v>
      </c>
      <c r="AG43" s="11">
        <v>1.48</v>
      </c>
      <c r="AH43" s="16">
        <v>2.2999999999999998</v>
      </c>
      <c r="AI43" s="16">
        <v>16.7</v>
      </c>
      <c r="AJ43" s="17">
        <v>81</v>
      </c>
      <c r="AK43" s="12">
        <v>2.0303030303030303</v>
      </c>
      <c r="AL43" s="12">
        <f t="shared" si="79"/>
        <v>0.54583559999999987</v>
      </c>
      <c r="AM43" s="12">
        <f t="shared" si="80"/>
        <v>0.80783668799999975</v>
      </c>
      <c r="AN43" s="18">
        <f t="shared" si="81"/>
        <v>1.8580243823999993E-2</v>
      </c>
      <c r="AO43" s="8">
        <f t="shared" si="82"/>
        <v>0.13490872689599995</v>
      </c>
      <c r="AP43" s="12">
        <f t="shared" si="83"/>
        <v>0.65434771727999974</v>
      </c>
      <c r="AQ43" s="12">
        <f t="shared" si="84"/>
        <v>1.640153275636363</v>
      </c>
      <c r="AR43" s="18">
        <f t="shared" si="85"/>
        <v>2.4284378677967993E-2</v>
      </c>
      <c r="AS43" s="8">
        <f t="shared" si="86"/>
        <v>0.13612856029488002</v>
      </c>
      <c r="AT43" s="8">
        <f t="shared" si="87"/>
        <v>0.22934483572319991</v>
      </c>
      <c r="AU43" s="8">
        <f t="shared" si="88"/>
        <v>1.1123911193759994</v>
      </c>
      <c r="AV43" s="8">
        <f t="shared" si="89"/>
        <v>11.481072929454541</v>
      </c>
      <c r="AW43" s="8">
        <f t="shared" si="90"/>
        <v>4.1283443752545584E-2</v>
      </c>
      <c r="AX43" s="8">
        <f t="shared" si="91"/>
        <v>0.23141855250129592</v>
      </c>
      <c r="AY43" s="495">
        <f t="shared" si="58"/>
        <v>0.18225547835382153</v>
      </c>
      <c r="AZ43" s="8">
        <f t="shared" si="92"/>
        <v>4.0492799999999989E-2</v>
      </c>
      <c r="BA43" s="6">
        <v>1.7</v>
      </c>
      <c r="BB43" s="6">
        <v>1.7</v>
      </c>
      <c r="BC43" s="6">
        <v>7</v>
      </c>
      <c r="BD43" s="9">
        <v>8.3000000000000004E-2</v>
      </c>
      <c r="BE43" s="9">
        <v>0.33</v>
      </c>
      <c r="BF43" s="15">
        <v>0.02</v>
      </c>
      <c r="BG43" s="9">
        <v>0.14000000000000001</v>
      </c>
      <c r="BH43" s="28">
        <f t="shared" si="93"/>
        <v>6.4066003199999989E-3</v>
      </c>
      <c r="BI43" s="15">
        <f t="shared" si="94"/>
        <v>3.5912851200000005E-2</v>
      </c>
      <c r="BJ43" s="13">
        <v>2.4</v>
      </c>
      <c r="BK43" s="13">
        <v>1.1499999999999999</v>
      </c>
      <c r="BL43" s="14">
        <v>10</v>
      </c>
      <c r="BM43" s="14">
        <v>30</v>
      </c>
      <c r="BN43" s="14">
        <v>60</v>
      </c>
      <c r="BO43" s="8">
        <f t="shared" si="95"/>
        <v>1.3100054399999997E-2</v>
      </c>
      <c r="BP43" s="8">
        <f t="shared" si="96"/>
        <v>1.5065062559999995E-2</v>
      </c>
      <c r="BQ43" s="8">
        <f t="shared" si="97"/>
        <v>1.5065062559999995E-3</v>
      </c>
      <c r="BR43" s="8">
        <f t="shared" si="98"/>
        <v>4.5195187679999979E-3</v>
      </c>
      <c r="BS43" s="8">
        <f t="shared" si="99"/>
        <v>9.0390375359999959E-3</v>
      </c>
      <c r="BT43" s="18">
        <f t="shared" si="100"/>
        <v>9.8525509142399987E-4</v>
      </c>
      <c r="BU43" s="8">
        <f t="shared" si="101"/>
        <v>4.1579572665599992E-3</v>
      </c>
      <c r="BV43" s="8">
        <f t="shared" si="102"/>
        <v>7.6831819055999959E-3</v>
      </c>
      <c r="BW43" s="8">
        <f t="shared" si="103"/>
        <v>1.5366363811199992E-2</v>
      </c>
      <c r="BX43" s="18">
        <f t="shared" si="104"/>
        <v>1.674933655420799E-3</v>
      </c>
      <c r="BY43" s="8">
        <f t="shared" si="105"/>
        <v>7.0685273531519962E-3</v>
      </c>
      <c r="BZ43" s="12">
        <f t="shared" si="106"/>
        <v>0.4</v>
      </c>
      <c r="CA43" s="12">
        <f t="shared" si="61"/>
        <v>0.34920245398773003</v>
      </c>
      <c r="CB43" s="6">
        <v>1.7</v>
      </c>
      <c r="CC43" s="6">
        <v>1.7</v>
      </c>
      <c r="CD43" s="15">
        <v>0.16</v>
      </c>
      <c r="CE43" s="9">
        <v>0.48</v>
      </c>
      <c r="CF43" s="9">
        <v>2.9000000000000001E-2</v>
      </c>
      <c r="CG43" s="11">
        <v>0.22</v>
      </c>
      <c r="CH43" s="28">
        <f t="shared" si="122"/>
        <v>2.5992575999999999E-4</v>
      </c>
      <c r="CI43" s="15">
        <f t="shared" si="107"/>
        <v>1.0969343999999998E-3</v>
      </c>
      <c r="CJ43" s="13">
        <v>4.3</v>
      </c>
      <c r="CK43" s="13">
        <v>1.25</v>
      </c>
      <c r="CL43" s="14">
        <v>4</v>
      </c>
      <c r="CM43" s="14">
        <v>26</v>
      </c>
      <c r="CN43" s="14">
        <v>70</v>
      </c>
      <c r="CO43" s="8">
        <f t="shared" si="108"/>
        <v>2.3470930799999991E-2</v>
      </c>
      <c r="CP43" s="8">
        <f t="shared" si="109"/>
        <v>2.9338663499999987E-2</v>
      </c>
      <c r="CQ43" s="18">
        <f t="shared" si="110"/>
        <v>1.1735465399999995E-3</v>
      </c>
      <c r="CR43" s="8">
        <f t="shared" si="111"/>
        <v>7.6280525099999968E-3</v>
      </c>
      <c r="CS43" s="8">
        <f t="shared" si="112"/>
        <v>2.0537064449999989E-2</v>
      </c>
      <c r="CT43" s="18">
        <f t="shared" si="113"/>
        <v>1.6529403015899992E-3</v>
      </c>
      <c r="CU43" s="8">
        <f t="shared" si="114"/>
        <v>7.1821048247999982E-3</v>
      </c>
      <c r="CV43" s="8">
        <f t="shared" si="115"/>
        <v>1.2967689266999994E-2</v>
      </c>
      <c r="CW43" s="8">
        <f t="shared" si="116"/>
        <v>3.4913009564999979E-2</v>
      </c>
      <c r="CX43" s="18">
        <f t="shared" si="117"/>
        <v>2.8099985127029983E-3</v>
      </c>
      <c r="CY43" s="8">
        <f t="shared" si="118"/>
        <v>1.2209578202159992E-2</v>
      </c>
      <c r="CZ43" s="12">
        <f t="shared" si="119"/>
        <v>0.3</v>
      </c>
      <c r="DA43" s="12">
        <f t="shared" si="63"/>
        <v>0.27282296650717702</v>
      </c>
      <c r="DB43" s="6">
        <v>1.7</v>
      </c>
      <c r="DC43" s="6">
        <v>1.7</v>
      </c>
      <c r="DD43" s="9">
        <v>0.14399999999999999</v>
      </c>
      <c r="DE43" s="9">
        <v>0.43</v>
      </c>
      <c r="DF43" s="15">
        <v>2.7E-2</v>
      </c>
      <c r="DG43" s="13">
        <v>0.19</v>
      </c>
      <c r="DH43" s="28">
        <f t="shared" si="120"/>
        <v>4.3607159999999983E-4</v>
      </c>
      <c r="DI43" s="29">
        <f t="shared" si="121"/>
        <v>1.8947519999999998E-3</v>
      </c>
    </row>
    <row r="44" spans="1:113" x14ac:dyDescent="0.25">
      <c r="A44" s="85">
        <v>36</v>
      </c>
      <c r="B44" s="35" t="s">
        <v>26</v>
      </c>
      <c r="C44" s="35" t="s">
        <v>28</v>
      </c>
      <c r="D44" s="31" t="s">
        <v>181</v>
      </c>
      <c r="E44" s="9">
        <v>2</v>
      </c>
      <c r="F44" s="11">
        <v>70</v>
      </c>
      <c r="G44" s="37" t="s">
        <v>27</v>
      </c>
      <c r="H44" s="19" t="s">
        <v>99</v>
      </c>
      <c r="I44" s="31" t="s">
        <v>99</v>
      </c>
      <c r="J44" s="32" t="s">
        <v>99</v>
      </c>
      <c r="K44" s="2" t="str">
        <f t="shared" si="64"/>
        <v>Statlig Landsbygd VV 70 8-10 - -</v>
      </c>
      <c r="L44" s="2"/>
      <c r="M44" s="32" t="s">
        <v>99</v>
      </c>
      <c r="N44" s="53">
        <f>'Beräkna - Länk'!$C$26</f>
        <v>1</v>
      </c>
      <c r="O44" s="53">
        <f>'Beräkna - Länk'!$C$24/('Beräkna - Länk'!$C$27)^('Beräkna - Länk'!$C$25-2010)</f>
        <v>10385</v>
      </c>
      <c r="P44" s="13">
        <f t="shared" si="65"/>
        <v>3.7905249999999997</v>
      </c>
      <c r="Q44" s="13">
        <f t="shared" si="66"/>
        <v>0.44893840942499996</v>
      </c>
      <c r="R44" s="13">
        <f t="shared" si="67"/>
        <v>0.70321762942124999</v>
      </c>
      <c r="S44" s="28">
        <f t="shared" si="68"/>
        <v>1.0093751117249999E-2</v>
      </c>
      <c r="T44" s="15">
        <f t="shared" si="69"/>
        <v>0.11840908329187501</v>
      </c>
      <c r="U44" s="13">
        <f t="shared" si="70"/>
        <v>0.57471479501212486</v>
      </c>
      <c r="V44" s="13">
        <f t="shared" si="71"/>
        <v>1.3582519313863637</v>
      </c>
      <c r="W44" s="15">
        <f t="shared" si="72"/>
        <v>2.2122702369241878E-2</v>
      </c>
      <c r="X44" s="15">
        <f t="shared" si="73"/>
        <v>0.1219945738669425</v>
      </c>
      <c r="Y44" s="15">
        <f t="shared" si="74"/>
        <v>0.20129544159618748</v>
      </c>
      <c r="Z44" s="14">
        <f t="shared" si="75"/>
        <v>0.97701515152061247</v>
      </c>
      <c r="AA44" s="14">
        <f t="shared" si="76"/>
        <v>9.5077635197045467</v>
      </c>
      <c r="AB44" s="13">
        <f t="shared" si="77"/>
        <v>3.760859402771119E-2</v>
      </c>
      <c r="AC44" s="14">
        <f t="shared" si="78"/>
        <v>0.20739077557380226</v>
      </c>
      <c r="AD44" s="13">
        <f t="shared" si="55"/>
        <v>0.17787648937759645</v>
      </c>
      <c r="AE44" s="15">
        <f t="shared" si="56"/>
        <v>5.5767787499999999E-2</v>
      </c>
      <c r="AF44" s="11">
        <v>0.111</v>
      </c>
      <c r="AG44" s="16">
        <v>1.59</v>
      </c>
      <c r="AH44" s="16">
        <v>1.2</v>
      </c>
      <c r="AI44" s="16">
        <v>16.3</v>
      </c>
      <c r="AJ44" s="17">
        <v>82.5</v>
      </c>
      <c r="AK44" s="12">
        <v>2.0303030303030303</v>
      </c>
      <c r="AL44" s="12">
        <f t="shared" si="79"/>
        <v>0.42074827499999995</v>
      </c>
      <c r="AM44" s="12">
        <f t="shared" si="80"/>
        <v>0.66898975724999998</v>
      </c>
      <c r="AN44" s="18">
        <f t="shared" si="81"/>
        <v>8.0278770870000002E-3</v>
      </c>
      <c r="AO44" s="8">
        <f t="shared" si="82"/>
        <v>0.10904533043175001</v>
      </c>
      <c r="AP44" s="12">
        <f t="shared" si="83"/>
        <v>0.55191654973124993</v>
      </c>
      <c r="AQ44" s="12">
        <f t="shared" si="84"/>
        <v>1.3582519313863637</v>
      </c>
      <c r="AR44" s="18">
        <f t="shared" si="85"/>
        <v>2.0089093420460252E-2</v>
      </c>
      <c r="AS44" s="8">
        <f t="shared" si="86"/>
        <v>0.11325327600485251</v>
      </c>
      <c r="AT44" s="8">
        <f t="shared" si="87"/>
        <v>0.185377061733975</v>
      </c>
      <c r="AU44" s="8">
        <f t="shared" si="88"/>
        <v>0.9382581345431249</v>
      </c>
      <c r="AV44" s="8">
        <f t="shared" si="89"/>
        <v>9.5077635197045467</v>
      </c>
      <c r="AW44" s="8">
        <f t="shared" si="90"/>
        <v>3.4151458814782425E-2</v>
      </c>
      <c r="AX44" s="8">
        <f t="shared" si="91"/>
        <v>0.19253056920824926</v>
      </c>
      <c r="AY44" s="495">
        <f t="shared" si="58"/>
        <v>0.1709032868290376</v>
      </c>
      <c r="AZ44" s="8">
        <f t="shared" si="92"/>
        <v>3.0885750000000007E-2</v>
      </c>
      <c r="BA44" s="6">
        <v>1.7</v>
      </c>
      <c r="BB44" s="6">
        <v>1.7</v>
      </c>
      <c r="BC44" s="6">
        <v>7</v>
      </c>
      <c r="BD44" s="9">
        <v>8.3000000000000004E-2</v>
      </c>
      <c r="BE44" s="9">
        <v>0.33</v>
      </c>
      <c r="BF44" s="15">
        <v>0.02</v>
      </c>
      <c r="BG44" s="9">
        <v>0.14000000000000001</v>
      </c>
      <c r="BH44" s="28">
        <f t="shared" si="93"/>
        <v>5.2998182100000013E-3</v>
      </c>
      <c r="BI44" s="15">
        <f t="shared" si="94"/>
        <v>2.9877992100000004E-2</v>
      </c>
      <c r="BJ44" s="13">
        <v>2.4</v>
      </c>
      <c r="BK44" s="13">
        <v>1.1499999999999999</v>
      </c>
      <c r="BL44" s="14">
        <v>10</v>
      </c>
      <c r="BM44" s="14">
        <v>30</v>
      </c>
      <c r="BN44" s="14">
        <v>60</v>
      </c>
      <c r="BO44" s="8">
        <f t="shared" si="95"/>
        <v>1.0097958599999998E-2</v>
      </c>
      <c r="BP44" s="8">
        <f t="shared" si="96"/>
        <v>1.1612652389999997E-2</v>
      </c>
      <c r="BQ44" s="8">
        <f t="shared" si="97"/>
        <v>1.1612652389999998E-3</v>
      </c>
      <c r="BR44" s="8">
        <f t="shared" si="98"/>
        <v>3.4837957169999989E-3</v>
      </c>
      <c r="BS44" s="8">
        <f t="shared" si="99"/>
        <v>6.9675914339999978E-3</v>
      </c>
      <c r="BT44" s="18">
        <f t="shared" si="100"/>
        <v>7.59467466306E-4</v>
      </c>
      <c r="BU44" s="8">
        <f t="shared" si="101"/>
        <v>3.2050920596399996E-3</v>
      </c>
      <c r="BV44" s="8">
        <f t="shared" si="102"/>
        <v>5.9224527188999976E-3</v>
      </c>
      <c r="BW44" s="8">
        <f t="shared" si="103"/>
        <v>1.1844905437799995E-2</v>
      </c>
      <c r="BX44" s="18">
        <f t="shared" si="104"/>
        <v>1.2910946927201994E-3</v>
      </c>
      <c r="BY44" s="8">
        <f t="shared" si="105"/>
        <v>5.4486565013879976E-3</v>
      </c>
      <c r="BZ44" s="12">
        <f t="shared" si="106"/>
        <v>0.4</v>
      </c>
      <c r="CA44" s="12">
        <f t="shared" si="61"/>
        <v>0.34920245398773003</v>
      </c>
      <c r="CB44" s="6">
        <v>1.7</v>
      </c>
      <c r="CC44" s="6">
        <v>1.7</v>
      </c>
      <c r="CD44" s="15">
        <v>0.16</v>
      </c>
      <c r="CE44" s="9">
        <v>0.48</v>
      </c>
      <c r="CF44" s="9">
        <v>2.9000000000000001E-2</v>
      </c>
      <c r="CG44" s="11">
        <v>0.22</v>
      </c>
      <c r="CH44" s="28">
        <f t="shared" si="122"/>
        <v>2.0035944E-4</v>
      </c>
      <c r="CI44" s="15">
        <f t="shared" si="107"/>
        <v>8.4555359999999996E-4</v>
      </c>
      <c r="CJ44" s="13">
        <v>4.3</v>
      </c>
      <c r="CK44" s="13">
        <v>1.25</v>
      </c>
      <c r="CL44" s="14">
        <v>4</v>
      </c>
      <c r="CM44" s="14">
        <v>26</v>
      </c>
      <c r="CN44" s="14">
        <v>70</v>
      </c>
      <c r="CO44" s="8">
        <f t="shared" si="108"/>
        <v>1.8092175824999997E-2</v>
      </c>
      <c r="CP44" s="8">
        <f t="shared" si="109"/>
        <v>2.2615219781249998E-2</v>
      </c>
      <c r="CQ44" s="18">
        <f t="shared" si="110"/>
        <v>9.0460879124999987E-4</v>
      </c>
      <c r="CR44" s="8">
        <f t="shared" si="111"/>
        <v>5.8799571431249996E-3</v>
      </c>
      <c r="CS44" s="8">
        <f t="shared" si="112"/>
        <v>1.5830653846874997E-2</v>
      </c>
      <c r="CT44" s="18">
        <f t="shared" si="113"/>
        <v>1.2741414824756247E-3</v>
      </c>
      <c r="CU44" s="8">
        <f t="shared" si="114"/>
        <v>5.5362058024499994E-3</v>
      </c>
      <c r="CV44" s="8">
        <f t="shared" si="115"/>
        <v>9.995927143312499E-3</v>
      </c>
      <c r="CW44" s="8">
        <f t="shared" si="116"/>
        <v>2.6912111539687495E-2</v>
      </c>
      <c r="CX44" s="18">
        <f t="shared" si="117"/>
        <v>2.1660405202085621E-3</v>
      </c>
      <c r="CY44" s="8">
        <f t="shared" si="118"/>
        <v>9.4115498641649982E-3</v>
      </c>
      <c r="CZ44" s="12">
        <f t="shared" si="119"/>
        <v>0.3</v>
      </c>
      <c r="DA44" s="12">
        <f t="shared" si="63"/>
        <v>0.27282296650717708</v>
      </c>
      <c r="DB44" s="6">
        <v>1.7</v>
      </c>
      <c r="DC44" s="6">
        <v>1.7</v>
      </c>
      <c r="DD44" s="9">
        <v>0.14399999999999999</v>
      </c>
      <c r="DE44" s="9">
        <v>0.43</v>
      </c>
      <c r="DF44" s="15">
        <v>2.7E-2</v>
      </c>
      <c r="DG44" s="13">
        <v>0.19</v>
      </c>
      <c r="DH44" s="28">
        <f t="shared" si="120"/>
        <v>3.3613852499999995E-4</v>
      </c>
      <c r="DI44" s="29">
        <f t="shared" si="121"/>
        <v>1.4605379999999999E-3</v>
      </c>
    </row>
    <row r="45" spans="1:113" x14ac:dyDescent="0.25">
      <c r="A45" s="85">
        <v>37</v>
      </c>
      <c r="B45" s="35" t="s">
        <v>26</v>
      </c>
      <c r="C45" s="35" t="s">
        <v>28</v>
      </c>
      <c r="D45" s="31" t="s">
        <v>181</v>
      </c>
      <c r="E45" s="9">
        <v>2</v>
      </c>
      <c r="F45" s="11">
        <v>70</v>
      </c>
      <c r="G45" s="37" t="s">
        <v>115</v>
      </c>
      <c r="H45" s="19" t="s">
        <v>99</v>
      </c>
      <c r="I45" s="31" t="s">
        <v>99</v>
      </c>
      <c r="J45" s="32" t="s">
        <v>99</v>
      </c>
      <c r="K45" s="2" t="str">
        <f t="shared" si="64"/>
        <v>Statlig Landsbygd VV 70 10,1-11,5 - -</v>
      </c>
      <c r="L45" s="2"/>
      <c r="M45" s="32" t="s">
        <v>99</v>
      </c>
      <c r="N45" s="53">
        <f>'Beräkna - Länk'!$C$26</f>
        <v>1</v>
      </c>
      <c r="O45" s="53">
        <f>'Beräkna - Länk'!$C$24/('Beräkna - Länk'!$C$27)^('Beräkna - Länk'!$C$25-2010)</f>
        <v>10385</v>
      </c>
      <c r="P45" s="13">
        <f t="shared" si="65"/>
        <v>3.7905249999999997</v>
      </c>
      <c r="Q45" s="13">
        <f t="shared" si="66"/>
        <v>0.42062697819999995</v>
      </c>
      <c r="R45" s="13">
        <f t="shared" si="67"/>
        <v>0.70223417770999985</v>
      </c>
      <c r="S45" s="28">
        <f t="shared" si="68"/>
        <v>8.6372418859999977E-3</v>
      </c>
      <c r="T45" s="15">
        <f t="shared" si="69"/>
        <v>0.11264879302299997</v>
      </c>
      <c r="U45" s="13">
        <f t="shared" si="70"/>
        <v>0.58094814280099993</v>
      </c>
      <c r="V45" s="13">
        <f t="shared" si="71"/>
        <v>1.3606376648484846</v>
      </c>
      <c r="W45" s="15">
        <f t="shared" si="72"/>
        <v>2.1718786242698997E-2</v>
      </c>
      <c r="X45" s="15">
        <f t="shared" si="73"/>
        <v>0.12081124284475997</v>
      </c>
      <c r="Y45" s="15">
        <f t="shared" si="74"/>
        <v>0.19150294813909996</v>
      </c>
      <c r="Z45" s="14">
        <f t="shared" si="75"/>
        <v>0.98761184276169967</v>
      </c>
      <c r="AA45" s="14">
        <f t="shared" si="76"/>
        <v>9.5244636539393923</v>
      </c>
      <c r="AB45" s="13">
        <f t="shared" si="77"/>
        <v>3.6921936612588302E-2</v>
      </c>
      <c r="AC45" s="14">
        <f t="shared" si="78"/>
        <v>0.20537911283609198</v>
      </c>
      <c r="AD45" s="13">
        <f t="shared" si="55"/>
        <v>0.16850334455375748</v>
      </c>
      <c r="AE45" s="15">
        <f t="shared" si="56"/>
        <v>5.280012399999999E-2</v>
      </c>
      <c r="AF45" s="10">
        <v>0.104</v>
      </c>
      <c r="AG45" s="16">
        <v>1.7</v>
      </c>
      <c r="AH45" s="16">
        <v>1</v>
      </c>
      <c r="AI45" s="16">
        <v>15.5</v>
      </c>
      <c r="AJ45" s="17">
        <v>83.5</v>
      </c>
      <c r="AK45" s="12">
        <v>2.0303030303030303</v>
      </c>
      <c r="AL45" s="12">
        <f t="shared" si="79"/>
        <v>0.39421459999999997</v>
      </c>
      <c r="AM45" s="12">
        <f t="shared" si="80"/>
        <v>0.67016481999999988</v>
      </c>
      <c r="AN45" s="18">
        <f t="shared" si="81"/>
        <v>6.7016481999999985E-3</v>
      </c>
      <c r="AO45" s="8">
        <f t="shared" si="82"/>
        <v>0.10387554709999998</v>
      </c>
      <c r="AP45" s="12">
        <f t="shared" si="83"/>
        <v>0.5595876246999999</v>
      </c>
      <c r="AQ45" s="12">
        <f t="shared" si="84"/>
        <v>1.3606376648484846</v>
      </c>
      <c r="AR45" s="18">
        <f t="shared" si="85"/>
        <v>1.9813422903299998E-2</v>
      </c>
      <c r="AS45" s="8">
        <f t="shared" si="86"/>
        <v>0.11262119800099998</v>
      </c>
      <c r="AT45" s="8">
        <f t="shared" si="87"/>
        <v>0.17658843006999997</v>
      </c>
      <c r="AU45" s="8">
        <f t="shared" si="88"/>
        <v>0.95129896198999975</v>
      </c>
      <c r="AV45" s="8">
        <f t="shared" si="89"/>
        <v>9.5244636539393923</v>
      </c>
      <c r="AW45" s="8">
        <f t="shared" si="90"/>
        <v>3.3682818935609996E-2</v>
      </c>
      <c r="AX45" s="8">
        <f t="shared" si="91"/>
        <v>0.19145603660169996</v>
      </c>
      <c r="AY45" s="495">
        <f t="shared" si="58"/>
        <v>0.16154754873006499</v>
      </c>
      <c r="AZ45" s="8">
        <f t="shared" si="92"/>
        <v>2.9172E-2</v>
      </c>
      <c r="BA45" s="6">
        <v>1.7</v>
      </c>
      <c r="BB45" s="6">
        <v>1.7</v>
      </c>
      <c r="BC45" s="6">
        <v>7</v>
      </c>
      <c r="BD45" s="9">
        <v>8.3000000000000004E-2</v>
      </c>
      <c r="BE45" s="9">
        <v>0.33</v>
      </c>
      <c r="BF45" s="15">
        <v>0.02</v>
      </c>
      <c r="BG45" s="9">
        <v>0.14000000000000001</v>
      </c>
      <c r="BH45" s="28">
        <f t="shared" si="93"/>
        <v>5.227092E-3</v>
      </c>
      <c r="BI45" s="15">
        <f t="shared" si="94"/>
        <v>2.9711239999999996E-2</v>
      </c>
      <c r="BJ45" s="13">
        <v>2.4</v>
      </c>
      <c r="BK45" s="13">
        <v>1.1499999999999999</v>
      </c>
      <c r="BL45" s="14">
        <v>10</v>
      </c>
      <c r="BM45" s="14">
        <v>30</v>
      </c>
      <c r="BN45" s="14">
        <v>60</v>
      </c>
      <c r="BO45" s="8">
        <f t="shared" si="95"/>
        <v>9.4611503999999999E-3</v>
      </c>
      <c r="BP45" s="8">
        <f t="shared" si="96"/>
        <v>1.0880322959999999E-2</v>
      </c>
      <c r="BQ45" s="8">
        <f t="shared" si="97"/>
        <v>1.088032296E-3</v>
      </c>
      <c r="BR45" s="8">
        <f t="shared" si="98"/>
        <v>3.2640968879999997E-3</v>
      </c>
      <c r="BS45" s="8">
        <f t="shared" si="99"/>
        <v>6.5281937759999993E-3</v>
      </c>
      <c r="BT45" s="18">
        <f t="shared" si="100"/>
        <v>7.1157312158399977E-4</v>
      </c>
      <c r="BU45" s="8">
        <f t="shared" si="101"/>
        <v>3.0029691369599992E-3</v>
      </c>
      <c r="BV45" s="8">
        <f t="shared" si="102"/>
        <v>5.5489647095999994E-3</v>
      </c>
      <c r="BW45" s="8">
        <f t="shared" si="103"/>
        <v>1.1097929419199999E-2</v>
      </c>
      <c r="BX45" s="18">
        <f t="shared" si="104"/>
        <v>1.2096743066928001E-3</v>
      </c>
      <c r="BY45" s="8">
        <f t="shared" si="105"/>
        <v>5.1050475328319996E-3</v>
      </c>
      <c r="BZ45" s="12">
        <f t="shared" si="106"/>
        <v>0.4</v>
      </c>
      <c r="CA45" s="12">
        <f t="shared" si="61"/>
        <v>0.34920245398773003</v>
      </c>
      <c r="CB45" s="6">
        <v>1.7</v>
      </c>
      <c r="CC45" s="6">
        <v>1.7</v>
      </c>
      <c r="CD45" s="15">
        <v>0.16</v>
      </c>
      <c r="CE45" s="9">
        <v>0.48</v>
      </c>
      <c r="CF45" s="9">
        <v>2.9000000000000001E-2</v>
      </c>
      <c r="CG45" s="11">
        <v>0.22</v>
      </c>
      <c r="CH45" s="28">
        <f t="shared" si="122"/>
        <v>1.8772415999999996E-4</v>
      </c>
      <c r="CI45" s="15">
        <f t="shared" si="107"/>
        <v>7.9223039999999981E-4</v>
      </c>
      <c r="CJ45" s="13">
        <v>4.3</v>
      </c>
      <c r="CK45" s="13">
        <v>1.25</v>
      </c>
      <c r="CL45" s="14">
        <v>4</v>
      </c>
      <c r="CM45" s="14">
        <v>26</v>
      </c>
      <c r="CN45" s="14">
        <v>70</v>
      </c>
      <c r="CO45" s="8">
        <f t="shared" si="108"/>
        <v>1.6951227799999996E-2</v>
      </c>
      <c r="CP45" s="8">
        <f t="shared" si="109"/>
        <v>2.1189034749999995E-2</v>
      </c>
      <c r="CQ45" s="18">
        <f t="shared" si="110"/>
        <v>8.4756138999999978E-4</v>
      </c>
      <c r="CR45" s="8">
        <f t="shared" si="111"/>
        <v>5.5091490349999991E-3</v>
      </c>
      <c r="CS45" s="8">
        <f t="shared" si="112"/>
        <v>1.4832324324999995E-2</v>
      </c>
      <c r="CT45" s="18">
        <f t="shared" si="113"/>
        <v>1.1937902178149999E-3</v>
      </c>
      <c r="CU45" s="8">
        <f t="shared" si="114"/>
        <v>5.1870757067999989E-3</v>
      </c>
      <c r="CV45" s="8">
        <f t="shared" si="115"/>
        <v>9.3655533594999979E-3</v>
      </c>
      <c r="CW45" s="8">
        <f t="shared" si="116"/>
        <v>2.521495135249999E-2</v>
      </c>
      <c r="CX45" s="18">
        <f t="shared" si="117"/>
        <v>2.0294433702854994E-3</v>
      </c>
      <c r="CY45" s="8">
        <f t="shared" si="118"/>
        <v>8.8180287015599979E-3</v>
      </c>
      <c r="CZ45" s="12">
        <f t="shared" si="119"/>
        <v>0.3</v>
      </c>
      <c r="DA45" s="12">
        <f t="shared" si="63"/>
        <v>0.27282296650717708</v>
      </c>
      <c r="DB45" s="6">
        <v>1.7</v>
      </c>
      <c r="DC45" s="6">
        <v>1.7</v>
      </c>
      <c r="DD45" s="9">
        <v>0.14399999999999999</v>
      </c>
      <c r="DE45" s="9">
        <v>0.43</v>
      </c>
      <c r="DF45" s="15">
        <v>2.7E-2</v>
      </c>
      <c r="DG45" s="13">
        <v>0.19</v>
      </c>
      <c r="DH45" s="28">
        <f t="shared" si="120"/>
        <v>3.1494059999999998E-4</v>
      </c>
      <c r="DI45" s="29">
        <f t="shared" si="121"/>
        <v>1.3684319999999999E-3</v>
      </c>
    </row>
    <row r="46" spans="1:113" x14ac:dyDescent="0.25">
      <c r="A46" s="85">
        <v>38</v>
      </c>
      <c r="B46" s="35" t="s">
        <v>26</v>
      </c>
      <c r="C46" s="35" t="s">
        <v>28</v>
      </c>
      <c r="D46" s="31" t="s">
        <v>181</v>
      </c>
      <c r="E46" s="9">
        <v>2</v>
      </c>
      <c r="F46" s="11">
        <v>70</v>
      </c>
      <c r="G46" s="36" t="s">
        <v>165</v>
      </c>
      <c r="H46" s="19" t="s">
        <v>99</v>
      </c>
      <c r="I46" s="31" t="s">
        <v>99</v>
      </c>
      <c r="J46" s="32" t="s">
        <v>99</v>
      </c>
      <c r="K46" s="2" t="str">
        <f t="shared" si="64"/>
        <v>Statlig Landsbygd VV 70 11,6- - -</v>
      </c>
      <c r="L46" s="2"/>
      <c r="M46" s="32" t="s">
        <v>99</v>
      </c>
      <c r="N46" s="53">
        <f>'Beräkna - Länk'!$C$26</f>
        <v>1</v>
      </c>
      <c r="O46" s="53">
        <f>'Beräkna - Länk'!$C$24/('Beräkna - Länk'!$C$27)^('Beräkna - Länk'!$C$25-2010)</f>
        <v>10385</v>
      </c>
      <c r="P46" s="13">
        <f t="shared" si="65"/>
        <v>3.7905249999999997</v>
      </c>
      <c r="Q46" s="13">
        <f t="shared" si="66"/>
        <v>0.42062697819999995</v>
      </c>
      <c r="R46" s="13">
        <f t="shared" si="67"/>
        <v>0.70223417770999985</v>
      </c>
      <c r="S46" s="28">
        <f t="shared" si="68"/>
        <v>7.9670770659999984E-3</v>
      </c>
      <c r="T46" s="15">
        <f t="shared" si="69"/>
        <v>0.11331895784299997</v>
      </c>
      <c r="U46" s="13">
        <f t="shared" si="70"/>
        <v>0.58094814280099993</v>
      </c>
      <c r="V46" s="13">
        <f t="shared" si="71"/>
        <v>1.3606376648484846</v>
      </c>
      <c r="W46" s="15">
        <f t="shared" si="72"/>
        <v>2.1774409922758996E-2</v>
      </c>
      <c r="X46" s="15">
        <f t="shared" si="73"/>
        <v>0.12103239723535998</v>
      </c>
      <c r="Y46" s="15">
        <f t="shared" si="74"/>
        <v>0.19264222833309996</v>
      </c>
      <c r="Z46" s="14">
        <f t="shared" si="75"/>
        <v>0.98761184276169967</v>
      </c>
      <c r="AA46" s="14">
        <f t="shared" si="76"/>
        <v>9.5244636539393923</v>
      </c>
      <c r="AB46" s="13">
        <f t="shared" si="77"/>
        <v>3.7016496868690296E-2</v>
      </c>
      <c r="AC46" s="14">
        <f t="shared" si="78"/>
        <v>0.20575507530011197</v>
      </c>
      <c r="AD46" s="13">
        <f t="shared" si="55"/>
        <v>0.16883162339739127</v>
      </c>
      <c r="AE46" s="15">
        <f t="shared" si="56"/>
        <v>5.2923883999999997E-2</v>
      </c>
      <c r="AF46" s="10">
        <v>0.104</v>
      </c>
      <c r="AG46" s="16">
        <v>1.7</v>
      </c>
      <c r="AH46" s="16">
        <v>0.9</v>
      </c>
      <c r="AI46" s="16">
        <v>15.6</v>
      </c>
      <c r="AJ46" s="17">
        <v>83.5</v>
      </c>
      <c r="AK46" s="12">
        <v>2.0303030303030303</v>
      </c>
      <c r="AL46" s="12">
        <f t="shared" si="79"/>
        <v>0.39421459999999997</v>
      </c>
      <c r="AM46" s="12">
        <f t="shared" si="80"/>
        <v>0.67016481999999988</v>
      </c>
      <c r="AN46" s="18">
        <f t="shared" si="81"/>
        <v>6.0314833799999992E-3</v>
      </c>
      <c r="AO46" s="8">
        <f t="shared" si="82"/>
        <v>0.10454571191999998</v>
      </c>
      <c r="AP46" s="12">
        <f t="shared" si="83"/>
        <v>0.5595876246999999</v>
      </c>
      <c r="AQ46" s="12">
        <f t="shared" si="84"/>
        <v>1.3606376648484846</v>
      </c>
      <c r="AR46" s="18">
        <f t="shared" si="85"/>
        <v>1.9869046583359997E-2</v>
      </c>
      <c r="AS46" s="8">
        <f t="shared" si="86"/>
        <v>0.1128423523916</v>
      </c>
      <c r="AT46" s="8">
        <f t="shared" si="87"/>
        <v>0.17772771026399997</v>
      </c>
      <c r="AU46" s="8">
        <f t="shared" si="88"/>
        <v>0.95129896198999975</v>
      </c>
      <c r="AV46" s="8">
        <f t="shared" si="89"/>
        <v>9.5244636539393923</v>
      </c>
      <c r="AW46" s="8">
        <f t="shared" si="90"/>
        <v>3.377737919171199E-2</v>
      </c>
      <c r="AX46" s="8">
        <f t="shared" si="91"/>
        <v>0.19183199906571996</v>
      </c>
      <c r="AY46" s="495">
        <f t="shared" si="58"/>
        <v>0.16189407805396469</v>
      </c>
      <c r="AZ46" s="8">
        <f t="shared" si="92"/>
        <v>2.9172E-2</v>
      </c>
      <c r="BA46" s="6">
        <v>1.7</v>
      </c>
      <c r="BB46" s="6">
        <v>1.7</v>
      </c>
      <c r="BC46" s="6">
        <v>7</v>
      </c>
      <c r="BD46" s="9">
        <v>8.3000000000000004E-2</v>
      </c>
      <c r="BE46" s="9">
        <v>0.33</v>
      </c>
      <c r="BF46" s="15">
        <v>0.02</v>
      </c>
      <c r="BG46" s="9">
        <v>0.14000000000000001</v>
      </c>
      <c r="BH46" s="28">
        <f t="shared" si="93"/>
        <v>5.2417663999999994E-3</v>
      </c>
      <c r="BI46" s="15">
        <f t="shared" si="94"/>
        <v>2.9769584000000002E-2</v>
      </c>
      <c r="BJ46" s="13">
        <v>2.4</v>
      </c>
      <c r="BK46" s="13">
        <v>1.1499999999999999</v>
      </c>
      <c r="BL46" s="14">
        <v>10</v>
      </c>
      <c r="BM46" s="14">
        <v>30</v>
      </c>
      <c r="BN46" s="14">
        <v>60</v>
      </c>
      <c r="BO46" s="8">
        <f t="shared" si="95"/>
        <v>9.4611503999999999E-3</v>
      </c>
      <c r="BP46" s="8">
        <f t="shared" si="96"/>
        <v>1.0880322959999999E-2</v>
      </c>
      <c r="BQ46" s="8">
        <f t="shared" si="97"/>
        <v>1.088032296E-3</v>
      </c>
      <c r="BR46" s="8">
        <f t="shared" si="98"/>
        <v>3.2640968879999997E-3</v>
      </c>
      <c r="BS46" s="8">
        <f t="shared" si="99"/>
        <v>6.5281937759999993E-3</v>
      </c>
      <c r="BT46" s="18">
        <f t="shared" si="100"/>
        <v>7.1157312158399977E-4</v>
      </c>
      <c r="BU46" s="8">
        <f t="shared" si="101"/>
        <v>3.0029691369599992E-3</v>
      </c>
      <c r="BV46" s="8">
        <f t="shared" si="102"/>
        <v>5.5489647095999994E-3</v>
      </c>
      <c r="BW46" s="8">
        <f t="shared" si="103"/>
        <v>1.1097929419199999E-2</v>
      </c>
      <c r="BX46" s="18">
        <f t="shared" si="104"/>
        <v>1.2096743066928001E-3</v>
      </c>
      <c r="BY46" s="8">
        <f t="shared" si="105"/>
        <v>5.1050475328319996E-3</v>
      </c>
      <c r="BZ46" s="12">
        <f t="shared" si="106"/>
        <v>0.4</v>
      </c>
      <c r="CA46" s="12">
        <f t="shared" si="61"/>
        <v>0.34920245398773003</v>
      </c>
      <c r="CB46" s="6">
        <v>1.7</v>
      </c>
      <c r="CC46" s="6">
        <v>1.7</v>
      </c>
      <c r="CD46" s="15">
        <v>0.16</v>
      </c>
      <c r="CE46" s="9">
        <v>0.48</v>
      </c>
      <c r="CF46" s="9">
        <v>2.9000000000000001E-2</v>
      </c>
      <c r="CG46" s="11">
        <v>0.22</v>
      </c>
      <c r="CH46" s="28">
        <f t="shared" si="122"/>
        <v>1.8772415999999996E-4</v>
      </c>
      <c r="CI46" s="15">
        <f t="shared" si="107"/>
        <v>7.9223039999999981E-4</v>
      </c>
      <c r="CJ46" s="13">
        <v>4.3</v>
      </c>
      <c r="CK46" s="13">
        <v>1.25</v>
      </c>
      <c r="CL46" s="14">
        <v>4</v>
      </c>
      <c r="CM46" s="14">
        <v>26</v>
      </c>
      <c r="CN46" s="14">
        <v>70</v>
      </c>
      <c r="CO46" s="8">
        <f t="shared" si="108"/>
        <v>1.6951227799999996E-2</v>
      </c>
      <c r="CP46" s="8">
        <f t="shared" si="109"/>
        <v>2.1189034749999995E-2</v>
      </c>
      <c r="CQ46" s="18">
        <f t="shared" si="110"/>
        <v>8.4756138999999978E-4</v>
      </c>
      <c r="CR46" s="8">
        <f t="shared" si="111"/>
        <v>5.5091490349999991E-3</v>
      </c>
      <c r="CS46" s="8">
        <f t="shared" si="112"/>
        <v>1.4832324324999995E-2</v>
      </c>
      <c r="CT46" s="18">
        <f t="shared" si="113"/>
        <v>1.1937902178149999E-3</v>
      </c>
      <c r="CU46" s="8">
        <f t="shared" si="114"/>
        <v>5.1870757067999989E-3</v>
      </c>
      <c r="CV46" s="8">
        <f t="shared" si="115"/>
        <v>9.3655533594999979E-3</v>
      </c>
      <c r="CW46" s="8">
        <f t="shared" si="116"/>
        <v>2.521495135249999E-2</v>
      </c>
      <c r="CX46" s="18">
        <f t="shared" si="117"/>
        <v>2.0294433702854994E-3</v>
      </c>
      <c r="CY46" s="8">
        <f t="shared" si="118"/>
        <v>8.8180287015599979E-3</v>
      </c>
      <c r="CZ46" s="12">
        <f t="shared" si="119"/>
        <v>0.3</v>
      </c>
      <c r="DA46" s="12">
        <f t="shared" si="63"/>
        <v>0.27282296650717708</v>
      </c>
      <c r="DB46" s="6">
        <v>1.7</v>
      </c>
      <c r="DC46" s="6">
        <v>1.7</v>
      </c>
      <c r="DD46" s="9">
        <v>0.14399999999999999</v>
      </c>
      <c r="DE46" s="9">
        <v>0.43</v>
      </c>
      <c r="DF46" s="15">
        <v>2.7E-2</v>
      </c>
      <c r="DG46" s="13">
        <v>0.19</v>
      </c>
      <c r="DH46" s="28">
        <f t="shared" si="120"/>
        <v>3.1494059999999998E-4</v>
      </c>
      <c r="DI46" s="29">
        <f t="shared" si="121"/>
        <v>1.3684319999999999E-3</v>
      </c>
    </row>
    <row r="47" spans="1:113" x14ac:dyDescent="0.25">
      <c r="A47" s="85">
        <v>39</v>
      </c>
      <c r="B47" s="35" t="s">
        <v>26</v>
      </c>
      <c r="C47" s="35" t="s">
        <v>28</v>
      </c>
      <c r="D47" s="31" t="s">
        <v>181</v>
      </c>
      <c r="E47" s="9">
        <v>2</v>
      </c>
      <c r="F47" s="11">
        <v>80</v>
      </c>
      <c r="G47" s="36" t="s">
        <v>164</v>
      </c>
      <c r="H47" s="19" t="s">
        <v>99</v>
      </c>
      <c r="I47" s="31" t="s">
        <v>99</v>
      </c>
      <c r="J47" s="32" t="s">
        <v>99</v>
      </c>
      <c r="K47" s="2" t="str">
        <f t="shared" si="64"/>
        <v>Statlig Landsbygd VV 80 &lt;5,7 - -</v>
      </c>
      <c r="L47" s="2"/>
      <c r="M47" s="32" t="s">
        <v>99</v>
      </c>
      <c r="N47" s="53">
        <f>'Beräkna - Länk'!$C$26</f>
        <v>1</v>
      </c>
      <c r="O47" s="53">
        <f>'Beräkna - Länk'!$C$24/('Beräkna - Länk'!$C$27)^('Beräkna - Länk'!$C$25-2010)</f>
        <v>10385</v>
      </c>
      <c r="P47" s="13">
        <f t="shared" si="65"/>
        <v>3.7905249999999997</v>
      </c>
      <c r="Q47" s="13">
        <f t="shared" si="66"/>
        <v>0.43092583462499995</v>
      </c>
      <c r="R47" s="13">
        <f t="shared" si="67"/>
        <v>0.6417188251375</v>
      </c>
      <c r="S47" s="28">
        <f t="shared" si="68"/>
        <v>1.7307707723624999E-2</v>
      </c>
      <c r="T47" s="15">
        <f t="shared" si="69"/>
        <v>9.469235589824998E-2</v>
      </c>
      <c r="U47" s="13">
        <f t="shared" si="70"/>
        <v>0.52971876151562503</v>
      </c>
      <c r="V47" s="13">
        <f t="shared" si="71"/>
        <v>1.1118873333333332</v>
      </c>
      <c r="W47" s="15">
        <f t="shared" si="72"/>
        <v>1.8803451712566123E-2</v>
      </c>
      <c r="X47" s="15">
        <f t="shared" si="73"/>
        <v>0.10650597396364749</v>
      </c>
      <c r="Y47" s="15">
        <f t="shared" si="74"/>
        <v>0.16097700502702497</v>
      </c>
      <c r="Z47" s="14">
        <f t="shared" si="75"/>
        <v>0.90052189457656251</v>
      </c>
      <c r="AA47" s="14">
        <f t="shared" si="76"/>
        <v>7.7832113333333321</v>
      </c>
      <c r="AB47" s="13">
        <f t="shared" si="77"/>
        <v>3.1965867911362418E-2</v>
      </c>
      <c r="AC47" s="14">
        <f t="shared" si="78"/>
        <v>0.18106015573820078</v>
      </c>
      <c r="AD47" s="13">
        <f t="shared" si="55"/>
        <v>0.16526105007120567</v>
      </c>
      <c r="AE47" s="15">
        <f t="shared" si="56"/>
        <v>4.7034305999999998E-2</v>
      </c>
      <c r="AF47" s="10">
        <v>0.11</v>
      </c>
      <c r="AG47" s="16">
        <v>1.5</v>
      </c>
      <c r="AH47" s="16">
        <v>2.5</v>
      </c>
      <c r="AI47" s="16">
        <v>14.5</v>
      </c>
      <c r="AJ47" s="17">
        <v>83</v>
      </c>
      <c r="AK47" s="12">
        <v>1.7777777777777777</v>
      </c>
      <c r="AL47" s="12">
        <f t="shared" si="79"/>
        <v>0.41695774999999996</v>
      </c>
      <c r="AM47" s="12">
        <f t="shared" si="80"/>
        <v>0.62543662499999997</v>
      </c>
      <c r="AN47" s="18">
        <f t="shared" si="81"/>
        <v>1.5635915625E-2</v>
      </c>
      <c r="AO47" s="8">
        <f t="shared" si="82"/>
        <v>9.068831062499999E-2</v>
      </c>
      <c r="AP47" s="12">
        <f t="shared" si="83"/>
        <v>0.51911239875000004</v>
      </c>
      <c r="AQ47" s="12">
        <f t="shared" si="84"/>
        <v>1.1118873333333332</v>
      </c>
      <c r="AR47" s="18">
        <f t="shared" si="85"/>
        <v>1.7909377756875001E-2</v>
      </c>
      <c r="AS47" s="8">
        <f t="shared" si="86"/>
        <v>0.10260287833124999</v>
      </c>
      <c r="AT47" s="8">
        <f t="shared" si="87"/>
        <v>0.15417012806249997</v>
      </c>
      <c r="AU47" s="8">
        <f t="shared" si="88"/>
        <v>0.88249107787500003</v>
      </c>
      <c r="AV47" s="8">
        <f t="shared" si="89"/>
        <v>7.7832113333333321</v>
      </c>
      <c r="AW47" s="8">
        <f t="shared" si="90"/>
        <v>3.0445942186687499E-2</v>
      </c>
      <c r="AX47" s="8">
        <f t="shared" si="91"/>
        <v>0.17442489316312501</v>
      </c>
      <c r="AY47" s="495">
        <f t="shared" si="58"/>
        <v>0.16136701337295689</v>
      </c>
      <c r="AZ47" s="8">
        <f t="shared" si="92"/>
        <v>2.8050000000000002E-2</v>
      </c>
      <c r="BA47" s="6">
        <v>1.7</v>
      </c>
      <c r="BB47" s="6">
        <v>1.7</v>
      </c>
      <c r="BC47" s="6">
        <v>7</v>
      </c>
      <c r="BD47" s="9">
        <v>8.3000000000000004E-2</v>
      </c>
      <c r="BE47" s="9">
        <v>0.33</v>
      </c>
      <c r="BF47" s="15">
        <v>0.02</v>
      </c>
      <c r="BG47" s="9">
        <v>0.14000000000000001</v>
      </c>
      <c r="BH47" s="28">
        <f t="shared" si="93"/>
        <v>4.7247750000000005E-3</v>
      </c>
      <c r="BI47" s="15">
        <f t="shared" si="94"/>
        <v>2.7068250000000002E-2</v>
      </c>
      <c r="BJ47" s="13">
        <v>1.1499999999999999</v>
      </c>
      <c r="BK47" s="13">
        <v>1.1000000000000001</v>
      </c>
      <c r="BL47" s="14">
        <v>15</v>
      </c>
      <c r="BM47" s="14">
        <v>30</v>
      </c>
      <c r="BN47" s="14">
        <v>55</v>
      </c>
      <c r="BO47" s="8">
        <f t="shared" si="95"/>
        <v>4.7950141249999993E-3</v>
      </c>
      <c r="BP47" s="8">
        <f t="shared" si="96"/>
        <v>5.2745155374999998E-3</v>
      </c>
      <c r="BQ47" s="8">
        <f t="shared" si="97"/>
        <v>7.9117733062499993E-4</v>
      </c>
      <c r="BR47" s="8">
        <f t="shared" si="98"/>
        <v>1.5823546612499999E-3</v>
      </c>
      <c r="BS47" s="8">
        <f t="shared" si="99"/>
        <v>2.9009835456250002E-3</v>
      </c>
      <c r="BT47" s="18">
        <f t="shared" si="100"/>
        <v>3.3730526862312497E-4</v>
      </c>
      <c r="BU47" s="8">
        <f t="shared" si="101"/>
        <v>1.3977466174375001E-3</v>
      </c>
      <c r="BV47" s="8">
        <f t="shared" si="102"/>
        <v>2.6900029241249995E-3</v>
      </c>
      <c r="BW47" s="8">
        <f t="shared" si="103"/>
        <v>4.9316720275625007E-3</v>
      </c>
      <c r="BX47" s="18">
        <f t="shared" si="104"/>
        <v>5.7341895665931244E-4</v>
      </c>
      <c r="BY47" s="8">
        <f t="shared" si="105"/>
        <v>2.3761692496437501E-3</v>
      </c>
      <c r="BZ47" s="12">
        <f t="shared" si="106"/>
        <v>0.44999999999999996</v>
      </c>
      <c r="CA47" s="12">
        <f t="shared" si="61"/>
        <v>0.37648902821316615</v>
      </c>
      <c r="CB47" s="6">
        <v>1.7</v>
      </c>
      <c r="CC47" s="6">
        <v>1.7</v>
      </c>
      <c r="CD47" s="15">
        <v>0.16</v>
      </c>
      <c r="CE47" s="9">
        <v>0.48</v>
      </c>
      <c r="CF47" s="9">
        <v>2.9000000000000001E-2</v>
      </c>
      <c r="CG47" s="11">
        <v>0.22</v>
      </c>
      <c r="CH47" s="28">
        <f t="shared" si="122"/>
        <v>8.8986425000000001E-5</v>
      </c>
      <c r="CI47" s="15">
        <f t="shared" si="107"/>
        <v>3.6874750000000006E-4</v>
      </c>
      <c r="CJ47" s="12">
        <v>2.2000000000000002</v>
      </c>
      <c r="CK47" s="13">
        <v>1.2</v>
      </c>
      <c r="CL47" s="14">
        <v>8</v>
      </c>
      <c r="CM47" s="14">
        <v>22</v>
      </c>
      <c r="CN47" s="14">
        <v>70</v>
      </c>
      <c r="CO47" s="8">
        <f t="shared" si="108"/>
        <v>9.1730704999999999E-3</v>
      </c>
      <c r="CP47" s="8">
        <f t="shared" si="109"/>
        <v>1.10076846E-2</v>
      </c>
      <c r="CQ47" s="18">
        <f t="shared" si="110"/>
        <v>8.8061476800000002E-4</v>
      </c>
      <c r="CR47" s="8">
        <f t="shared" si="111"/>
        <v>2.4216906119999999E-3</v>
      </c>
      <c r="CS47" s="8">
        <f t="shared" si="112"/>
        <v>7.7053792199999992E-3</v>
      </c>
      <c r="CT47" s="18">
        <f t="shared" si="113"/>
        <v>5.5676868706799995E-4</v>
      </c>
      <c r="CU47" s="8">
        <f t="shared" si="114"/>
        <v>2.5053490149600003E-3</v>
      </c>
      <c r="CV47" s="8">
        <f t="shared" si="115"/>
        <v>4.1168740403999997E-3</v>
      </c>
      <c r="CW47" s="8">
        <f t="shared" si="116"/>
        <v>1.3099144673999998E-2</v>
      </c>
      <c r="CX47" s="18">
        <f t="shared" si="117"/>
        <v>9.4650676801559985E-4</v>
      </c>
      <c r="CY47" s="8">
        <f t="shared" si="118"/>
        <v>4.2590933254319993E-3</v>
      </c>
      <c r="CZ47" s="12">
        <f t="shared" si="119"/>
        <v>0.3</v>
      </c>
      <c r="DA47" s="12">
        <f t="shared" si="63"/>
        <v>0.28401459854014605</v>
      </c>
      <c r="DB47" s="6">
        <v>1.7</v>
      </c>
      <c r="DC47" s="6">
        <v>1.7</v>
      </c>
      <c r="DD47" s="9">
        <v>0.14399999999999999</v>
      </c>
      <c r="DE47" s="9">
        <v>0.43</v>
      </c>
      <c r="DF47" s="15">
        <v>2.7E-2</v>
      </c>
      <c r="DG47" s="13">
        <v>0.19</v>
      </c>
      <c r="DH47" s="28">
        <f t="shared" si="120"/>
        <v>1.4688432000000001E-4</v>
      </c>
      <c r="DI47" s="29">
        <f t="shared" si="121"/>
        <v>6.6095040000000013E-4</v>
      </c>
    </row>
    <row r="48" spans="1:113" x14ac:dyDescent="0.25">
      <c r="A48" s="85">
        <v>40</v>
      </c>
      <c r="B48" s="35" t="s">
        <v>26</v>
      </c>
      <c r="C48" s="35" t="s">
        <v>28</v>
      </c>
      <c r="D48" s="31" t="s">
        <v>181</v>
      </c>
      <c r="E48" s="9">
        <v>2</v>
      </c>
      <c r="F48" s="11">
        <v>80</v>
      </c>
      <c r="G48" s="37" t="s">
        <v>114</v>
      </c>
      <c r="H48" s="19" t="s">
        <v>99</v>
      </c>
      <c r="I48" s="31" t="s">
        <v>99</v>
      </c>
      <c r="J48" s="32" t="s">
        <v>99</v>
      </c>
      <c r="K48" s="2" t="str">
        <f t="shared" si="64"/>
        <v>Statlig Landsbygd VV 80 5,7-6,6 - -</v>
      </c>
      <c r="L48" s="2"/>
      <c r="M48" s="32" t="s">
        <v>99</v>
      </c>
      <c r="N48" s="53">
        <f>'Beräkna - Länk'!$C$26</f>
        <v>1</v>
      </c>
      <c r="O48" s="53">
        <f>'Beräkna - Länk'!$C$24/('Beräkna - Länk'!$C$27)^('Beräkna - Länk'!$C$25-2010)</f>
        <v>10385</v>
      </c>
      <c r="P48" s="13">
        <f t="shared" si="65"/>
        <v>3.7905249999999997</v>
      </c>
      <c r="Q48" s="13">
        <f t="shared" si="66"/>
        <v>0.43876084980000002</v>
      </c>
      <c r="R48" s="13">
        <f t="shared" si="67"/>
        <v>0.65763182813999999</v>
      </c>
      <c r="S48" s="28">
        <f t="shared" si="68"/>
        <v>1.8369581606600002E-2</v>
      </c>
      <c r="T48" s="15">
        <f t="shared" si="69"/>
        <v>0.1124149024684</v>
      </c>
      <c r="U48" s="13">
        <f t="shared" si="70"/>
        <v>0.52684734406499989</v>
      </c>
      <c r="V48" s="13">
        <f t="shared" si="71"/>
        <v>1.1396508231111111</v>
      </c>
      <c r="W48" s="15">
        <f t="shared" si="72"/>
        <v>2.0223351291470602E-2</v>
      </c>
      <c r="X48" s="15">
        <f t="shared" si="73"/>
        <v>0.111972358977892</v>
      </c>
      <c r="Y48" s="15">
        <f t="shared" si="74"/>
        <v>0.19110533419627998</v>
      </c>
      <c r="Z48" s="14">
        <f t="shared" si="75"/>
        <v>0.89564048491049997</v>
      </c>
      <c r="AA48" s="14">
        <f t="shared" si="76"/>
        <v>7.9775557617777775</v>
      </c>
      <c r="AB48" s="13">
        <f t="shared" si="77"/>
        <v>3.4379697195500013E-2</v>
      </c>
      <c r="AC48" s="14">
        <f t="shared" si="78"/>
        <v>0.19035301026241638</v>
      </c>
      <c r="AD48" s="13">
        <f t="shared" si="55"/>
        <v>0.18955026386172757</v>
      </c>
      <c r="AE48" s="15">
        <f t="shared" si="56"/>
        <v>5.5262771199999998E-2</v>
      </c>
      <c r="AF48" s="11">
        <v>0.112</v>
      </c>
      <c r="AG48" s="11">
        <v>1.51</v>
      </c>
      <c r="AH48" s="16">
        <v>2.6</v>
      </c>
      <c r="AI48" s="16">
        <v>16.899999999999999</v>
      </c>
      <c r="AJ48" s="17">
        <v>80.5</v>
      </c>
      <c r="AK48" s="12">
        <v>1.7777777777777777</v>
      </c>
      <c r="AL48" s="12">
        <f t="shared" si="79"/>
        <v>0.42453879999999999</v>
      </c>
      <c r="AM48" s="12">
        <f t="shared" si="80"/>
        <v>0.64105358800000001</v>
      </c>
      <c r="AN48" s="18">
        <f t="shared" si="81"/>
        <v>1.6667393288000001E-2</v>
      </c>
      <c r="AO48" s="8">
        <f t="shared" si="82"/>
        <v>0.10833805637199999</v>
      </c>
      <c r="AP48" s="12">
        <f t="shared" si="83"/>
        <v>0.51604813833999996</v>
      </c>
      <c r="AQ48" s="12">
        <f t="shared" si="84"/>
        <v>1.1396508231111111</v>
      </c>
      <c r="AR48" s="18">
        <f t="shared" si="85"/>
        <v>1.9313021445675999E-2</v>
      </c>
      <c r="AS48" s="8">
        <f t="shared" si="86"/>
        <v>0.10799829797035999</v>
      </c>
      <c r="AT48" s="8">
        <f t="shared" si="87"/>
        <v>0.18417469583239998</v>
      </c>
      <c r="AU48" s="8">
        <f t="shared" si="88"/>
        <v>0.87728183517799996</v>
      </c>
      <c r="AV48" s="8">
        <f t="shared" si="89"/>
        <v>7.9775557617777775</v>
      </c>
      <c r="AW48" s="8">
        <f t="shared" si="90"/>
        <v>3.2832136457649194E-2</v>
      </c>
      <c r="AX48" s="8">
        <f t="shared" si="91"/>
        <v>0.183597106549612</v>
      </c>
      <c r="AY48" s="495">
        <f t="shared" si="58"/>
        <v>0.18628850041622069</v>
      </c>
      <c r="AZ48" s="8">
        <f t="shared" si="92"/>
        <v>3.2978399999999998E-2</v>
      </c>
      <c r="BA48" s="6">
        <v>1.7</v>
      </c>
      <c r="BB48" s="6">
        <v>1.7</v>
      </c>
      <c r="BC48" s="6">
        <v>7</v>
      </c>
      <c r="BD48" s="9">
        <v>8.3000000000000004E-2</v>
      </c>
      <c r="BE48" s="9">
        <v>0.33</v>
      </c>
      <c r="BF48" s="15">
        <v>0.02</v>
      </c>
      <c r="BG48" s="9">
        <v>0.14000000000000001</v>
      </c>
      <c r="BH48" s="28">
        <f t="shared" si="93"/>
        <v>5.0950782400000002E-3</v>
      </c>
      <c r="BI48" s="15">
        <f t="shared" si="94"/>
        <v>2.8491646400000001E-2</v>
      </c>
      <c r="BJ48" s="13">
        <v>1.1499999999999999</v>
      </c>
      <c r="BK48" s="13">
        <v>1.1000000000000001</v>
      </c>
      <c r="BL48" s="14">
        <v>15</v>
      </c>
      <c r="BM48" s="14">
        <v>30</v>
      </c>
      <c r="BN48" s="14">
        <v>55</v>
      </c>
      <c r="BO48" s="8">
        <f t="shared" si="95"/>
        <v>4.8821962000000002E-3</v>
      </c>
      <c r="BP48" s="8">
        <f t="shared" si="96"/>
        <v>5.370415820000001E-3</v>
      </c>
      <c r="BQ48" s="8">
        <f t="shared" si="97"/>
        <v>8.0556237300000015E-4</v>
      </c>
      <c r="BR48" s="8">
        <f t="shared" si="98"/>
        <v>1.6111247460000003E-3</v>
      </c>
      <c r="BS48" s="8">
        <f t="shared" si="99"/>
        <v>2.9537287010000008E-3</v>
      </c>
      <c r="BT48" s="18">
        <f t="shared" si="100"/>
        <v>3.4343809168899998E-4</v>
      </c>
      <c r="BU48" s="8">
        <f t="shared" si="101"/>
        <v>1.4231601923000003E-3</v>
      </c>
      <c r="BV48" s="8">
        <f t="shared" si="102"/>
        <v>2.7389120682000004E-3</v>
      </c>
      <c r="BW48" s="8">
        <f t="shared" si="103"/>
        <v>5.0213387917000009E-3</v>
      </c>
      <c r="BX48" s="18">
        <f t="shared" si="104"/>
        <v>5.8384475587130015E-4</v>
      </c>
      <c r="BY48" s="8">
        <f t="shared" si="105"/>
        <v>2.4193723269100003E-3</v>
      </c>
      <c r="BZ48" s="12">
        <f t="shared" si="106"/>
        <v>0.44999999999999996</v>
      </c>
      <c r="CA48" s="12">
        <f t="shared" si="61"/>
        <v>0.3764890282131661</v>
      </c>
      <c r="CB48" s="6">
        <v>1.7</v>
      </c>
      <c r="CC48" s="6">
        <v>1.7</v>
      </c>
      <c r="CD48" s="15">
        <v>0.16</v>
      </c>
      <c r="CE48" s="9">
        <v>0.48</v>
      </c>
      <c r="CF48" s="9">
        <v>2.9000000000000001E-2</v>
      </c>
      <c r="CG48" s="11">
        <v>0.22</v>
      </c>
      <c r="CH48" s="28">
        <f t="shared" si="122"/>
        <v>9.060436E-5</v>
      </c>
      <c r="CI48" s="15">
        <f t="shared" si="107"/>
        <v>3.7545200000000008E-4</v>
      </c>
      <c r="CJ48" s="12">
        <v>2.2000000000000002</v>
      </c>
      <c r="CK48" s="13">
        <v>1.2</v>
      </c>
      <c r="CL48" s="14">
        <v>8</v>
      </c>
      <c r="CM48" s="14">
        <v>22</v>
      </c>
      <c r="CN48" s="14">
        <v>70</v>
      </c>
      <c r="CO48" s="8">
        <f t="shared" si="108"/>
        <v>9.3398536000000015E-3</v>
      </c>
      <c r="CP48" s="8">
        <f t="shared" si="109"/>
        <v>1.1207824320000002E-2</v>
      </c>
      <c r="CQ48" s="18">
        <f t="shared" si="110"/>
        <v>8.9662594560000017E-4</v>
      </c>
      <c r="CR48" s="8">
        <f t="shared" si="111"/>
        <v>2.4657213504000004E-3</v>
      </c>
      <c r="CS48" s="8">
        <f t="shared" si="112"/>
        <v>7.8454770240000016E-3</v>
      </c>
      <c r="CT48" s="18">
        <f t="shared" si="113"/>
        <v>5.6689175410559994E-4</v>
      </c>
      <c r="CU48" s="8">
        <f t="shared" si="114"/>
        <v>2.550900815232E-3</v>
      </c>
      <c r="CV48" s="8">
        <f t="shared" si="115"/>
        <v>4.1917262956800002E-3</v>
      </c>
      <c r="CW48" s="8">
        <f t="shared" si="116"/>
        <v>1.3337310940800002E-2</v>
      </c>
      <c r="CX48" s="18">
        <f t="shared" si="117"/>
        <v>9.6371598197952002E-4</v>
      </c>
      <c r="CY48" s="8">
        <f t="shared" si="118"/>
        <v>4.3365313858944009E-3</v>
      </c>
      <c r="CZ48" s="12">
        <f t="shared" si="119"/>
        <v>0.3</v>
      </c>
      <c r="DA48" s="12">
        <f t="shared" si="63"/>
        <v>0.28401459854014599</v>
      </c>
      <c r="DB48" s="6">
        <v>1.7</v>
      </c>
      <c r="DC48" s="6">
        <v>1.7</v>
      </c>
      <c r="DD48" s="9">
        <v>0.14399999999999999</v>
      </c>
      <c r="DE48" s="9">
        <v>0.43</v>
      </c>
      <c r="DF48" s="15">
        <v>2.7E-2</v>
      </c>
      <c r="DG48" s="13">
        <v>0.19</v>
      </c>
      <c r="DH48" s="28">
        <f t="shared" si="120"/>
        <v>1.4955494400000001E-4</v>
      </c>
      <c r="DI48" s="29">
        <f t="shared" si="121"/>
        <v>6.7296768000000011E-4</v>
      </c>
    </row>
    <row r="49" spans="1:113" x14ac:dyDescent="0.25">
      <c r="A49" s="85">
        <v>41</v>
      </c>
      <c r="B49" s="35" t="s">
        <v>26</v>
      </c>
      <c r="C49" s="35" t="s">
        <v>28</v>
      </c>
      <c r="D49" s="31" t="s">
        <v>181</v>
      </c>
      <c r="E49" s="9">
        <v>2</v>
      </c>
      <c r="F49" s="11">
        <v>80</v>
      </c>
      <c r="G49" s="37" t="s">
        <v>111</v>
      </c>
      <c r="H49" s="19" t="s">
        <v>99</v>
      </c>
      <c r="I49" s="31" t="s">
        <v>99</v>
      </c>
      <c r="J49" s="32" t="s">
        <v>99</v>
      </c>
      <c r="K49" s="2" t="str">
        <f t="shared" si="64"/>
        <v>Statlig Landsbygd VV 80 6,7-7,9 - -</v>
      </c>
      <c r="L49" s="2"/>
      <c r="M49" s="32" t="s">
        <v>99</v>
      </c>
      <c r="N49" s="53">
        <f>'Beräkna - Länk'!$C$26</f>
        <v>1</v>
      </c>
      <c r="O49" s="53">
        <f>'Beräkna - Länk'!$C$24/('Beräkna - Länk'!$C$27)^('Beräkna - Länk'!$C$25-2010)</f>
        <v>10385</v>
      </c>
      <c r="P49" s="13">
        <f t="shared" si="65"/>
        <v>3.7905249999999997</v>
      </c>
      <c r="Q49" s="13">
        <f t="shared" si="66"/>
        <v>0.43876084980000002</v>
      </c>
      <c r="R49" s="13">
        <f t="shared" si="67"/>
        <v>0.65763182813999999</v>
      </c>
      <c r="S49" s="28">
        <f t="shared" si="68"/>
        <v>1.8369581606600002E-2</v>
      </c>
      <c r="T49" s="15">
        <f t="shared" si="69"/>
        <v>0.1124149024684</v>
      </c>
      <c r="U49" s="13">
        <f t="shared" si="70"/>
        <v>0.52684734406499989</v>
      </c>
      <c r="V49" s="13">
        <f t="shared" si="71"/>
        <v>1.1396508231111111</v>
      </c>
      <c r="W49" s="15">
        <f t="shared" si="72"/>
        <v>2.0223351291470602E-2</v>
      </c>
      <c r="X49" s="15">
        <f t="shared" si="73"/>
        <v>0.111972358977892</v>
      </c>
      <c r="Y49" s="15">
        <f t="shared" si="74"/>
        <v>0.19110533419627998</v>
      </c>
      <c r="Z49" s="14">
        <f t="shared" si="75"/>
        <v>0.89564048491049997</v>
      </c>
      <c r="AA49" s="14">
        <f t="shared" si="76"/>
        <v>7.9775557617777775</v>
      </c>
      <c r="AB49" s="13">
        <f t="shared" si="77"/>
        <v>3.4379697195500013E-2</v>
      </c>
      <c r="AC49" s="14">
        <f t="shared" si="78"/>
        <v>0.19035301026241638</v>
      </c>
      <c r="AD49" s="13">
        <f t="shared" si="55"/>
        <v>0.18955026386172757</v>
      </c>
      <c r="AE49" s="15">
        <f t="shared" si="56"/>
        <v>5.5262771199999998E-2</v>
      </c>
      <c r="AF49" s="11">
        <v>0.112</v>
      </c>
      <c r="AG49" s="11">
        <v>1.51</v>
      </c>
      <c r="AH49" s="16">
        <v>2.6</v>
      </c>
      <c r="AI49" s="16">
        <v>16.899999999999999</v>
      </c>
      <c r="AJ49" s="17">
        <v>80.5</v>
      </c>
      <c r="AK49" s="12">
        <v>1.7777777777777777</v>
      </c>
      <c r="AL49" s="12">
        <f t="shared" si="79"/>
        <v>0.42453879999999999</v>
      </c>
      <c r="AM49" s="12">
        <f t="shared" si="80"/>
        <v>0.64105358800000001</v>
      </c>
      <c r="AN49" s="18">
        <f t="shared" si="81"/>
        <v>1.6667393288000001E-2</v>
      </c>
      <c r="AO49" s="8">
        <f t="shared" si="82"/>
        <v>0.10833805637199999</v>
      </c>
      <c r="AP49" s="12">
        <f t="shared" si="83"/>
        <v>0.51604813833999996</v>
      </c>
      <c r="AQ49" s="12">
        <f t="shared" si="84"/>
        <v>1.1396508231111111</v>
      </c>
      <c r="AR49" s="18">
        <f t="shared" si="85"/>
        <v>1.9313021445675999E-2</v>
      </c>
      <c r="AS49" s="8">
        <f t="shared" si="86"/>
        <v>0.10799829797035999</v>
      </c>
      <c r="AT49" s="8">
        <f t="shared" si="87"/>
        <v>0.18417469583239998</v>
      </c>
      <c r="AU49" s="8">
        <f t="shared" si="88"/>
        <v>0.87728183517799996</v>
      </c>
      <c r="AV49" s="8">
        <f t="shared" si="89"/>
        <v>7.9775557617777775</v>
      </c>
      <c r="AW49" s="8">
        <f t="shared" si="90"/>
        <v>3.2832136457649194E-2</v>
      </c>
      <c r="AX49" s="8">
        <f t="shared" si="91"/>
        <v>0.183597106549612</v>
      </c>
      <c r="AY49" s="495">
        <f t="shared" si="58"/>
        <v>0.18628850041622069</v>
      </c>
      <c r="AZ49" s="8">
        <f t="shared" si="92"/>
        <v>3.2978399999999998E-2</v>
      </c>
      <c r="BA49" s="6">
        <v>1.7</v>
      </c>
      <c r="BB49" s="6">
        <v>1.7</v>
      </c>
      <c r="BC49" s="6">
        <v>7</v>
      </c>
      <c r="BD49" s="9">
        <v>8.3000000000000004E-2</v>
      </c>
      <c r="BE49" s="9">
        <v>0.33</v>
      </c>
      <c r="BF49" s="15">
        <v>0.02</v>
      </c>
      <c r="BG49" s="9">
        <v>0.14000000000000001</v>
      </c>
      <c r="BH49" s="28">
        <f t="shared" si="93"/>
        <v>5.0950782400000002E-3</v>
      </c>
      <c r="BI49" s="15">
        <f t="shared" si="94"/>
        <v>2.8491646400000001E-2</v>
      </c>
      <c r="BJ49" s="13">
        <v>1.1499999999999999</v>
      </c>
      <c r="BK49" s="13">
        <v>1.1000000000000001</v>
      </c>
      <c r="BL49" s="14">
        <v>15</v>
      </c>
      <c r="BM49" s="14">
        <v>30</v>
      </c>
      <c r="BN49" s="14">
        <v>55</v>
      </c>
      <c r="BO49" s="8">
        <f t="shared" si="95"/>
        <v>4.8821962000000002E-3</v>
      </c>
      <c r="BP49" s="8">
        <f t="shared" si="96"/>
        <v>5.370415820000001E-3</v>
      </c>
      <c r="BQ49" s="8">
        <f t="shared" si="97"/>
        <v>8.0556237300000015E-4</v>
      </c>
      <c r="BR49" s="8">
        <f t="shared" si="98"/>
        <v>1.6111247460000003E-3</v>
      </c>
      <c r="BS49" s="8">
        <f t="shared" si="99"/>
        <v>2.9537287010000008E-3</v>
      </c>
      <c r="BT49" s="18">
        <f t="shared" si="100"/>
        <v>3.4343809168899998E-4</v>
      </c>
      <c r="BU49" s="8">
        <f t="shared" si="101"/>
        <v>1.4231601923000003E-3</v>
      </c>
      <c r="BV49" s="8">
        <f t="shared" si="102"/>
        <v>2.7389120682000004E-3</v>
      </c>
      <c r="BW49" s="8">
        <f t="shared" si="103"/>
        <v>5.0213387917000009E-3</v>
      </c>
      <c r="BX49" s="18">
        <f t="shared" si="104"/>
        <v>5.8384475587130015E-4</v>
      </c>
      <c r="BY49" s="8">
        <f t="shared" si="105"/>
        <v>2.4193723269100003E-3</v>
      </c>
      <c r="BZ49" s="12">
        <f t="shared" si="106"/>
        <v>0.44999999999999996</v>
      </c>
      <c r="CA49" s="12">
        <f t="shared" si="61"/>
        <v>0.3764890282131661</v>
      </c>
      <c r="CB49" s="6">
        <v>1.7</v>
      </c>
      <c r="CC49" s="6">
        <v>1.7</v>
      </c>
      <c r="CD49" s="15">
        <v>0.16</v>
      </c>
      <c r="CE49" s="9">
        <v>0.48</v>
      </c>
      <c r="CF49" s="9">
        <v>2.9000000000000001E-2</v>
      </c>
      <c r="CG49" s="11">
        <v>0.22</v>
      </c>
      <c r="CH49" s="28">
        <f t="shared" si="122"/>
        <v>9.060436E-5</v>
      </c>
      <c r="CI49" s="15">
        <f t="shared" si="107"/>
        <v>3.7545200000000008E-4</v>
      </c>
      <c r="CJ49" s="12">
        <v>2.2000000000000002</v>
      </c>
      <c r="CK49" s="13">
        <v>1.2</v>
      </c>
      <c r="CL49" s="14">
        <v>8</v>
      </c>
      <c r="CM49" s="14">
        <v>22</v>
      </c>
      <c r="CN49" s="14">
        <v>70</v>
      </c>
      <c r="CO49" s="8">
        <f t="shared" si="108"/>
        <v>9.3398536000000015E-3</v>
      </c>
      <c r="CP49" s="8">
        <f t="shared" si="109"/>
        <v>1.1207824320000002E-2</v>
      </c>
      <c r="CQ49" s="18">
        <f t="shared" si="110"/>
        <v>8.9662594560000017E-4</v>
      </c>
      <c r="CR49" s="8">
        <f t="shared" si="111"/>
        <v>2.4657213504000004E-3</v>
      </c>
      <c r="CS49" s="8">
        <f t="shared" si="112"/>
        <v>7.8454770240000016E-3</v>
      </c>
      <c r="CT49" s="18">
        <f t="shared" si="113"/>
        <v>5.6689175410559994E-4</v>
      </c>
      <c r="CU49" s="8">
        <f t="shared" si="114"/>
        <v>2.550900815232E-3</v>
      </c>
      <c r="CV49" s="8">
        <f t="shared" si="115"/>
        <v>4.1917262956800002E-3</v>
      </c>
      <c r="CW49" s="8">
        <f t="shared" si="116"/>
        <v>1.3337310940800002E-2</v>
      </c>
      <c r="CX49" s="18">
        <f t="shared" si="117"/>
        <v>9.6371598197952002E-4</v>
      </c>
      <c r="CY49" s="8">
        <f t="shared" si="118"/>
        <v>4.3365313858944009E-3</v>
      </c>
      <c r="CZ49" s="12">
        <f t="shared" si="119"/>
        <v>0.3</v>
      </c>
      <c r="DA49" s="12">
        <f t="shared" si="63"/>
        <v>0.28401459854014599</v>
      </c>
      <c r="DB49" s="6">
        <v>1.7</v>
      </c>
      <c r="DC49" s="6">
        <v>1.7</v>
      </c>
      <c r="DD49" s="9">
        <v>0.14399999999999999</v>
      </c>
      <c r="DE49" s="9">
        <v>0.43</v>
      </c>
      <c r="DF49" s="15">
        <v>2.7E-2</v>
      </c>
      <c r="DG49" s="13">
        <v>0.19</v>
      </c>
      <c r="DH49" s="28">
        <f t="shared" si="120"/>
        <v>1.4955494400000001E-4</v>
      </c>
      <c r="DI49" s="29">
        <f t="shared" si="121"/>
        <v>6.7296768000000011E-4</v>
      </c>
    </row>
    <row r="50" spans="1:113" x14ac:dyDescent="0.25">
      <c r="A50" s="85">
        <v>42</v>
      </c>
      <c r="B50" s="35" t="s">
        <v>26</v>
      </c>
      <c r="C50" s="35" t="s">
        <v>28</v>
      </c>
      <c r="D50" s="31" t="s">
        <v>181</v>
      </c>
      <c r="E50" s="9">
        <v>2</v>
      </c>
      <c r="F50" s="11">
        <v>80</v>
      </c>
      <c r="G50" s="37" t="s">
        <v>27</v>
      </c>
      <c r="H50" s="19" t="s">
        <v>99</v>
      </c>
      <c r="I50" s="31" t="s">
        <v>99</v>
      </c>
      <c r="J50" s="32" t="s">
        <v>99</v>
      </c>
      <c r="K50" s="2" t="str">
        <f t="shared" si="64"/>
        <v>Statlig Landsbygd VV 80 8-10 - -</v>
      </c>
      <c r="L50" s="2"/>
      <c r="M50" s="32" t="s">
        <v>99</v>
      </c>
      <c r="N50" s="53">
        <f>'Beräkna - Länk'!$C$26</f>
        <v>1</v>
      </c>
      <c r="O50" s="53">
        <f>'Beräkna - Länk'!$C$24/('Beräkna - Länk'!$C$27)^('Beräkna - Länk'!$C$25-2010)</f>
        <v>10385</v>
      </c>
      <c r="P50" s="13">
        <f t="shared" si="65"/>
        <v>3.7905249999999997</v>
      </c>
      <c r="Q50" s="13">
        <f t="shared" si="66"/>
        <v>0.32515312976249999</v>
      </c>
      <c r="R50" s="13">
        <f t="shared" si="67"/>
        <v>0.5030828371037499</v>
      </c>
      <c r="S50" s="28">
        <f t="shared" si="68"/>
        <v>1.20589810229625E-2</v>
      </c>
      <c r="T50" s="15">
        <f t="shared" si="69"/>
        <v>8.5475159896725009E-2</v>
      </c>
      <c r="U50" s="13">
        <f t="shared" si="70"/>
        <v>0.40554869618406247</v>
      </c>
      <c r="V50" s="13">
        <f t="shared" si="71"/>
        <v>0.91148047157142853</v>
      </c>
      <c r="W50" s="15">
        <f t="shared" si="72"/>
        <v>1.5469209542782214E-2</v>
      </c>
      <c r="X50" s="15">
        <f t="shared" si="73"/>
        <v>8.5811258432761758E-2</v>
      </c>
      <c r="Y50" s="15">
        <f t="shared" si="74"/>
        <v>0.14530777182443252</v>
      </c>
      <c r="Z50" s="14">
        <f t="shared" si="75"/>
        <v>0.68943278351290616</v>
      </c>
      <c r="AA50" s="14">
        <f t="shared" si="76"/>
        <v>6.380363301</v>
      </c>
      <c r="AB50" s="13">
        <f t="shared" si="77"/>
        <v>2.6297656222729764E-2</v>
      </c>
      <c r="AC50" s="14">
        <f t="shared" si="78"/>
        <v>0.14587913933569496</v>
      </c>
      <c r="AD50" s="13">
        <f t="shared" si="55"/>
        <v>0.18583707960420717</v>
      </c>
      <c r="AE50" s="15">
        <f t="shared" si="56"/>
        <v>4.1515819800000006E-2</v>
      </c>
      <c r="AF50" s="11">
        <v>8.3000000000000004E-2</v>
      </c>
      <c r="AG50" s="11">
        <v>1.56</v>
      </c>
      <c r="AH50" s="16">
        <v>2.2000000000000002</v>
      </c>
      <c r="AI50" s="16">
        <v>16.8</v>
      </c>
      <c r="AJ50" s="17">
        <v>81</v>
      </c>
      <c r="AK50" s="12">
        <v>1.8571428571428572</v>
      </c>
      <c r="AL50" s="12">
        <f t="shared" si="79"/>
        <v>0.31461357499999998</v>
      </c>
      <c r="AM50" s="12">
        <f t="shared" si="80"/>
        <v>0.49079717699999997</v>
      </c>
      <c r="AN50" s="18">
        <f t="shared" si="81"/>
        <v>1.0797537894E-2</v>
      </c>
      <c r="AO50" s="8">
        <f t="shared" si="82"/>
        <v>8.2453925736000008E-2</v>
      </c>
      <c r="AP50" s="12">
        <f t="shared" si="83"/>
        <v>0.39754571336999994</v>
      </c>
      <c r="AQ50" s="12">
        <f t="shared" si="84"/>
        <v>0.91148047157142853</v>
      </c>
      <c r="AR50" s="18">
        <f t="shared" si="85"/>
        <v>1.4794590103488001E-2</v>
      </c>
      <c r="AS50" s="8">
        <f t="shared" si="86"/>
        <v>8.2866195364680012E-2</v>
      </c>
      <c r="AT50" s="8">
        <f>AO50*BA50</f>
        <v>0.14017167375120002</v>
      </c>
      <c r="AU50" s="8">
        <f t="shared" si="88"/>
        <v>0.67582771272899989</v>
      </c>
      <c r="AV50" s="8">
        <f>AQ50*BC50</f>
        <v>6.380363301</v>
      </c>
      <c r="AW50" s="8">
        <f t="shared" si="90"/>
        <v>2.51508031759296E-2</v>
      </c>
      <c r="AX50" s="8">
        <f t="shared" si="91"/>
        <v>0.14087253211995598</v>
      </c>
      <c r="AY50" s="495">
        <f t="shared" si="58"/>
        <v>0.18259527484269267</v>
      </c>
      <c r="AZ50" s="8">
        <f t="shared" si="92"/>
        <v>2.46012E-2</v>
      </c>
      <c r="BA50" s="6">
        <v>1.7</v>
      </c>
      <c r="BB50" s="6">
        <v>1.7</v>
      </c>
      <c r="BC50" s="6">
        <v>7</v>
      </c>
      <c r="BD50" s="9">
        <v>8.3000000000000004E-2</v>
      </c>
      <c r="BE50" s="9">
        <v>0.33</v>
      </c>
      <c r="BF50" s="15">
        <v>0.02</v>
      </c>
      <c r="BG50" s="9">
        <v>0.14000000000000001</v>
      </c>
      <c r="BH50" s="28">
        <f t="shared" si="93"/>
        <v>3.9030451200000003E-3</v>
      </c>
      <c r="BI50" s="15">
        <f t="shared" si="94"/>
        <v>2.1861403200000004E-2</v>
      </c>
      <c r="BJ50" s="13">
        <v>1.1499999999999999</v>
      </c>
      <c r="BK50" s="13">
        <v>1.1000000000000001</v>
      </c>
      <c r="BL50" s="14">
        <v>15</v>
      </c>
      <c r="BM50" s="14">
        <v>30</v>
      </c>
      <c r="BN50" s="14">
        <v>55</v>
      </c>
      <c r="BO50" s="8">
        <f t="shared" si="95"/>
        <v>3.6180561124999999E-3</v>
      </c>
      <c r="BP50" s="8">
        <f t="shared" si="96"/>
        <v>3.9798617237500004E-3</v>
      </c>
      <c r="BQ50" s="8">
        <f t="shared" si="97"/>
        <v>5.9697925856250006E-4</v>
      </c>
      <c r="BR50" s="8">
        <f t="shared" si="98"/>
        <v>1.1939585171250001E-3</v>
      </c>
      <c r="BS50" s="8">
        <f t="shared" si="99"/>
        <v>2.1889239480625002E-3</v>
      </c>
      <c r="BT50" s="18">
        <f t="shared" si="100"/>
        <v>2.5451215723381254E-4</v>
      </c>
      <c r="BU50" s="8">
        <f t="shared" si="101"/>
        <v>1.0546633567937501E-3</v>
      </c>
      <c r="BV50" s="8">
        <f t="shared" si="102"/>
        <v>2.0297294791125002E-3</v>
      </c>
      <c r="BW50" s="8">
        <f t="shared" si="103"/>
        <v>3.7211707117062501E-3</v>
      </c>
      <c r="BX50" s="18">
        <f t="shared" si="104"/>
        <v>4.3267066729748129E-4</v>
      </c>
      <c r="BY50" s="8">
        <f t="shared" si="105"/>
        <v>1.7929277065493751E-3</v>
      </c>
      <c r="BZ50" s="12">
        <f t="shared" si="106"/>
        <v>0.44999999999999996</v>
      </c>
      <c r="CA50" s="12">
        <f t="shared" si="61"/>
        <v>0.37648902821316615</v>
      </c>
      <c r="CB50" s="6">
        <v>1.7</v>
      </c>
      <c r="CC50" s="6">
        <v>1.7</v>
      </c>
      <c r="CD50" s="15">
        <v>0.16</v>
      </c>
      <c r="CE50" s="9">
        <v>0.48</v>
      </c>
      <c r="CF50" s="9">
        <v>2.9000000000000001E-2</v>
      </c>
      <c r="CG50" s="11">
        <v>0.22</v>
      </c>
      <c r="CH50" s="28">
        <f t="shared" si="122"/>
        <v>6.7144302500000017E-5</v>
      </c>
      <c r="CI50" s="15">
        <f t="shared" si="107"/>
        <v>2.7823675000000005E-4</v>
      </c>
      <c r="CJ50" s="12">
        <v>2.2000000000000002</v>
      </c>
      <c r="CK50" s="13">
        <v>1.2</v>
      </c>
      <c r="CL50" s="14">
        <v>8</v>
      </c>
      <c r="CM50" s="14">
        <v>22</v>
      </c>
      <c r="CN50" s="14">
        <v>70</v>
      </c>
      <c r="CO50" s="8">
        <f t="shared" si="108"/>
        <v>6.9214986499999999E-3</v>
      </c>
      <c r="CP50" s="8">
        <f t="shared" si="109"/>
        <v>8.3057983799999999E-3</v>
      </c>
      <c r="CQ50" s="18">
        <f t="shared" si="110"/>
        <v>6.6446387040000002E-4</v>
      </c>
      <c r="CR50" s="8">
        <f t="shared" si="111"/>
        <v>1.8272756436000001E-3</v>
      </c>
      <c r="CS50" s="8">
        <f t="shared" si="112"/>
        <v>5.8140588659999996E-3</v>
      </c>
      <c r="CT50" s="18">
        <f t="shared" si="113"/>
        <v>4.2010728206040001E-4</v>
      </c>
      <c r="CU50" s="8">
        <f t="shared" si="114"/>
        <v>1.8903997112879999E-3</v>
      </c>
      <c r="CV50" s="8">
        <f t="shared" si="115"/>
        <v>3.1063685941200001E-3</v>
      </c>
      <c r="CW50" s="8">
        <f t="shared" si="116"/>
        <v>9.8839000721999987E-3</v>
      </c>
      <c r="CX50" s="18">
        <f t="shared" si="117"/>
        <v>7.1418237950267999E-4</v>
      </c>
      <c r="CY50" s="8">
        <f t="shared" si="118"/>
        <v>3.2136795091895999E-3</v>
      </c>
      <c r="CZ50" s="12">
        <f t="shared" si="119"/>
        <v>0.3</v>
      </c>
      <c r="DA50" s="12">
        <f t="shared" si="63"/>
        <v>0.28401459854014599</v>
      </c>
      <c r="DB50" s="6">
        <v>1.7</v>
      </c>
      <c r="DC50" s="6">
        <v>1.7</v>
      </c>
      <c r="DD50" s="9">
        <v>0.14399999999999999</v>
      </c>
      <c r="DE50" s="9">
        <v>0.43</v>
      </c>
      <c r="DF50" s="15">
        <v>2.7E-2</v>
      </c>
      <c r="DG50" s="13">
        <v>0.19</v>
      </c>
      <c r="DH50" s="28">
        <f t="shared" si="120"/>
        <v>1.1083089600000002E-4</v>
      </c>
      <c r="DI50" s="29">
        <f t="shared" si="121"/>
        <v>4.9871712000000004E-4</v>
      </c>
    </row>
    <row r="51" spans="1:113" x14ac:dyDescent="0.25">
      <c r="A51" s="85">
        <v>43</v>
      </c>
      <c r="B51" s="35" t="s">
        <v>26</v>
      </c>
      <c r="C51" s="35" t="s">
        <v>28</v>
      </c>
      <c r="D51" s="31" t="s">
        <v>181</v>
      </c>
      <c r="E51" s="9">
        <v>2</v>
      </c>
      <c r="F51" s="9">
        <v>80</v>
      </c>
      <c r="G51" s="34" t="s">
        <v>115</v>
      </c>
      <c r="H51" s="19" t="s">
        <v>99</v>
      </c>
      <c r="I51" s="31" t="s">
        <v>99</v>
      </c>
      <c r="J51" s="32" t="s">
        <v>99</v>
      </c>
      <c r="K51" s="2" t="str">
        <f t="shared" si="64"/>
        <v>Statlig Landsbygd VV 80 10,1-11,5 - -</v>
      </c>
      <c r="L51" s="2"/>
      <c r="M51" s="32" t="s">
        <v>99</v>
      </c>
      <c r="N51" s="53">
        <f>'Beräkna - Länk'!$C$26</f>
        <v>1</v>
      </c>
      <c r="O51" s="53">
        <f>'Beräkna - Länk'!$C$24/('Beräkna - Länk'!$C$27)^('Beräkna - Länk'!$C$25-2010)</f>
        <v>10385</v>
      </c>
      <c r="P51" s="13">
        <f t="shared" si="65"/>
        <v>3.7905249999999997</v>
      </c>
      <c r="Q51" s="13">
        <f t="shared" si="66"/>
        <v>0.33298814493750001</v>
      </c>
      <c r="R51" s="13">
        <f t="shared" si="67"/>
        <v>0.54098088510624998</v>
      </c>
      <c r="S51" s="28">
        <f t="shared" si="68"/>
        <v>1.55586173439375E-2</v>
      </c>
      <c r="T51" s="15">
        <f t="shared" si="69"/>
        <v>0.105075077688875</v>
      </c>
      <c r="U51" s="13">
        <f t="shared" si="70"/>
        <v>0.4203471900734374</v>
      </c>
      <c r="V51" s="13">
        <f t="shared" si="71"/>
        <v>0.98131277214285706</v>
      </c>
      <c r="W51" s="15">
        <f t="shared" si="72"/>
        <v>1.7398329159912684E-2</v>
      </c>
      <c r="X51" s="15">
        <f t="shared" si="73"/>
        <v>9.437096353786624E-2</v>
      </c>
      <c r="Y51" s="15">
        <f t="shared" si="74"/>
        <v>0.17862763207108751</v>
      </c>
      <c r="Z51" s="14">
        <f t="shared" si="75"/>
        <v>0.71459022312484366</v>
      </c>
      <c r="AA51" s="14">
        <f t="shared" si="76"/>
        <v>6.8691894049999993</v>
      </c>
      <c r="AB51" s="13">
        <f t="shared" si="77"/>
        <v>2.9577159571851568E-2</v>
      </c>
      <c r="AC51" s="14">
        <f t="shared" si="78"/>
        <v>0.16043063801437263</v>
      </c>
      <c r="AD51" s="13">
        <f t="shared" si="55"/>
        <v>0.2136787816175621</v>
      </c>
      <c r="AE51" s="15">
        <f t="shared" si="56"/>
        <v>5.1229381000000004E-2</v>
      </c>
      <c r="AF51" s="6">
        <v>8.5000000000000006E-2</v>
      </c>
      <c r="AG51" s="6">
        <v>1.64</v>
      </c>
      <c r="AH51" s="12">
        <v>2.7</v>
      </c>
      <c r="AI51" s="12">
        <v>19.3</v>
      </c>
      <c r="AJ51" s="7">
        <v>78</v>
      </c>
      <c r="AK51" s="12">
        <v>1.8571428571428572</v>
      </c>
      <c r="AL51" s="12">
        <f t="shared" si="79"/>
        <v>0.32219462500000001</v>
      </c>
      <c r="AM51" s="12">
        <f t="shared" si="80"/>
        <v>0.52839918499999994</v>
      </c>
      <c r="AN51" s="18">
        <f t="shared" si="81"/>
        <v>1.4266777995E-2</v>
      </c>
      <c r="AO51" s="8">
        <f t="shared" si="82"/>
        <v>0.101981042705</v>
      </c>
      <c r="AP51" s="12">
        <f t="shared" si="83"/>
        <v>0.41215136429999993</v>
      </c>
      <c r="AQ51" s="12">
        <f t="shared" si="84"/>
        <v>0.98131277214285706</v>
      </c>
      <c r="AR51" s="18">
        <f t="shared" si="85"/>
        <v>1.6707453830514998E-2</v>
      </c>
      <c r="AS51" s="8">
        <f t="shared" si="86"/>
        <v>9.1354935094649994E-2</v>
      </c>
      <c r="AT51" s="8">
        <f t="shared" si="87"/>
        <v>0.1733677725985</v>
      </c>
      <c r="AU51" s="8">
        <f t="shared" si="88"/>
        <v>0.70065731930999986</v>
      </c>
      <c r="AV51" s="8">
        <f t="shared" si="89"/>
        <v>6.8691894049999993</v>
      </c>
      <c r="AW51" s="8">
        <f t="shared" si="90"/>
        <v>2.8402671511875498E-2</v>
      </c>
      <c r="AX51" s="8">
        <f t="shared" si="91"/>
        <v>0.15530338966090501</v>
      </c>
      <c r="AY51" s="495">
        <f t="shared" si="58"/>
        <v>0.21123074177621801</v>
      </c>
      <c r="AZ51" s="8">
        <f t="shared" si="92"/>
        <v>3.0667999999999997E-2</v>
      </c>
      <c r="BA51" s="6">
        <v>1.7</v>
      </c>
      <c r="BB51" s="6">
        <v>1.7</v>
      </c>
      <c r="BC51" s="6">
        <v>7</v>
      </c>
      <c r="BD51" s="9">
        <v>8.3000000000000004E-2</v>
      </c>
      <c r="BE51" s="9">
        <v>0.33</v>
      </c>
      <c r="BF51" s="15">
        <v>0.02</v>
      </c>
      <c r="BG51" s="9">
        <v>0.14000000000000001</v>
      </c>
      <c r="BH51" s="28">
        <f t="shared" si="93"/>
        <v>4.4076886000000001E-3</v>
      </c>
      <c r="BI51" s="15">
        <f t="shared" si="94"/>
        <v>2.4100866000000002E-2</v>
      </c>
      <c r="BJ51" s="13">
        <v>1.1499999999999999</v>
      </c>
      <c r="BK51" s="13">
        <v>1.1000000000000001</v>
      </c>
      <c r="BL51" s="14">
        <v>15</v>
      </c>
      <c r="BM51" s="14">
        <v>30</v>
      </c>
      <c r="BN51" s="14">
        <v>55</v>
      </c>
      <c r="BO51" s="8">
        <f t="shared" si="95"/>
        <v>3.7052381874999999E-3</v>
      </c>
      <c r="BP51" s="8">
        <f t="shared" si="96"/>
        <v>4.0757620062500007E-3</v>
      </c>
      <c r="BQ51" s="8">
        <f t="shared" si="97"/>
        <v>6.1136430093750005E-4</v>
      </c>
      <c r="BR51" s="8">
        <f t="shared" si="98"/>
        <v>1.2227286018750001E-3</v>
      </c>
      <c r="BS51" s="8">
        <f t="shared" si="99"/>
        <v>2.2416691034375007E-3</v>
      </c>
      <c r="BT51" s="18">
        <f t="shared" si="100"/>
        <v>2.6064498029968754E-4</v>
      </c>
      <c r="BU51" s="8">
        <f t="shared" si="101"/>
        <v>1.0800769316562501E-3</v>
      </c>
      <c r="BV51" s="8">
        <f t="shared" si="102"/>
        <v>2.0786386231875001E-3</v>
      </c>
      <c r="BW51" s="8">
        <f t="shared" si="103"/>
        <v>3.8108374758437512E-3</v>
      </c>
      <c r="BX51" s="18">
        <f t="shared" si="104"/>
        <v>4.4309646650946883E-4</v>
      </c>
      <c r="BY51" s="8">
        <f t="shared" si="105"/>
        <v>1.8361307838156253E-3</v>
      </c>
      <c r="BZ51" s="12">
        <f t="shared" si="106"/>
        <v>0.44999999999999996</v>
      </c>
      <c r="CA51" s="12">
        <f t="shared" si="61"/>
        <v>0.37648902821316615</v>
      </c>
      <c r="CB51" s="6">
        <v>1.7</v>
      </c>
      <c r="CC51" s="6">
        <v>1.7</v>
      </c>
      <c r="CD51" s="15">
        <v>0.16</v>
      </c>
      <c r="CE51" s="9">
        <v>0.48</v>
      </c>
      <c r="CF51" s="9">
        <v>2.9000000000000001E-2</v>
      </c>
      <c r="CG51" s="11">
        <v>0.22</v>
      </c>
      <c r="CH51" s="28">
        <f t="shared" si="122"/>
        <v>6.8762237500000017E-5</v>
      </c>
      <c r="CI51" s="15">
        <f t="shared" si="107"/>
        <v>2.8494125000000007E-4</v>
      </c>
      <c r="CJ51" s="12">
        <v>2.2000000000000002</v>
      </c>
      <c r="CK51" s="13">
        <v>1.2</v>
      </c>
      <c r="CL51" s="14">
        <v>8</v>
      </c>
      <c r="CM51" s="14">
        <v>22</v>
      </c>
      <c r="CN51" s="14">
        <v>70</v>
      </c>
      <c r="CO51" s="8">
        <f t="shared" si="108"/>
        <v>7.0882817500000006E-3</v>
      </c>
      <c r="CP51" s="8">
        <f t="shared" si="109"/>
        <v>8.5059381000000007E-3</v>
      </c>
      <c r="CQ51" s="18">
        <f t="shared" si="110"/>
        <v>6.8047504800000007E-4</v>
      </c>
      <c r="CR51" s="8">
        <f t="shared" si="111"/>
        <v>1.8713063820000001E-3</v>
      </c>
      <c r="CS51" s="8">
        <f t="shared" si="112"/>
        <v>5.9541566700000003E-3</v>
      </c>
      <c r="CT51" s="18">
        <f t="shared" si="113"/>
        <v>4.30230349098E-4</v>
      </c>
      <c r="CU51" s="8">
        <f t="shared" si="114"/>
        <v>1.9359515115599999E-3</v>
      </c>
      <c r="CV51" s="8">
        <f t="shared" si="115"/>
        <v>3.1812208494000002E-3</v>
      </c>
      <c r="CW51" s="8">
        <f t="shared" si="116"/>
        <v>1.0122066339000001E-2</v>
      </c>
      <c r="CX51" s="18">
        <f t="shared" si="117"/>
        <v>7.3139159346659994E-4</v>
      </c>
      <c r="CY51" s="8">
        <f t="shared" si="118"/>
        <v>3.2911175696520001E-3</v>
      </c>
      <c r="CZ51" s="12">
        <f t="shared" si="119"/>
        <v>0.3</v>
      </c>
      <c r="DA51" s="12">
        <f t="shared" si="63"/>
        <v>0.28401459854014599</v>
      </c>
      <c r="DB51" s="6">
        <v>1.7</v>
      </c>
      <c r="DC51" s="6">
        <v>1.7</v>
      </c>
      <c r="DD51" s="9">
        <v>0.14399999999999999</v>
      </c>
      <c r="DE51" s="9">
        <v>0.43</v>
      </c>
      <c r="DF51" s="15">
        <v>2.7E-2</v>
      </c>
      <c r="DG51" s="13">
        <v>0.19</v>
      </c>
      <c r="DH51" s="28">
        <f t="shared" si="120"/>
        <v>1.1350152000000001E-4</v>
      </c>
      <c r="DI51" s="29">
        <f t="shared" si="121"/>
        <v>5.1073440000000002E-4</v>
      </c>
    </row>
    <row r="52" spans="1:113" x14ac:dyDescent="0.25">
      <c r="A52" s="85">
        <v>44</v>
      </c>
      <c r="B52" s="35" t="s">
        <v>26</v>
      </c>
      <c r="C52" s="35" t="s">
        <v>28</v>
      </c>
      <c r="D52" s="31" t="s">
        <v>181</v>
      </c>
      <c r="E52" s="9">
        <v>2</v>
      </c>
      <c r="F52" s="9">
        <v>80</v>
      </c>
      <c r="G52" s="32" t="s">
        <v>165</v>
      </c>
      <c r="H52" s="19" t="s">
        <v>99</v>
      </c>
      <c r="I52" s="31" t="s">
        <v>99</v>
      </c>
      <c r="J52" s="32" t="s">
        <v>99</v>
      </c>
      <c r="K52" s="2" t="str">
        <f t="shared" si="64"/>
        <v>Statlig Landsbygd VV 80 11,6- - -</v>
      </c>
      <c r="L52" s="2"/>
      <c r="M52" s="32" t="s">
        <v>99</v>
      </c>
      <c r="N52" s="53">
        <f>'Beräkna - Länk'!$C$26</f>
        <v>1</v>
      </c>
      <c r="O52" s="53">
        <f>'Beräkna - Länk'!$C$24/('Beräkna - Länk'!$C$27)^('Beräkna - Länk'!$C$25-2010)</f>
        <v>10385</v>
      </c>
      <c r="P52" s="13">
        <f t="shared" si="65"/>
        <v>3.7905249999999997</v>
      </c>
      <c r="Q52" s="13">
        <f t="shared" si="66"/>
        <v>0.33298814493750001</v>
      </c>
      <c r="R52" s="13">
        <f t="shared" si="67"/>
        <v>0.54098088510624998</v>
      </c>
      <c r="S52" s="28">
        <f t="shared" si="68"/>
        <v>1.7143814898937498E-2</v>
      </c>
      <c r="T52" s="15">
        <f t="shared" si="69"/>
        <v>0.103489880133875</v>
      </c>
      <c r="U52" s="13">
        <f t="shared" si="70"/>
        <v>0.4203471900734374</v>
      </c>
      <c r="V52" s="13">
        <f t="shared" si="71"/>
        <v>0.98131277214285706</v>
      </c>
      <c r="W52" s="15">
        <f t="shared" si="72"/>
        <v>1.7266757762847688E-2</v>
      </c>
      <c r="X52" s="15">
        <f t="shared" si="73"/>
        <v>9.3847848344716239E-2</v>
      </c>
      <c r="Y52" s="15">
        <f t="shared" si="74"/>
        <v>0.17593279622758748</v>
      </c>
      <c r="Z52" s="14">
        <f t="shared" si="75"/>
        <v>0.71459022312484366</v>
      </c>
      <c r="AA52" s="14">
        <f t="shared" si="76"/>
        <v>6.8691894049999993</v>
      </c>
      <c r="AB52" s="13">
        <f t="shared" si="77"/>
        <v>2.9353488196841065E-2</v>
      </c>
      <c r="AC52" s="14">
        <f t="shared" si="78"/>
        <v>0.15954134218601762</v>
      </c>
      <c r="AD52" s="13">
        <f t="shared" si="55"/>
        <v>0.21271749042783078</v>
      </c>
      <c r="AE52" s="15">
        <f t="shared" si="56"/>
        <v>5.0936640999999998E-2</v>
      </c>
      <c r="AF52" s="6">
        <v>8.5000000000000006E-2</v>
      </c>
      <c r="AG52" s="6">
        <v>1.64</v>
      </c>
      <c r="AH52" s="12">
        <v>3</v>
      </c>
      <c r="AI52" s="12">
        <v>19</v>
      </c>
      <c r="AJ52" s="7">
        <v>78</v>
      </c>
      <c r="AK52" s="12">
        <v>1.8571428571428572</v>
      </c>
      <c r="AL52" s="12">
        <f t="shared" si="79"/>
        <v>0.32219462500000001</v>
      </c>
      <c r="AM52" s="12">
        <f t="shared" si="80"/>
        <v>0.52839918499999994</v>
      </c>
      <c r="AN52" s="18">
        <f t="shared" si="81"/>
        <v>1.5851975549999998E-2</v>
      </c>
      <c r="AO52" s="8">
        <f t="shared" si="82"/>
        <v>0.10039584515</v>
      </c>
      <c r="AP52" s="12">
        <f t="shared" si="83"/>
        <v>0.41215136429999993</v>
      </c>
      <c r="AQ52" s="12">
        <f t="shared" si="84"/>
        <v>0.98131277214285706</v>
      </c>
      <c r="AR52" s="18">
        <f t="shared" si="85"/>
        <v>1.6575882433450002E-2</v>
      </c>
      <c r="AS52" s="8">
        <f t="shared" si="86"/>
        <v>9.0831819901499994E-2</v>
      </c>
      <c r="AT52" s="8">
        <f t="shared" si="87"/>
        <v>0.17067293675499998</v>
      </c>
      <c r="AU52" s="8">
        <f t="shared" si="88"/>
        <v>0.70065731930999986</v>
      </c>
      <c r="AV52" s="8">
        <f t="shared" si="89"/>
        <v>6.8691894049999993</v>
      </c>
      <c r="AW52" s="8">
        <f t="shared" si="90"/>
        <v>2.8179000136864994E-2</v>
      </c>
      <c r="AX52" s="8">
        <f t="shared" si="91"/>
        <v>0.15441409383254998</v>
      </c>
      <c r="AY52" s="495">
        <f t="shared" si="58"/>
        <v>0.21024419297200717</v>
      </c>
      <c r="AZ52" s="8">
        <f t="shared" si="92"/>
        <v>3.0667999999999997E-2</v>
      </c>
      <c r="BA52" s="6">
        <v>1.7</v>
      </c>
      <c r="BB52" s="6">
        <v>1.7</v>
      </c>
      <c r="BC52" s="6">
        <v>7</v>
      </c>
      <c r="BD52" s="9">
        <v>8.3000000000000004E-2</v>
      </c>
      <c r="BE52" s="9">
        <v>0.33</v>
      </c>
      <c r="BF52" s="15">
        <v>0.02</v>
      </c>
      <c r="BG52" s="9">
        <v>0.14000000000000001</v>
      </c>
      <c r="BH52" s="28">
        <f t="shared" si="93"/>
        <v>4.3729780000000005E-3</v>
      </c>
      <c r="BI52" s="15">
        <f t="shared" si="94"/>
        <v>2.3962859999999999E-2</v>
      </c>
      <c r="BJ52" s="13">
        <v>1.1499999999999999</v>
      </c>
      <c r="BK52" s="13">
        <v>1.1000000000000001</v>
      </c>
      <c r="BL52" s="14">
        <v>15</v>
      </c>
      <c r="BM52" s="14">
        <v>30</v>
      </c>
      <c r="BN52" s="14">
        <v>55</v>
      </c>
      <c r="BO52" s="8">
        <f t="shared" si="95"/>
        <v>3.7052381874999999E-3</v>
      </c>
      <c r="BP52" s="8">
        <f t="shared" si="96"/>
        <v>4.0757620062500007E-3</v>
      </c>
      <c r="BQ52" s="8">
        <f t="shared" si="97"/>
        <v>6.1136430093750005E-4</v>
      </c>
      <c r="BR52" s="8">
        <f t="shared" si="98"/>
        <v>1.2227286018750001E-3</v>
      </c>
      <c r="BS52" s="8">
        <f t="shared" si="99"/>
        <v>2.2416691034375007E-3</v>
      </c>
      <c r="BT52" s="18">
        <f t="shared" si="100"/>
        <v>2.6064498029968754E-4</v>
      </c>
      <c r="BU52" s="8">
        <f t="shared" si="101"/>
        <v>1.0800769316562501E-3</v>
      </c>
      <c r="BV52" s="8">
        <f t="shared" si="102"/>
        <v>2.0786386231875001E-3</v>
      </c>
      <c r="BW52" s="8">
        <f t="shared" si="103"/>
        <v>3.8108374758437512E-3</v>
      </c>
      <c r="BX52" s="18">
        <f t="shared" si="104"/>
        <v>4.4309646650946883E-4</v>
      </c>
      <c r="BY52" s="8">
        <f t="shared" si="105"/>
        <v>1.8361307838156253E-3</v>
      </c>
      <c r="BZ52" s="12">
        <f t="shared" si="106"/>
        <v>0.44999999999999996</v>
      </c>
      <c r="CA52" s="12">
        <f t="shared" si="61"/>
        <v>0.37648902821316615</v>
      </c>
      <c r="CB52" s="6">
        <v>1.7</v>
      </c>
      <c r="CC52" s="6">
        <v>1.7</v>
      </c>
      <c r="CD52" s="15">
        <v>0.16</v>
      </c>
      <c r="CE52" s="9">
        <v>0.48</v>
      </c>
      <c r="CF52" s="9">
        <v>2.9000000000000001E-2</v>
      </c>
      <c r="CG52" s="11">
        <v>0.22</v>
      </c>
      <c r="CH52" s="28">
        <f t="shared" si="122"/>
        <v>6.8762237500000017E-5</v>
      </c>
      <c r="CI52" s="15">
        <f t="shared" si="107"/>
        <v>2.8494125000000007E-4</v>
      </c>
      <c r="CJ52" s="12">
        <v>2.2000000000000002</v>
      </c>
      <c r="CK52" s="13">
        <v>1.2</v>
      </c>
      <c r="CL52" s="14">
        <v>8</v>
      </c>
      <c r="CM52" s="14">
        <v>22</v>
      </c>
      <c r="CN52" s="14">
        <v>70</v>
      </c>
      <c r="CO52" s="8">
        <f t="shared" si="108"/>
        <v>7.0882817500000006E-3</v>
      </c>
      <c r="CP52" s="8">
        <f t="shared" si="109"/>
        <v>8.5059381000000007E-3</v>
      </c>
      <c r="CQ52" s="18">
        <f t="shared" si="110"/>
        <v>6.8047504800000007E-4</v>
      </c>
      <c r="CR52" s="8">
        <f t="shared" si="111"/>
        <v>1.8713063820000001E-3</v>
      </c>
      <c r="CS52" s="8">
        <f t="shared" si="112"/>
        <v>5.9541566700000003E-3</v>
      </c>
      <c r="CT52" s="18">
        <f t="shared" si="113"/>
        <v>4.30230349098E-4</v>
      </c>
      <c r="CU52" s="8">
        <f t="shared" si="114"/>
        <v>1.9359515115599999E-3</v>
      </c>
      <c r="CV52" s="8">
        <f t="shared" si="115"/>
        <v>3.1812208494000002E-3</v>
      </c>
      <c r="CW52" s="8">
        <f t="shared" si="116"/>
        <v>1.0122066339000001E-2</v>
      </c>
      <c r="CX52" s="18">
        <f t="shared" si="117"/>
        <v>7.3139159346659994E-4</v>
      </c>
      <c r="CY52" s="8">
        <f t="shared" si="118"/>
        <v>3.2911175696520001E-3</v>
      </c>
      <c r="CZ52" s="12">
        <f t="shared" si="119"/>
        <v>0.3</v>
      </c>
      <c r="DA52" s="12">
        <f t="shared" si="63"/>
        <v>0.28401459854014599</v>
      </c>
      <c r="DB52" s="6">
        <v>1.7</v>
      </c>
      <c r="DC52" s="6">
        <v>1.7</v>
      </c>
      <c r="DD52" s="9">
        <v>0.14399999999999999</v>
      </c>
      <c r="DE52" s="9">
        <v>0.43</v>
      </c>
      <c r="DF52" s="15">
        <v>2.7E-2</v>
      </c>
      <c r="DG52" s="13">
        <v>0.19</v>
      </c>
      <c r="DH52" s="28">
        <f t="shared" si="120"/>
        <v>1.1350152000000001E-4</v>
      </c>
      <c r="DI52" s="29">
        <f t="shared" si="121"/>
        <v>5.1073440000000002E-4</v>
      </c>
    </row>
    <row r="53" spans="1:113" x14ac:dyDescent="0.25">
      <c r="A53" s="85">
        <v>45</v>
      </c>
      <c r="B53" s="35" t="s">
        <v>26</v>
      </c>
      <c r="C53" s="35" t="s">
        <v>28</v>
      </c>
      <c r="D53" s="31" t="s">
        <v>181</v>
      </c>
      <c r="E53" s="9">
        <v>2</v>
      </c>
      <c r="F53" s="9">
        <v>90</v>
      </c>
      <c r="G53" s="32" t="s">
        <v>164</v>
      </c>
      <c r="H53" s="19" t="s">
        <v>99</v>
      </c>
      <c r="I53" s="31" t="s">
        <v>99</v>
      </c>
      <c r="J53" s="32" t="s">
        <v>99</v>
      </c>
      <c r="K53" s="2" t="str">
        <f t="shared" si="64"/>
        <v>Statlig Landsbygd VV 90 &lt;5,7 - -</v>
      </c>
      <c r="L53" s="2"/>
      <c r="M53" s="32" t="s">
        <v>99</v>
      </c>
      <c r="N53" s="53">
        <f>'Beräkna - Länk'!$C$26</f>
        <v>1</v>
      </c>
      <c r="O53" s="53">
        <f>'Beräkna - Länk'!$C$24/('Beräkna - Länk'!$C$27)^('Beräkna - Länk'!$C$25-2010)</f>
        <v>10385</v>
      </c>
      <c r="P53" s="13">
        <f t="shared" si="65"/>
        <v>3.7905249999999997</v>
      </c>
      <c r="Q53" s="13">
        <f t="shared" si="66"/>
        <v>0.351893388375</v>
      </c>
      <c r="R53" s="13">
        <f t="shared" si="67"/>
        <v>0.57598448821874992</v>
      </c>
      <c r="S53" s="28">
        <f t="shared" si="68"/>
        <v>1.6117075392187496E-2</v>
      </c>
      <c r="T53" s="15">
        <f t="shared" si="69"/>
        <v>8.5792136864062493E-2</v>
      </c>
      <c r="U53" s="13">
        <f t="shared" si="70"/>
        <v>0.47407527596249988</v>
      </c>
      <c r="V53" s="13">
        <f t="shared" si="71"/>
        <v>1.0006985999999998</v>
      </c>
      <c r="W53" s="15">
        <f t="shared" si="72"/>
        <v>1.7752484136600001E-2</v>
      </c>
      <c r="X53" s="15">
        <f t="shared" si="73"/>
        <v>9.7219972731374976E-2</v>
      </c>
      <c r="Y53" s="15">
        <f t="shared" si="74"/>
        <v>0.14584663266890624</v>
      </c>
      <c r="Z53" s="14">
        <f t="shared" si="75"/>
        <v>0.80592796913624976</v>
      </c>
      <c r="AA53" s="14">
        <f t="shared" si="76"/>
        <v>7.0048901999999984</v>
      </c>
      <c r="AB53" s="13">
        <f t="shared" si="77"/>
        <v>3.0179223032219996E-2</v>
      </c>
      <c r="AC53" s="14">
        <f t="shared" si="78"/>
        <v>0.16527395364333747</v>
      </c>
      <c r="AD53" s="13">
        <f t="shared" si="55"/>
        <v>0.16733660581737902</v>
      </c>
      <c r="AE53" s="15">
        <f t="shared" si="56"/>
        <v>4.2728568749999994E-2</v>
      </c>
      <c r="AF53" s="8">
        <v>0.09</v>
      </c>
      <c r="AG53" s="6">
        <v>1.65</v>
      </c>
      <c r="AH53" s="12">
        <v>2.5</v>
      </c>
      <c r="AI53" s="12">
        <v>14.5</v>
      </c>
      <c r="AJ53" s="7">
        <v>83</v>
      </c>
      <c r="AK53" s="12">
        <v>1.7777777777777777</v>
      </c>
      <c r="AL53" s="12">
        <f t="shared" si="79"/>
        <v>0.34114724999999996</v>
      </c>
      <c r="AM53" s="12">
        <f t="shared" si="80"/>
        <v>0.56289296249999987</v>
      </c>
      <c r="AN53" s="18">
        <f t="shared" si="81"/>
        <v>1.4072324062499997E-2</v>
      </c>
      <c r="AO53" s="8">
        <f t="shared" si="82"/>
        <v>8.1619479562499986E-2</v>
      </c>
      <c r="AP53" s="12">
        <f t="shared" si="83"/>
        <v>0.46720115887499986</v>
      </c>
      <c r="AQ53" s="12">
        <f t="shared" si="84"/>
        <v>1.0006985999999998</v>
      </c>
      <c r="AR53" s="18">
        <f t="shared" si="85"/>
        <v>1.69346347768125E-2</v>
      </c>
      <c r="AS53" s="8">
        <f t="shared" si="86"/>
        <v>9.3974980089374979E-2</v>
      </c>
      <c r="AT53" s="8">
        <f t="shared" si="87"/>
        <v>0.13875311525624998</v>
      </c>
      <c r="AU53" s="8">
        <f t="shared" si="88"/>
        <v>0.79424197008749975</v>
      </c>
      <c r="AV53" s="8">
        <f t="shared" si="89"/>
        <v>7.0048901999999984</v>
      </c>
      <c r="AW53" s="8">
        <f t="shared" si="90"/>
        <v>2.8788879120581243E-2</v>
      </c>
      <c r="AX53" s="8">
        <f t="shared" si="91"/>
        <v>0.15975746615193748</v>
      </c>
      <c r="AY53" s="495">
        <f t="shared" si="58"/>
        <v>0.16136701337295695</v>
      </c>
      <c r="AZ53" s="8">
        <f t="shared" si="92"/>
        <v>2.5244999999999997E-2</v>
      </c>
      <c r="BA53" s="6">
        <v>1.7</v>
      </c>
      <c r="BB53" s="6">
        <v>1.7</v>
      </c>
      <c r="BC53" s="6">
        <v>7</v>
      </c>
      <c r="BD53" s="9">
        <v>9.2999999999999999E-2</v>
      </c>
      <c r="BE53" s="9">
        <v>0.35</v>
      </c>
      <c r="BF53" s="15">
        <v>0.02</v>
      </c>
      <c r="BG53" s="9">
        <v>0.14000000000000001</v>
      </c>
      <c r="BH53" s="28">
        <f t="shared" si="93"/>
        <v>4.4676225000000007E-3</v>
      </c>
      <c r="BI53" s="15">
        <f t="shared" si="94"/>
        <v>2.4792074999999997E-2</v>
      </c>
      <c r="BJ53" s="13">
        <v>1.1499999999999999</v>
      </c>
      <c r="BK53" s="13">
        <v>1.25</v>
      </c>
      <c r="BL53" s="14">
        <v>25</v>
      </c>
      <c r="BM53" s="14">
        <v>35</v>
      </c>
      <c r="BN53" s="14">
        <v>40</v>
      </c>
      <c r="BO53" s="8">
        <f t="shared" si="95"/>
        <v>3.9231933749999991E-3</v>
      </c>
      <c r="BP53" s="8">
        <f t="shared" si="96"/>
        <v>4.9039917187499987E-3</v>
      </c>
      <c r="BQ53" s="8">
        <f t="shared" si="97"/>
        <v>1.2259979296874997E-3</v>
      </c>
      <c r="BR53" s="8">
        <f t="shared" si="98"/>
        <v>1.7163971015624994E-3</v>
      </c>
      <c r="BS53" s="8">
        <f t="shared" si="99"/>
        <v>1.9615966874999996E-3</v>
      </c>
      <c r="BT53" s="18">
        <f t="shared" si="100"/>
        <v>3.3150984018749994E-4</v>
      </c>
      <c r="BU53" s="8">
        <f t="shared" si="101"/>
        <v>1.2554218799999998E-3</v>
      </c>
      <c r="BV53" s="8">
        <f t="shared" si="102"/>
        <v>2.917875072656249E-3</v>
      </c>
      <c r="BW53" s="8">
        <f t="shared" si="103"/>
        <v>3.3347143687499992E-3</v>
      </c>
      <c r="BX53" s="18">
        <f t="shared" si="104"/>
        <v>5.6356672831874986E-4</v>
      </c>
      <c r="BY53" s="8">
        <f t="shared" si="105"/>
        <v>2.1342171959999991E-3</v>
      </c>
      <c r="BZ53" s="12">
        <f t="shared" si="106"/>
        <v>0.6</v>
      </c>
      <c r="CA53" s="12">
        <f t="shared" si="61"/>
        <v>0.44931147540983601</v>
      </c>
      <c r="CB53" s="6">
        <v>1.7</v>
      </c>
      <c r="CC53" s="6">
        <v>1.7</v>
      </c>
      <c r="CD53" s="15">
        <v>0.16</v>
      </c>
      <c r="CE53" s="9">
        <v>0.48</v>
      </c>
      <c r="CF53" s="9">
        <v>2.9000000000000001E-2</v>
      </c>
      <c r="CG53" s="11">
        <v>0.22</v>
      </c>
      <c r="CH53" s="28">
        <f t="shared" si="122"/>
        <v>8.7457499999999994E-5</v>
      </c>
      <c r="CI53" s="15">
        <f t="shared" si="107"/>
        <v>3.3119999999999997E-4</v>
      </c>
      <c r="CJ53" s="12">
        <v>2</v>
      </c>
      <c r="CK53" s="12">
        <v>1.2</v>
      </c>
      <c r="CL53" s="7">
        <v>10</v>
      </c>
      <c r="CM53" s="7">
        <v>30</v>
      </c>
      <c r="CN53" s="7">
        <v>60</v>
      </c>
      <c r="CO53" s="8">
        <f t="shared" si="108"/>
        <v>6.8229449999999995E-3</v>
      </c>
      <c r="CP53" s="8">
        <f t="shared" si="109"/>
        <v>8.1875339999999998E-3</v>
      </c>
      <c r="CQ53" s="18">
        <f t="shared" si="110"/>
        <v>8.187534E-4</v>
      </c>
      <c r="CR53" s="8">
        <f t="shared" si="111"/>
        <v>2.4562601999999997E-3</v>
      </c>
      <c r="CS53" s="8">
        <f t="shared" si="112"/>
        <v>4.9125203999999994E-3</v>
      </c>
      <c r="CT53" s="18">
        <f t="shared" si="113"/>
        <v>4.8633951959999987E-4</v>
      </c>
      <c r="CU53" s="8">
        <f t="shared" si="114"/>
        <v>1.989570762E-3</v>
      </c>
      <c r="CV53" s="8">
        <f t="shared" si="115"/>
        <v>4.1756423399999998E-3</v>
      </c>
      <c r="CW53" s="8">
        <f t="shared" si="116"/>
        <v>8.3512846799999995E-3</v>
      </c>
      <c r="CX53" s="18">
        <f t="shared" si="117"/>
        <v>8.2677718331999992E-4</v>
      </c>
      <c r="CY53" s="8">
        <f t="shared" si="118"/>
        <v>3.3822702953999998E-3</v>
      </c>
      <c r="CZ53" s="12">
        <f t="shared" si="119"/>
        <v>0.4</v>
      </c>
      <c r="DA53" s="12">
        <f t="shared" si="63"/>
        <v>0.31478527607361961</v>
      </c>
      <c r="DB53" s="6">
        <v>1.7</v>
      </c>
      <c r="DC53" s="6">
        <v>1.7</v>
      </c>
      <c r="DD53" s="9">
        <v>0.14399999999999999</v>
      </c>
      <c r="DE53" s="9">
        <v>0.43</v>
      </c>
      <c r="DF53" s="15">
        <v>2.7E-2</v>
      </c>
      <c r="DG53" s="13">
        <v>0.19</v>
      </c>
      <c r="DH53" s="28">
        <f t="shared" si="120"/>
        <v>1.2830399999999998E-4</v>
      </c>
      <c r="DI53" s="29">
        <f t="shared" si="121"/>
        <v>5.2488000000000003E-4</v>
      </c>
    </row>
    <row r="54" spans="1:113" x14ac:dyDescent="0.25">
      <c r="A54" s="85">
        <v>46</v>
      </c>
      <c r="B54" s="35" t="s">
        <v>26</v>
      </c>
      <c r="C54" s="35" t="s">
        <v>28</v>
      </c>
      <c r="D54" s="31" t="s">
        <v>181</v>
      </c>
      <c r="E54" s="9">
        <v>2</v>
      </c>
      <c r="F54" s="9">
        <v>90</v>
      </c>
      <c r="G54" s="34" t="s">
        <v>114</v>
      </c>
      <c r="H54" s="19" t="s">
        <v>99</v>
      </c>
      <c r="I54" s="31" t="s">
        <v>99</v>
      </c>
      <c r="J54" s="32" t="s">
        <v>99</v>
      </c>
      <c r="K54" s="2" t="str">
        <f t="shared" si="64"/>
        <v>Statlig Landsbygd VV 90 5,7-6,6 - -</v>
      </c>
      <c r="L54" s="2"/>
      <c r="M54" s="32" t="s">
        <v>99</v>
      </c>
      <c r="N54" s="53">
        <f>'Beräkna - Länk'!$C$26</f>
        <v>1</v>
      </c>
      <c r="O54" s="53">
        <f>'Beräkna - Länk'!$C$24/('Beräkna - Länk'!$C$27)^('Beräkna - Länk'!$C$25-2010)</f>
        <v>10385</v>
      </c>
      <c r="P54" s="13">
        <f t="shared" si="65"/>
        <v>3.7905249999999997</v>
      </c>
      <c r="Q54" s="13">
        <f t="shared" si="66"/>
        <v>0.351893388375</v>
      </c>
      <c r="R54" s="13">
        <f t="shared" si="67"/>
        <v>0.55210418071875</v>
      </c>
      <c r="S54" s="28">
        <f t="shared" si="68"/>
        <v>1.6059080359687498E-2</v>
      </c>
      <c r="T54" s="15">
        <f t="shared" si="69"/>
        <v>9.5265795996562486E-2</v>
      </c>
      <c r="U54" s="13">
        <f t="shared" si="70"/>
        <v>0.44077930436249996</v>
      </c>
      <c r="V54" s="13">
        <f t="shared" si="71"/>
        <v>0.95824471999999983</v>
      </c>
      <c r="W54" s="15">
        <f t="shared" si="72"/>
        <v>1.79676150039225E-2</v>
      </c>
      <c r="X54" s="15">
        <f t="shared" si="73"/>
        <v>9.5874317403749992E-2</v>
      </c>
      <c r="Y54" s="15">
        <f t="shared" si="74"/>
        <v>0.16195185319415623</v>
      </c>
      <c r="Z54" s="14">
        <f t="shared" si="75"/>
        <v>0.7493248174162499</v>
      </c>
      <c r="AA54" s="14">
        <f t="shared" si="76"/>
        <v>6.7077130399999989</v>
      </c>
      <c r="AB54" s="13">
        <f t="shared" si="77"/>
        <v>3.0544945506668249E-2</v>
      </c>
      <c r="AC54" s="14">
        <f t="shared" si="78"/>
        <v>0.16298633958637498</v>
      </c>
      <c r="AD54" s="13">
        <f t="shared" si="55"/>
        <v>0.1919595285392858</v>
      </c>
      <c r="AE54" s="15">
        <f t="shared" si="56"/>
        <v>4.6962078749999997E-2</v>
      </c>
      <c r="AF54" s="8">
        <v>0.09</v>
      </c>
      <c r="AG54" s="6">
        <v>1.58</v>
      </c>
      <c r="AH54" s="12">
        <v>2.6</v>
      </c>
      <c r="AI54" s="12">
        <v>16.899999999999999</v>
      </c>
      <c r="AJ54" s="7">
        <v>80.5</v>
      </c>
      <c r="AK54" s="12">
        <v>1.7777777777777777</v>
      </c>
      <c r="AL54" s="12">
        <f t="shared" si="79"/>
        <v>0.34114724999999996</v>
      </c>
      <c r="AM54" s="12">
        <f t="shared" si="80"/>
        <v>0.53901265499999995</v>
      </c>
      <c r="AN54" s="18">
        <f t="shared" si="81"/>
        <v>1.401432903E-2</v>
      </c>
      <c r="AO54" s="8">
        <f t="shared" si="82"/>
        <v>9.1093138694999978E-2</v>
      </c>
      <c r="AP54" s="12">
        <f t="shared" si="83"/>
        <v>0.43390518727499994</v>
      </c>
      <c r="AQ54" s="12">
        <f t="shared" si="84"/>
        <v>0.95824471999999983</v>
      </c>
      <c r="AR54" s="18">
        <f t="shared" si="85"/>
        <v>1.7149765644135E-2</v>
      </c>
      <c r="AS54" s="8">
        <f t="shared" si="86"/>
        <v>9.2629324761749995E-2</v>
      </c>
      <c r="AT54" s="8">
        <f t="shared" si="87"/>
        <v>0.15485833578149996</v>
      </c>
      <c r="AU54" s="8">
        <f t="shared" si="88"/>
        <v>0.73763881836749989</v>
      </c>
      <c r="AV54" s="8">
        <f t="shared" si="89"/>
        <v>6.7077130399999989</v>
      </c>
      <c r="AW54" s="8">
        <f t="shared" si="90"/>
        <v>2.9154601595029493E-2</v>
      </c>
      <c r="AX54" s="8">
        <f t="shared" si="91"/>
        <v>0.15746985209497497</v>
      </c>
      <c r="AY54" s="495">
        <f t="shared" si="58"/>
        <v>0.18628850041622069</v>
      </c>
      <c r="AZ54" s="8">
        <f t="shared" si="92"/>
        <v>2.7728999999999997E-2</v>
      </c>
      <c r="BA54" s="6">
        <v>1.7</v>
      </c>
      <c r="BB54" s="6">
        <v>1.7</v>
      </c>
      <c r="BC54" s="6">
        <v>7</v>
      </c>
      <c r="BD54" s="9">
        <v>9.2999999999999999E-2</v>
      </c>
      <c r="BE54" s="9">
        <v>0.35</v>
      </c>
      <c r="BF54" s="15">
        <v>0.02</v>
      </c>
      <c r="BG54" s="9">
        <v>0.14000000000000001</v>
      </c>
      <c r="BH54" s="28">
        <f t="shared" si="93"/>
        <v>4.5243774000000006E-3</v>
      </c>
      <c r="BI54" s="15">
        <f t="shared" si="94"/>
        <v>2.4437070000000002E-2</v>
      </c>
      <c r="BJ54" s="13">
        <v>1.1499999999999999</v>
      </c>
      <c r="BK54" s="13">
        <v>1.25</v>
      </c>
      <c r="BL54" s="14">
        <v>25</v>
      </c>
      <c r="BM54" s="14">
        <v>35</v>
      </c>
      <c r="BN54" s="14">
        <v>40</v>
      </c>
      <c r="BO54" s="8">
        <f t="shared" si="95"/>
        <v>3.9231933749999991E-3</v>
      </c>
      <c r="BP54" s="8">
        <f t="shared" si="96"/>
        <v>4.9039917187499987E-3</v>
      </c>
      <c r="BQ54" s="8">
        <f t="shared" si="97"/>
        <v>1.2259979296874997E-3</v>
      </c>
      <c r="BR54" s="8">
        <f t="shared" si="98"/>
        <v>1.7163971015624994E-3</v>
      </c>
      <c r="BS54" s="8">
        <f t="shared" si="99"/>
        <v>1.9615966874999996E-3</v>
      </c>
      <c r="BT54" s="18">
        <f t="shared" si="100"/>
        <v>3.3150984018749994E-4</v>
      </c>
      <c r="BU54" s="8">
        <f t="shared" si="101"/>
        <v>1.2554218799999998E-3</v>
      </c>
      <c r="BV54" s="8">
        <f t="shared" si="102"/>
        <v>2.917875072656249E-3</v>
      </c>
      <c r="BW54" s="8">
        <f t="shared" si="103"/>
        <v>3.3347143687499992E-3</v>
      </c>
      <c r="BX54" s="18">
        <f t="shared" si="104"/>
        <v>5.6356672831874986E-4</v>
      </c>
      <c r="BY54" s="8">
        <f t="shared" si="105"/>
        <v>2.1342171959999991E-3</v>
      </c>
      <c r="BZ54" s="12">
        <f t="shared" si="106"/>
        <v>0.6</v>
      </c>
      <c r="CA54" s="12">
        <f t="shared" si="61"/>
        <v>0.44931147540983601</v>
      </c>
      <c r="CB54" s="6">
        <v>1.7</v>
      </c>
      <c r="CC54" s="6">
        <v>1.7</v>
      </c>
      <c r="CD54" s="15">
        <v>0.16</v>
      </c>
      <c r="CE54" s="9">
        <v>0.48</v>
      </c>
      <c r="CF54" s="9">
        <v>2.9000000000000001E-2</v>
      </c>
      <c r="CG54" s="11">
        <v>0.22</v>
      </c>
      <c r="CH54" s="28">
        <f t="shared" si="122"/>
        <v>8.7457499999999994E-5</v>
      </c>
      <c r="CI54" s="15">
        <f t="shared" si="107"/>
        <v>3.3119999999999997E-4</v>
      </c>
      <c r="CJ54" s="12">
        <v>2</v>
      </c>
      <c r="CK54" s="12">
        <v>1.2</v>
      </c>
      <c r="CL54" s="7">
        <v>10</v>
      </c>
      <c r="CM54" s="7">
        <v>30</v>
      </c>
      <c r="CN54" s="7">
        <v>60</v>
      </c>
      <c r="CO54" s="8">
        <f t="shared" si="108"/>
        <v>6.8229449999999995E-3</v>
      </c>
      <c r="CP54" s="8">
        <f t="shared" si="109"/>
        <v>8.1875339999999998E-3</v>
      </c>
      <c r="CQ54" s="18">
        <f t="shared" si="110"/>
        <v>8.187534E-4</v>
      </c>
      <c r="CR54" s="8">
        <f t="shared" si="111"/>
        <v>2.4562601999999997E-3</v>
      </c>
      <c r="CS54" s="8">
        <f t="shared" si="112"/>
        <v>4.9125203999999994E-3</v>
      </c>
      <c r="CT54" s="18">
        <f t="shared" si="113"/>
        <v>4.8633951959999987E-4</v>
      </c>
      <c r="CU54" s="8">
        <f t="shared" si="114"/>
        <v>1.989570762E-3</v>
      </c>
      <c r="CV54" s="8">
        <f t="shared" si="115"/>
        <v>4.1756423399999998E-3</v>
      </c>
      <c r="CW54" s="8">
        <f t="shared" si="116"/>
        <v>8.3512846799999995E-3</v>
      </c>
      <c r="CX54" s="18">
        <f t="shared" si="117"/>
        <v>8.2677718331999992E-4</v>
      </c>
      <c r="CY54" s="8">
        <f t="shared" si="118"/>
        <v>3.3822702953999998E-3</v>
      </c>
      <c r="CZ54" s="12">
        <f t="shared" si="119"/>
        <v>0.4</v>
      </c>
      <c r="DA54" s="12">
        <f t="shared" si="63"/>
        <v>0.31478527607361961</v>
      </c>
      <c r="DB54" s="6">
        <v>1.7</v>
      </c>
      <c r="DC54" s="6">
        <v>1.7</v>
      </c>
      <c r="DD54" s="9">
        <v>0.14399999999999999</v>
      </c>
      <c r="DE54" s="9">
        <v>0.43</v>
      </c>
      <c r="DF54" s="15">
        <v>2.7E-2</v>
      </c>
      <c r="DG54" s="13">
        <v>0.19</v>
      </c>
      <c r="DH54" s="28">
        <f t="shared" si="120"/>
        <v>1.2830399999999998E-4</v>
      </c>
      <c r="DI54" s="29">
        <f t="shared" si="121"/>
        <v>5.2488000000000003E-4</v>
      </c>
    </row>
    <row r="55" spans="1:113" x14ac:dyDescent="0.25">
      <c r="A55" s="85">
        <v>47</v>
      </c>
      <c r="B55" s="35" t="s">
        <v>26</v>
      </c>
      <c r="C55" s="35" t="s">
        <v>28</v>
      </c>
      <c r="D55" s="31" t="s">
        <v>181</v>
      </c>
      <c r="E55" s="9">
        <v>2</v>
      </c>
      <c r="F55" s="9">
        <v>90</v>
      </c>
      <c r="G55" s="34" t="s">
        <v>111</v>
      </c>
      <c r="H55" s="19" t="s">
        <v>99</v>
      </c>
      <c r="I55" s="31" t="s">
        <v>99</v>
      </c>
      <c r="J55" s="32" t="s">
        <v>99</v>
      </c>
      <c r="K55" s="2" t="str">
        <f t="shared" si="64"/>
        <v>Statlig Landsbygd VV 90 6,7-7,9 - -</v>
      </c>
      <c r="L55" s="2"/>
      <c r="M55" s="32" t="s">
        <v>99</v>
      </c>
      <c r="N55" s="53">
        <f>'Beräkna - Länk'!$C$26</f>
        <v>1</v>
      </c>
      <c r="O55" s="53">
        <f>'Beräkna - Länk'!$C$24/('Beräkna - Länk'!$C$27)^('Beräkna - Länk'!$C$25-2010)</f>
        <v>10385</v>
      </c>
      <c r="P55" s="13">
        <f t="shared" si="65"/>
        <v>3.7905249999999997</v>
      </c>
      <c r="Q55" s="13">
        <f t="shared" si="66"/>
        <v>0.351893388375</v>
      </c>
      <c r="R55" s="13">
        <f t="shared" si="67"/>
        <v>0.55210418071875</v>
      </c>
      <c r="S55" s="28">
        <f t="shared" si="68"/>
        <v>1.6059080359687498E-2</v>
      </c>
      <c r="T55" s="15">
        <f t="shared" si="69"/>
        <v>9.5265795996562486E-2</v>
      </c>
      <c r="U55" s="13">
        <f t="shared" si="70"/>
        <v>0.44077930436249996</v>
      </c>
      <c r="V55" s="13">
        <f t="shared" si="71"/>
        <v>0.95824471999999983</v>
      </c>
      <c r="W55" s="15">
        <f t="shared" si="72"/>
        <v>1.79676150039225E-2</v>
      </c>
      <c r="X55" s="15">
        <f t="shared" si="73"/>
        <v>9.5874317403749992E-2</v>
      </c>
      <c r="Y55" s="15">
        <f t="shared" si="74"/>
        <v>0.16195185319415623</v>
      </c>
      <c r="Z55" s="14">
        <f t="shared" si="75"/>
        <v>0.7493248174162499</v>
      </c>
      <c r="AA55" s="14">
        <f t="shared" si="76"/>
        <v>6.7077130399999989</v>
      </c>
      <c r="AB55" s="13">
        <f t="shared" si="77"/>
        <v>3.0544945506668249E-2</v>
      </c>
      <c r="AC55" s="14">
        <f t="shared" si="78"/>
        <v>0.16298633958637498</v>
      </c>
      <c r="AD55" s="13">
        <f t="shared" si="55"/>
        <v>0.1919595285392858</v>
      </c>
      <c r="AE55" s="15">
        <f t="shared" si="56"/>
        <v>4.6962078749999997E-2</v>
      </c>
      <c r="AF55" s="8">
        <v>0.09</v>
      </c>
      <c r="AG55" s="6">
        <v>1.58</v>
      </c>
      <c r="AH55" s="12">
        <v>2.6</v>
      </c>
      <c r="AI55" s="12">
        <v>16.899999999999999</v>
      </c>
      <c r="AJ55" s="7">
        <v>80.5</v>
      </c>
      <c r="AK55" s="12">
        <v>1.7777777777777777</v>
      </c>
      <c r="AL55" s="12">
        <f t="shared" si="79"/>
        <v>0.34114724999999996</v>
      </c>
      <c r="AM55" s="12">
        <f t="shared" si="80"/>
        <v>0.53901265499999995</v>
      </c>
      <c r="AN55" s="18">
        <f t="shared" si="81"/>
        <v>1.401432903E-2</v>
      </c>
      <c r="AO55" s="8">
        <f t="shared" si="82"/>
        <v>9.1093138694999978E-2</v>
      </c>
      <c r="AP55" s="12">
        <f t="shared" si="83"/>
        <v>0.43390518727499994</v>
      </c>
      <c r="AQ55" s="12">
        <f t="shared" si="84"/>
        <v>0.95824471999999983</v>
      </c>
      <c r="AR55" s="18">
        <f t="shared" si="85"/>
        <v>1.7149765644135E-2</v>
      </c>
      <c r="AS55" s="8">
        <f t="shared" si="86"/>
        <v>9.2629324761749995E-2</v>
      </c>
      <c r="AT55" s="8">
        <f t="shared" si="87"/>
        <v>0.15485833578149996</v>
      </c>
      <c r="AU55" s="8">
        <f t="shared" si="88"/>
        <v>0.73763881836749989</v>
      </c>
      <c r="AV55" s="8">
        <f t="shared" si="89"/>
        <v>6.7077130399999989</v>
      </c>
      <c r="AW55" s="8">
        <f t="shared" si="90"/>
        <v>2.9154601595029493E-2</v>
      </c>
      <c r="AX55" s="8">
        <f t="shared" si="91"/>
        <v>0.15746985209497497</v>
      </c>
      <c r="AY55" s="495">
        <f t="shared" si="58"/>
        <v>0.18628850041622069</v>
      </c>
      <c r="AZ55" s="8">
        <f t="shared" si="92"/>
        <v>2.7728999999999997E-2</v>
      </c>
      <c r="BA55" s="6">
        <v>1.7</v>
      </c>
      <c r="BB55" s="6">
        <v>1.7</v>
      </c>
      <c r="BC55" s="6">
        <v>7</v>
      </c>
      <c r="BD55" s="9">
        <v>9.2999999999999999E-2</v>
      </c>
      <c r="BE55" s="9">
        <v>0.35</v>
      </c>
      <c r="BF55" s="15">
        <v>0.02</v>
      </c>
      <c r="BG55" s="9">
        <v>0.14000000000000001</v>
      </c>
      <c r="BH55" s="28">
        <f t="shared" si="93"/>
        <v>4.5243774000000006E-3</v>
      </c>
      <c r="BI55" s="15">
        <f t="shared" si="94"/>
        <v>2.4437070000000002E-2</v>
      </c>
      <c r="BJ55" s="13">
        <v>1.1499999999999999</v>
      </c>
      <c r="BK55" s="13">
        <v>1.25</v>
      </c>
      <c r="BL55" s="14">
        <v>25</v>
      </c>
      <c r="BM55" s="14">
        <v>35</v>
      </c>
      <c r="BN55" s="14">
        <v>40</v>
      </c>
      <c r="BO55" s="8">
        <f t="shared" si="95"/>
        <v>3.9231933749999991E-3</v>
      </c>
      <c r="BP55" s="8">
        <f t="shared" si="96"/>
        <v>4.9039917187499987E-3</v>
      </c>
      <c r="BQ55" s="8">
        <f t="shared" si="97"/>
        <v>1.2259979296874997E-3</v>
      </c>
      <c r="BR55" s="8">
        <f t="shared" si="98"/>
        <v>1.7163971015624994E-3</v>
      </c>
      <c r="BS55" s="8">
        <f t="shared" si="99"/>
        <v>1.9615966874999996E-3</v>
      </c>
      <c r="BT55" s="18">
        <f t="shared" si="100"/>
        <v>3.3150984018749994E-4</v>
      </c>
      <c r="BU55" s="8">
        <f t="shared" si="101"/>
        <v>1.2554218799999998E-3</v>
      </c>
      <c r="BV55" s="8">
        <f t="shared" si="102"/>
        <v>2.917875072656249E-3</v>
      </c>
      <c r="BW55" s="8">
        <f t="shared" si="103"/>
        <v>3.3347143687499992E-3</v>
      </c>
      <c r="BX55" s="18">
        <f t="shared" si="104"/>
        <v>5.6356672831874986E-4</v>
      </c>
      <c r="BY55" s="8">
        <f t="shared" si="105"/>
        <v>2.1342171959999991E-3</v>
      </c>
      <c r="BZ55" s="12">
        <f t="shared" si="106"/>
        <v>0.6</v>
      </c>
      <c r="CA55" s="12">
        <f t="shared" si="61"/>
        <v>0.44931147540983601</v>
      </c>
      <c r="CB55" s="6">
        <v>1.7</v>
      </c>
      <c r="CC55" s="6">
        <v>1.7</v>
      </c>
      <c r="CD55" s="15">
        <v>0.16</v>
      </c>
      <c r="CE55" s="9">
        <v>0.48</v>
      </c>
      <c r="CF55" s="9">
        <v>2.9000000000000001E-2</v>
      </c>
      <c r="CG55" s="11">
        <v>0.22</v>
      </c>
      <c r="CH55" s="28">
        <f t="shared" si="122"/>
        <v>8.7457499999999994E-5</v>
      </c>
      <c r="CI55" s="15">
        <f t="shared" si="107"/>
        <v>3.3119999999999997E-4</v>
      </c>
      <c r="CJ55" s="12">
        <v>2</v>
      </c>
      <c r="CK55" s="12">
        <v>1.2</v>
      </c>
      <c r="CL55" s="7">
        <v>10</v>
      </c>
      <c r="CM55" s="7">
        <v>30</v>
      </c>
      <c r="CN55" s="7">
        <v>60</v>
      </c>
      <c r="CO55" s="8">
        <f t="shared" si="108"/>
        <v>6.8229449999999995E-3</v>
      </c>
      <c r="CP55" s="8">
        <f t="shared" si="109"/>
        <v>8.1875339999999998E-3</v>
      </c>
      <c r="CQ55" s="18">
        <f t="shared" si="110"/>
        <v>8.187534E-4</v>
      </c>
      <c r="CR55" s="8">
        <f t="shared" si="111"/>
        <v>2.4562601999999997E-3</v>
      </c>
      <c r="CS55" s="8">
        <f t="shared" si="112"/>
        <v>4.9125203999999994E-3</v>
      </c>
      <c r="CT55" s="18">
        <f t="shared" si="113"/>
        <v>4.8633951959999987E-4</v>
      </c>
      <c r="CU55" s="8">
        <f t="shared" si="114"/>
        <v>1.989570762E-3</v>
      </c>
      <c r="CV55" s="8">
        <f t="shared" si="115"/>
        <v>4.1756423399999998E-3</v>
      </c>
      <c r="CW55" s="8">
        <f t="shared" si="116"/>
        <v>8.3512846799999995E-3</v>
      </c>
      <c r="CX55" s="18">
        <f t="shared" si="117"/>
        <v>8.2677718331999992E-4</v>
      </c>
      <c r="CY55" s="8">
        <f t="shared" si="118"/>
        <v>3.3822702953999998E-3</v>
      </c>
      <c r="CZ55" s="12">
        <f t="shared" si="119"/>
        <v>0.4</v>
      </c>
      <c r="DA55" s="12">
        <f t="shared" si="63"/>
        <v>0.31478527607361961</v>
      </c>
      <c r="DB55" s="6">
        <v>1.7</v>
      </c>
      <c r="DC55" s="6">
        <v>1.7</v>
      </c>
      <c r="DD55" s="9">
        <v>0.14399999999999999</v>
      </c>
      <c r="DE55" s="9">
        <v>0.43</v>
      </c>
      <c r="DF55" s="15">
        <v>2.7E-2</v>
      </c>
      <c r="DG55" s="13">
        <v>0.19</v>
      </c>
      <c r="DH55" s="28">
        <f t="shared" si="120"/>
        <v>1.2830399999999998E-4</v>
      </c>
      <c r="DI55" s="29">
        <f t="shared" si="121"/>
        <v>5.2488000000000003E-4</v>
      </c>
    </row>
    <row r="56" spans="1:113" x14ac:dyDescent="0.25">
      <c r="A56" s="85">
        <v>48</v>
      </c>
      <c r="B56" s="35" t="s">
        <v>26</v>
      </c>
      <c r="C56" s="35" t="s">
        <v>28</v>
      </c>
      <c r="D56" s="31" t="s">
        <v>181</v>
      </c>
      <c r="E56" s="9">
        <v>2</v>
      </c>
      <c r="F56" s="9">
        <v>90</v>
      </c>
      <c r="G56" s="34" t="s">
        <v>27</v>
      </c>
      <c r="H56" s="19" t="s">
        <v>99</v>
      </c>
      <c r="I56" s="31" t="s">
        <v>99</v>
      </c>
      <c r="J56" s="32" t="s">
        <v>99</v>
      </c>
      <c r="K56" s="2" t="str">
        <f t="shared" si="64"/>
        <v>Statlig Landsbygd VV 90 8-10 - -</v>
      </c>
      <c r="L56" s="2"/>
      <c r="M56" s="32" t="s">
        <v>99</v>
      </c>
      <c r="N56" s="53">
        <f>'Beräkna - Länk'!$C$26</f>
        <v>1</v>
      </c>
      <c r="O56" s="53">
        <f>'Beräkna - Länk'!$C$24/('Beräkna - Länk'!$C$27)^('Beräkna - Länk'!$C$25-2010)</f>
        <v>10385</v>
      </c>
      <c r="P56" s="13">
        <f t="shared" si="65"/>
        <v>3.7905249999999997</v>
      </c>
      <c r="Q56" s="13">
        <f t="shared" si="66"/>
        <v>0.29715441684999994</v>
      </c>
      <c r="R56" s="13">
        <f t="shared" si="67"/>
        <v>0.47198290616249988</v>
      </c>
      <c r="S56" s="28">
        <f t="shared" si="68"/>
        <v>1.8781008980625E-2</v>
      </c>
      <c r="T56" s="15">
        <f t="shared" si="69"/>
        <v>9.4787289596874977E-2</v>
      </c>
      <c r="U56" s="13">
        <f t="shared" si="70"/>
        <v>0.35841460758499988</v>
      </c>
      <c r="V56" s="13">
        <f t="shared" si="71"/>
        <v>0.85600884571428559</v>
      </c>
      <c r="W56" s="15">
        <f t="shared" si="72"/>
        <v>1.6230349546024998E-2</v>
      </c>
      <c r="X56" s="15">
        <f t="shared" si="73"/>
        <v>8.4047886984800008E-2</v>
      </c>
      <c r="Y56" s="15">
        <f t="shared" si="74"/>
        <v>0.16113839231468749</v>
      </c>
      <c r="Z56" s="14">
        <f t="shared" si="75"/>
        <v>0.60930483289449988</v>
      </c>
      <c r="AA56" s="14">
        <f t="shared" si="76"/>
        <v>5.9920619199999994</v>
      </c>
      <c r="AB56" s="13">
        <f t="shared" si="77"/>
        <v>2.7591594228242491E-2</v>
      </c>
      <c r="AC56" s="14">
        <f t="shared" si="78"/>
        <v>0.14288140787415998</v>
      </c>
      <c r="AD56" s="13">
        <f t="shared" si="55"/>
        <v>0.2279699399753112</v>
      </c>
      <c r="AE56" s="15">
        <f t="shared" si="56"/>
        <v>4.7465562499999996E-2</v>
      </c>
      <c r="AF56" s="6">
        <v>7.5999999999999998E-2</v>
      </c>
      <c r="AG56" s="12">
        <v>1.6</v>
      </c>
      <c r="AH56" s="12">
        <v>3.7</v>
      </c>
      <c r="AI56" s="12">
        <v>19.8</v>
      </c>
      <c r="AJ56" s="7">
        <v>76.5</v>
      </c>
      <c r="AK56" s="12">
        <v>1.8571428571428572</v>
      </c>
      <c r="AL56" s="12">
        <f t="shared" si="79"/>
        <v>0.28807989999999994</v>
      </c>
      <c r="AM56" s="12">
        <f t="shared" si="80"/>
        <v>0.46092783999999992</v>
      </c>
      <c r="AN56" s="18">
        <f t="shared" si="81"/>
        <v>1.7054330079999999E-2</v>
      </c>
      <c r="AO56" s="8">
        <f t="shared" si="82"/>
        <v>9.1263712319999982E-2</v>
      </c>
      <c r="AP56" s="12">
        <f t="shared" si="83"/>
        <v>0.35260979759999989</v>
      </c>
      <c r="AQ56" s="12">
        <f t="shared" si="84"/>
        <v>0.85600884571428559</v>
      </c>
      <c r="AR56" s="18">
        <f t="shared" si="85"/>
        <v>1.5539721197759999E-2</v>
      </c>
      <c r="AS56" s="8">
        <f t="shared" si="86"/>
        <v>8.1307670976000002E-2</v>
      </c>
      <c r="AT56" s="8">
        <f t="shared" si="87"/>
        <v>0.15514831094399997</v>
      </c>
      <c r="AU56" s="8">
        <f t="shared" si="88"/>
        <v>0.59943665591999984</v>
      </c>
      <c r="AV56" s="8">
        <f t="shared" si="89"/>
        <v>5.9920619199999994</v>
      </c>
      <c r="AW56" s="8">
        <f t="shared" si="90"/>
        <v>2.6417526036191998E-2</v>
      </c>
      <c r="AX56" s="8">
        <f t="shared" si="91"/>
        <v>0.13822304065919996</v>
      </c>
      <c r="AY56" s="495">
        <f t="shared" si="58"/>
        <v>0.22316468550265814</v>
      </c>
      <c r="AZ56" s="8">
        <f t="shared" si="92"/>
        <v>2.8576000000000004E-2</v>
      </c>
      <c r="BA56" s="6">
        <v>1.7</v>
      </c>
      <c r="BB56" s="6">
        <v>1.7</v>
      </c>
      <c r="BC56" s="6">
        <v>7</v>
      </c>
      <c r="BD56" s="9">
        <v>9.2999999999999999E-2</v>
      </c>
      <c r="BE56" s="9">
        <v>0.35</v>
      </c>
      <c r="BF56" s="15">
        <v>0.02</v>
      </c>
      <c r="BG56" s="9">
        <v>0.14000000000000001</v>
      </c>
      <c r="BH56" s="28">
        <f t="shared" si="93"/>
        <v>4.0996224E-3</v>
      </c>
      <c r="BI56" s="15">
        <f t="shared" si="94"/>
        <v>2.1450240000000002E-2</v>
      </c>
      <c r="BJ56" s="13">
        <v>1.1499999999999999</v>
      </c>
      <c r="BK56" s="13">
        <v>1.25</v>
      </c>
      <c r="BL56" s="14">
        <v>25</v>
      </c>
      <c r="BM56" s="14">
        <v>35</v>
      </c>
      <c r="BN56" s="14">
        <v>40</v>
      </c>
      <c r="BO56" s="8">
        <f t="shared" si="95"/>
        <v>3.3129188499999994E-3</v>
      </c>
      <c r="BP56" s="8">
        <f t="shared" si="96"/>
        <v>4.1411485624999996E-3</v>
      </c>
      <c r="BQ56" s="8">
        <f t="shared" si="97"/>
        <v>1.0352871406249999E-3</v>
      </c>
      <c r="BR56" s="8">
        <f t="shared" si="98"/>
        <v>1.4494019968749998E-3</v>
      </c>
      <c r="BS56" s="8">
        <f t="shared" si="99"/>
        <v>1.6564594249999999E-3</v>
      </c>
      <c r="BT56" s="18">
        <f t="shared" si="100"/>
        <v>2.7994164282499996E-4</v>
      </c>
      <c r="BU56" s="8">
        <f t="shared" si="101"/>
        <v>1.0601340319999998E-3</v>
      </c>
      <c r="BV56" s="8">
        <f t="shared" si="102"/>
        <v>2.4639833946874996E-3</v>
      </c>
      <c r="BW56" s="8">
        <f t="shared" si="103"/>
        <v>2.8159810224999996E-3</v>
      </c>
      <c r="BX56" s="18">
        <f t="shared" si="104"/>
        <v>4.7590079280249989E-4</v>
      </c>
      <c r="BY56" s="8">
        <f t="shared" si="105"/>
        <v>1.8022278543999997E-3</v>
      </c>
      <c r="BZ56" s="12">
        <f t="shared" si="106"/>
        <v>0.6</v>
      </c>
      <c r="CA56" s="12">
        <f t="shared" si="61"/>
        <v>0.44931147540983607</v>
      </c>
      <c r="CB56" s="6">
        <v>1.7</v>
      </c>
      <c r="CC56" s="6">
        <v>1.7</v>
      </c>
      <c r="CD56" s="15">
        <v>0.16</v>
      </c>
      <c r="CE56" s="9">
        <v>0.48</v>
      </c>
      <c r="CF56" s="9">
        <v>2.9000000000000001E-2</v>
      </c>
      <c r="CG56" s="11">
        <v>0.22</v>
      </c>
      <c r="CH56" s="28">
        <f t="shared" si="122"/>
        <v>7.3852999999999999E-5</v>
      </c>
      <c r="CI56" s="15">
        <f t="shared" si="107"/>
        <v>2.7967999999999998E-4</v>
      </c>
      <c r="CJ56" s="12">
        <v>2</v>
      </c>
      <c r="CK56" s="12">
        <v>1.2</v>
      </c>
      <c r="CL56" s="7">
        <v>10</v>
      </c>
      <c r="CM56" s="7">
        <v>30</v>
      </c>
      <c r="CN56" s="7">
        <v>60</v>
      </c>
      <c r="CO56" s="8">
        <f t="shared" si="108"/>
        <v>5.7615979999999989E-3</v>
      </c>
      <c r="CP56" s="8">
        <f t="shared" si="109"/>
        <v>6.9139175999999988E-3</v>
      </c>
      <c r="CQ56" s="18">
        <f t="shared" si="110"/>
        <v>6.9139175999999997E-4</v>
      </c>
      <c r="CR56" s="8">
        <f t="shared" si="111"/>
        <v>2.0741752799999995E-3</v>
      </c>
      <c r="CS56" s="8">
        <f t="shared" si="112"/>
        <v>4.1483505599999989E-3</v>
      </c>
      <c r="CT56" s="18">
        <f t="shared" si="113"/>
        <v>4.1068670543999993E-4</v>
      </c>
      <c r="CU56" s="8">
        <f t="shared" si="114"/>
        <v>1.6800819768E-3</v>
      </c>
      <c r="CV56" s="8">
        <f t="shared" si="115"/>
        <v>3.5260979759999989E-3</v>
      </c>
      <c r="CW56" s="8">
        <f t="shared" si="116"/>
        <v>7.0521959519999977E-3</v>
      </c>
      <c r="CX56" s="18">
        <f t="shared" si="117"/>
        <v>6.9816739924799976E-4</v>
      </c>
      <c r="CY56" s="8">
        <f t="shared" si="118"/>
        <v>2.8561393605599991E-3</v>
      </c>
      <c r="CZ56" s="12">
        <f t="shared" si="119"/>
        <v>0.4</v>
      </c>
      <c r="DA56" s="12">
        <f t="shared" si="63"/>
        <v>0.31478527607361967</v>
      </c>
      <c r="DB56" s="6">
        <v>1.7</v>
      </c>
      <c r="DC56" s="6">
        <v>1.7</v>
      </c>
      <c r="DD56" s="9">
        <v>0.14399999999999999</v>
      </c>
      <c r="DE56" s="9">
        <v>0.43</v>
      </c>
      <c r="DF56" s="15">
        <v>2.7E-2</v>
      </c>
      <c r="DG56" s="13">
        <v>0.19</v>
      </c>
      <c r="DH56" s="28">
        <f t="shared" si="120"/>
        <v>1.0834559999999999E-4</v>
      </c>
      <c r="DI56" s="29">
        <f t="shared" si="121"/>
        <v>4.4323200000000006E-4</v>
      </c>
    </row>
    <row r="57" spans="1:113" x14ac:dyDescent="0.25">
      <c r="A57" s="85">
        <v>49</v>
      </c>
      <c r="B57" s="35" t="s">
        <v>26</v>
      </c>
      <c r="C57" s="35" t="s">
        <v>28</v>
      </c>
      <c r="D57" s="31" t="s">
        <v>181</v>
      </c>
      <c r="E57" s="9">
        <v>2</v>
      </c>
      <c r="F57" s="9">
        <v>90</v>
      </c>
      <c r="G57" s="34" t="s">
        <v>115</v>
      </c>
      <c r="H57" s="19" t="s">
        <v>99</v>
      </c>
      <c r="I57" s="31" t="s">
        <v>99</v>
      </c>
      <c r="J57" s="32" t="s">
        <v>99</v>
      </c>
      <c r="K57" s="2" t="str">
        <f t="shared" si="64"/>
        <v>Statlig Landsbygd VV 90 10,1-11,5 - -</v>
      </c>
      <c r="L57" s="2"/>
      <c r="M57" s="32" t="s">
        <v>99</v>
      </c>
      <c r="N57" s="53">
        <f>'Beräkna - Länk'!$C$26</f>
        <v>1</v>
      </c>
      <c r="O57" s="53">
        <f>'Beräkna - Länk'!$C$24/('Beräkna - Länk'!$C$27)^('Beräkna - Länk'!$C$25-2010)</f>
        <v>10385</v>
      </c>
      <c r="P57" s="13">
        <f t="shared" si="65"/>
        <v>3.7905249999999997</v>
      </c>
      <c r="Q57" s="13">
        <f t="shared" si="66"/>
        <v>0.28542463723749995</v>
      </c>
      <c r="R57" s="13">
        <f t="shared" si="67"/>
        <v>0.45335200197187497</v>
      </c>
      <c r="S57" s="28">
        <f t="shared" si="68"/>
        <v>2.0253319962968749E-2</v>
      </c>
      <c r="T57" s="15">
        <f t="shared" si="69"/>
        <v>7.7763686460156245E-2</v>
      </c>
      <c r="U57" s="13">
        <f t="shared" si="70"/>
        <v>0.35533499554874998</v>
      </c>
      <c r="V57" s="13">
        <f t="shared" si="71"/>
        <v>0.82221902285714288</v>
      </c>
      <c r="W57" s="15">
        <f t="shared" si="72"/>
        <v>1.4575818550618749E-2</v>
      </c>
      <c r="X57" s="15">
        <f t="shared" si="73"/>
        <v>7.7631073995400007E-2</v>
      </c>
      <c r="Y57" s="15">
        <f t="shared" si="74"/>
        <v>0.13219826698226561</v>
      </c>
      <c r="Z57" s="14">
        <f t="shared" si="75"/>
        <v>0.604069492432875</v>
      </c>
      <c r="AA57" s="14">
        <f t="shared" si="76"/>
        <v>5.7555331600000006</v>
      </c>
      <c r="AB57" s="13">
        <f t="shared" si="77"/>
        <v>2.4778891536051877E-2</v>
      </c>
      <c r="AC57" s="14">
        <f t="shared" si="78"/>
        <v>0.13197282579218003</v>
      </c>
      <c r="AD57" s="13">
        <f t="shared" si="55"/>
        <v>0.20151664124224491</v>
      </c>
      <c r="AE57" s="15">
        <f t="shared" si="56"/>
        <v>4.0219121875E-2</v>
      </c>
      <c r="AF57" s="6">
        <v>7.2999999999999995E-2</v>
      </c>
      <c r="AG57" s="12">
        <v>1.6</v>
      </c>
      <c r="AH57" s="12">
        <v>4.2</v>
      </c>
      <c r="AI57" s="12">
        <v>16.8</v>
      </c>
      <c r="AJ57" s="7">
        <v>79</v>
      </c>
      <c r="AK57" s="12">
        <v>1.8571428571428572</v>
      </c>
      <c r="AL57" s="12">
        <f t="shared" si="79"/>
        <v>0.27670832499999998</v>
      </c>
      <c r="AM57" s="12">
        <f t="shared" si="80"/>
        <v>0.44273331999999999</v>
      </c>
      <c r="AN57" s="18">
        <f t="shared" si="81"/>
        <v>1.859479944E-2</v>
      </c>
      <c r="AO57" s="8">
        <f t="shared" si="82"/>
        <v>7.4379197760000001E-2</v>
      </c>
      <c r="AP57" s="12">
        <f t="shared" si="83"/>
        <v>0.34975932279999999</v>
      </c>
      <c r="AQ57" s="12">
        <f t="shared" si="84"/>
        <v>0.82221902285714288</v>
      </c>
      <c r="AR57" s="18">
        <f t="shared" si="85"/>
        <v>1.391245184768E-2</v>
      </c>
      <c r="AS57" s="8">
        <f t="shared" si="86"/>
        <v>7.4999024408000006E-2</v>
      </c>
      <c r="AT57" s="8">
        <f t="shared" si="87"/>
        <v>0.126444636192</v>
      </c>
      <c r="AU57" s="8">
        <f t="shared" si="88"/>
        <v>0.59459084876000001</v>
      </c>
      <c r="AV57" s="8">
        <f t="shared" si="89"/>
        <v>5.7555331600000006</v>
      </c>
      <c r="AW57" s="8">
        <f t="shared" si="90"/>
        <v>2.3651168141056E-2</v>
      </c>
      <c r="AX57" s="8">
        <f t="shared" si="91"/>
        <v>0.12749834149360001</v>
      </c>
      <c r="AY57" s="495">
        <f t="shared" si="58"/>
        <v>0.19609721058302407</v>
      </c>
      <c r="AZ57" s="8">
        <f t="shared" si="92"/>
        <v>2.4528000000000005E-2</v>
      </c>
      <c r="BA57" s="6">
        <v>1.7</v>
      </c>
      <c r="BB57" s="6">
        <v>1.7</v>
      </c>
      <c r="BC57" s="6">
        <v>7</v>
      </c>
      <c r="BD57" s="9">
        <v>9.2999999999999999E-2</v>
      </c>
      <c r="BE57" s="9">
        <v>0.35</v>
      </c>
      <c r="BF57" s="15">
        <v>0.02</v>
      </c>
      <c r="BG57" s="9">
        <v>0.14000000000000001</v>
      </c>
      <c r="BH57" s="28">
        <f t="shared" si="93"/>
        <v>3.6703232000000001E-3</v>
      </c>
      <c r="BI57" s="15">
        <f t="shared" si="94"/>
        <v>1.9785920000000002E-2</v>
      </c>
      <c r="BJ57" s="13">
        <v>1.1499999999999999</v>
      </c>
      <c r="BK57" s="13">
        <v>1.25</v>
      </c>
      <c r="BL57" s="14">
        <v>25</v>
      </c>
      <c r="BM57" s="14">
        <v>35</v>
      </c>
      <c r="BN57" s="14">
        <v>40</v>
      </c>
      <c r="BO57" s="8">
        <f t="shared" si="95"/>
        <v>3.1821457374999998E-3</v>
      </c>
      <c r="BP57" s="8">
        <f t="shared" si="96"/>
        <v>3.9776821718750001E-3</v>
      </c>
      <c r="BQ57" s="8">
        <f t="shared" si="97"/>
        <v>9.9442054296875002E-4</v>
      </c>
      <c r="BR57" s="8">
        <f t="shared" si="98"/>
        <v>1.3921887601562499E-3</v>
      </c>
      <c r="BS57" s="8">
        <f t="shared" si="99"/>
        <v>1.5910728687500001E-3</v>
      </c>
      <c r="BT57" s="18">
        <f t="shared" si="100"/>
        <v>2.6889131481875001E-4</v>
      </c>
      <c r="BU57" s="8">
        <f t="shared" si="101"/>
        <v>1.018286636E-3</v>
      </c>
      <c r="BV57" s="8">
        <f t="shared" si="102"/>
        <v>2.3667208922656248E-3</v>
      </c>
      <c r="BW57" s="8">
        <f t="shared" si="103"/>
        <v>2.704823876875E-3</v>
      </c>
      <c r="BX57" s="18">
        <f t="shared" si="104"/>
        <v>4.57115235191875E-4</v>
      </c>
      <c r="BY57" s="8">
        <f t="shared" si="105"/>
        <v>1.7310872811999998E-3</v>
      </c>
      <c r="BZ57" s="12">
        <f t="shared" si="106"/>
        <v>0.6</v>
      </c>
      <c r="CA57" s="12">
        <f t="shared" si="61"/>
        <v>0.44931147540983613</v>
      </c>
      <c r="CB57" s="6">
        <v>1.7</v>
      </c>
      <c r="CC57" s="6">
        <v>1.7</v>
      </c>
      <c r="CD57" s="15">
        <v>0.16</v>
      </c>
      <c r="CE57" s="9">
        <v>0.48</v>
      </c>
      <c r="CF57" s="9">
        <v>2.9000000000000001E-2</v>
      </c>
      <c r="CG57" s="11">
        <v>0.22</v>
      </c>
      <c r="CH57" s="28">
        <f t="shared" si="122"/>
        <v>7.093775E-5</v>
      </c>
      <c r="CI57" s="15">
        <f t="shared" si="107"/>
        <v>2.6864E-4</v>
      </c>
      <c r="CJ57" s="12">
        <v>2</v>
      </c>
      <c r="CK57" s="12">
        <v>1.2</v>
      </c>
      <c r="CL57" s="7">
        <v>10</v>
      </c>
      <c r="CM57" s="7">
        <v>30</v>
      </c>
      <c r="CN57" s="7">
        <v>60</v>
      </c>
      <c r="CO57" s="8">
        <f t="shared" si="108"/>
        <v>5.5341664999999998E-3</v>
      </c>
      <c r="CP57" s="8">
        <f t="shared" si="109"/>
        <v>6.6409997999999993E-3</v>
      </c>
      <c r="CQ57" s="18">
        <f t="shared" si="110"/>
        <v>6.6409998000000001E-4</v>
      </c>
      <c r="CR57" s="8">
        <f t="shared" si="111"/>
        <v>1.9922999399999996E-3</v>
      </c>
      <c r="CS57" s="8">
        <f t="shared" si="112"/>
        <v>3.9845998799999992E-3</v>
      </c>
      <c r="CT57" s="18">
        <f t="shared" si="113"/>
        <v>3.9447538811999988E-4</v>
      </c>
      <c r="CU57" s="8">
        <f t="shared" si="114"/>
        <v>1.6137629513999997E-3</v>
      </c>
      <c r="CV57" s="8">
        <f t="shared" si="115"/>
        <v>3.386909897999999E-3</v>
      </c>
      <c r="CW57" s="8">
        <f t="shared" si="116"/>
        <v>6.7738197959999981E-3</v>
      </c>
      <c r="CX57" s="18">
        <f t="shared" si="117"/>
        <v>6.7060815980399973E-4</v>
      </c>
      <c r="CY57" s="8">
        <f t="shared" si="118"/>
        <v>2.7433970173799992E-3</v>
      </c>
      <c r="CZ57" s="12">
        <f t="shared" si="119"/>
        <v>0.4</v>
      </c>
      <c r="DA57" s="12">
        <f t="shared" si="63"/>
        <v>0.31478527607361967</v>
      </c>
      <c r="DB57" s="6">
        <v>1.7</v>
      </c>
      <c r="DC57" s="6">
        <v>1.7</v>
      </c>
      <c r="DD57" s="9">
        <v>0.14399999999999999</v>
      </c>
      <c r="DE57" s="9">
        <v>0.43</v>
      </c>
      <c r="DF57" s="15">
        <v>2.7E-2</v>
      </c>
      <c r="DG57" s="13">
        <v>0.19</v>
      </c>
      <c r="DH57" s="28">
        <f t="shared" si="120"/>
        <v>1.0406879999999998E-4</v>
      </c>
      <c r="DI57" s="29">
        <f t="shared" si="121"/>
        <v>4.2573599999999996E-4</v>
      </c>
    </row>
    <row r="58" spans="1:113" x14ac:dyDescent="0.25">
      <c r="A58" s="85">
        <v>50</v>
      </c>
      <c r="B58" s="35" t="s">
        <v>26</v>
      </c>
      <c r="C58" s="35" t="s">
        <v>28</v>
      </c>
      <c r="D58" s="31" t="s">
        <v>181</v>
      </c>
      <c r="E58" s="9">
        <v>2</v>
      </c>
      <c r="F58" s="9">
        <v>90</v>
      </c>
      <c r="G58" s="32" t="s">
        <v>165</v>
      </c>
      <c r="H58" s="19" t="s">
        <v>99</v>
      </c>
      <c r="I58" s="31" t="s">
        <v>99</v>
      </c>
      <c r="J58" s="32" t="s">
        <v>99</v>
      </c>
      <c r="K58" s="2" t="str">
        <f t="shared" si="64"/>
        <v>Statlig Landsbygd VV 90 11,6- - -</v>
      </c>
      <c r="L58" s="2"/>
      <c r="M58" s="32" t="s">
        <v>99</v>
      </c>
      <c r="N58" s="53">
        <f>'Beräkna - Länk'!$C$26</f>
        <v>1</v>
      </c>
      <c r="O58" s="53">
        <f>'Beräkna - Länk'!$C$24/('Beräkna - Länk'!$C$27)^('Beräkna - Länk'!$C$25-2010)</f>
        <v>10385</v>
      </c>
      <c r="P58" s="13">
        <f t="shared" si="65"/>
        <v>3.7905249999999997</v>
      </c>
      <c r="Q58" s="13">
        <f t="shared" si="66"/>
        <v>0.28542463723749995</v>
      </c>
      <c r="R58" s="13">
        <f t="shared" si="67"/>
        <v>0.45335200197187497</v>
      </c>
      <c r="S58" s="28">
        <f t="shared" si="68"/>
        <v>2.1581519922968747E-2</v>
      </c>
      <c r="T58" s="15">
        <f t="shared" si="69"/>
        <v>7.6435486500156247E-2</v>
      </c>
      <c r="U58" s="13">
        <f t="shared" si="70"/>
        <v>0.35533499554874998</v>
      </c>
      <c r="V58" s="13">
        <f t="shared" si="71"/>
        <v>0.82221902285714288</v>
      </c>
      <c r="W58" s="15">
        <f t="shared" si="72"/>
        <v>1.4452295954338749E-2</v>
      </c>
      <c r="X58" s="15">
        <f t="shared" si="73"/>
        <v>7.7166204009399997E-2</v>
      </c>
      <c r="Y58" s="15">
        <f t="shared" si="74"/>
        <v>0.12994032705026562</v>
      </c>
      <c r="Z58" s="14">
        <f t="shared" si="75"/>
        <v>0.604069492432875</v>
      </c>
      <c r="AA58" s="14">
        <f t="shared" si="76"/>
        <v>5.7555331600000006</v>
      </c>
      <c r="AB58" s="13">
        <f t="shared" si="77"/>
        <v>2.456890312237588E-2</v>
      </c>
      <c r="AC58" s="14">
        <f t="shared" si="78"/>
        <v>0.13118254681598002</v>
      </c>
      <c r="AD58" s="13">
        <f t="shared" si="55"/>
        <v>0.20053412350164007</v>
      </c>
      <c r="AE58" s="15">
        <f t="shared" si="56"/>
        <v>3.9973841874999999E-2</v>
      </c>
      <c r="AF58" s="6">
        <v>7.2999999999999995E-2</v>
      </c>
      <c r="AG58" s="12">
        <v>1.6</v>
      </c>
      <c r="AH58" s="12">
        <v>4.5</v>
      </c>
      <c r="AI58" s="12">
        <v>16.5</v>
      </c>
      <c r="AJ58" s="7">
        <v>79</v>
      </c>
      <c r="AK58" s="12">
        <v>1.8571428571428572</v>
      </c>
      <c r="AL58" s="12">
        <f t="shared" si="79"/>
        <v>0.27670832499999998</v>
      </c>
      <c r="AM58" s="12">
        <f t="shared" si="80"/>
        <v>0.44273331999999999</v>
      </c>
      <c r="AN58" s="18">
        <f t="shared" si="81"/>
        <v>1.9922999399999999E-2</v>
      </c>
      <c r="AO58" s="8">
        <f t="shared" si="82"/>
        <v>7.3050997800000003E-2</v>
      </c>
      <c r="AP58" s="12">
        <f t="shared" si="83"/>
        <v>0.34975932279999999</v>
      </c>
      <c r="AQ58" s="12">
        <f t="shared" si="84"/>
        <v>0.82221902285714288</v>
      </c>
      <c r="AR58" s="18">
        <f t="shared" si="85"/>
        <v>1.37889292514E-2</v>
      </c>
      <c r="AS58" s="8">
        <f t="shared" si="86"/>
        <v>7.4534154421999996E-2</v>
      </c>
      <c r="AT58" s="8">
        <f t="shared" si="87"/>
        <v>0.12418669626000001</v>
      </c>
      <c r="AU58" s="8">
        <f t="shared" si="88"/>
        <v>0.59459084876000001</v>
      </c>
      <c r="AV58" s="8">
        <f t="shared" si="89"/>
        <v>5.7555331600000006</v>
      </c>
      <c r="AW58" s="8">
        <f t="shared" si="90"/>
        <v>2.3441179727380003E-2</v>
      </c>
      <c r="AX58" s="8">
        <f t="shared" si="91"/>
        <v>0.12670806251740002</v>
      </c>
      <c r="AY58" s="495">
        <f t="shared" si="58"/>
        <v>0.19508540605334135</v>
      </c>
      <c r="AZ58" s="8">
        <f t="shared" si="92"/>
        <v>2.4528000000000005E-2</v>
      </c>
      <c r="BA58" s="6">
        <v>1.7</v>
      </c>
      <c r="BB58" s="6">
        <v>1.7</v>
      </c>
      <c r="BC58" s="6">
        <v>7</v>
      </c>
      <c r="BD58" s="9">
        <v>9.2999999999999999E-2</v>
      </c>
      <c r="BE58" s="9">
        <v>0.35</v>
      </c>
      <c r="BF58" s="15">
        <v>0.02</v>
      </c>
      <c r="BG58" s="9">
        <v>0.14000000000000001</v>
      </c>
      <c r="BH58" s="28">
        <f t="shared" si="93"/>
        <v>3.6377360000000004E-3</v>
      </c>
      <c r="BI58" s="15">
        <f t="shared" si="94"/>
        <v>1.9663280000000002E-2</v>
      </c>
      <c r="BJ58" s="13">
        <v>1.1499999999999999</v>
      </c>
      <c r="BK58" s="13">
        <v>1.25</v>
      </c>
      <c r="BL58" s="14">
        <v>25</v>
      </c>
      <c r="BM58" s="14">
        <v>35</v>
      </c>
      <c r="BN58" s="14">
        <v>40</v>
      </c>
      <c r="BO58" s="8">
        <f t="shared" si="95"/>
        <v>3.1821457374999998E-3</v>
      </c>
      <c r="BP58" s="8">
        <f t="shared" si="96"/>
        <v>3.9776821718750001E-3</v>
      </c>
      <c r="BQ58" s="8">
        <f t="shared" si="97"/>
        <v>9.9442054296875002E-4</v>
      </c>
      <c r="BR58" s="8">
        <f t="shared" si="98"/>
        <v>1.3921887601562499E-3</v>
      </c>
      <c r="BS58" s="8">
        <f t="shared" si="99"/>
        <v>1.5910728687500001E-3</v>
      </c>
      <c r="BT58" s="18">
        <f t="shared" si="100"/>
        <v>2.6889131481875001E-4</v>
      </c>
      <c r="BU58" s="8">
        <f t="shared" si="101"/>
        <v>1.018286636E-3</v>
      </c>
      <c r="BV58" s="8">
        <f t="shared" si="102"/>
        <v>2.3667208922656248E-3</v>
      </c>
      <c r="BW58" s="8">
        <f t="shared" si="103"/>
        <v>2.704823876875E-3</v>
      </c>
      <c r="BX58" s="18">
        <f t="shared" si="104"/>
        <v>4.57115235191875E-4</v>
      </c>
      <c r="BY58" s="8">
        <f t="shared" si="105"/>
        <v>1.7310872811999998E-3</v>
      </c>
      <c r="BZ58" s="12">
        <f t="shared" si="106"/>
        <v>0.6</v>
      </c>
      <c r="CA58" s="12">
        <f t="shared" si="61"/>
        <v>0.44931147540983613</v>
      </c>
      <c r="CB58" s="6">
        <v>1.7</v>
      </c>
      <c r="CC58" s="6">
        <v>1.7</v>
      </c>
      <c r="CD58" s="15">
        <v>0.16</v>
      </c>
      <c r="CE58" s="9">
        <v>0.48</v>
      </c>
      <c r="CF58" s="9">
        <v>2.9000000000000001E-2</v>
      </c>
      <c r="CG58" s="11">
        <v>0.22</v>
      </c>
      <c r="CH58" s="28">
        <f t="shared" si="122"/>
        <v>7.093775E-5</v>
      </c>
      <c r="CI58" s="15">
        <f t="shared" si="107"/>
        <v>2.6864E-4</v>
      </c>
      <c r="CJ58" s="12">
        <v>2</v>
      </c>
      <c r="CK58" s="12">
        <v>1.2</v>
      </c>
      <c r="CL58" s="7">
        <v>10</v>
      </c>
      <c r="CM58" s="7">
        <v>30</v>
      </c>
      <c r="CN58" s="7">
        <v>60</v>
      </c>
      <c r="CO58" s="8">
        <f t="shared" si="108"/>
        <v>5.5341664999999998E-3</v>
      </c>
      <c r="CP58" s="8">
        <f t="shared" si="109"/>
        <v>6.6409997999999993E-3</v>
      </c>
      <c r="CQ58" s="18">
        <f t="shared" si="110"/>
        <v>6.6409998000000001E-4</v>
      </c>
      <c r="CR58" s="8">
        <f t="shared" si="111"/>
        <v>1.9922999399999996E-3</v>
      </c>
      <c r="CS58" s="8">
        <f t="shared" si="112"/>
        <v>3.9845998799999992E-3</v>
      </c>
      <c r="CT58" s="18">
        <f t="shared" si="113"/>
        <v>3.9447538811999988E-4</v>
      </c>
      <c r="CU58" s="8">
        <f t="shared" si="114"/>
        <v>1.6137629513999997E-3</v>
      </c>
      <c r="CV58" s="8">
        <f t="shared" si="115"/>
        <v>3.386909897999999E-3</v>
      </c>
      <c r="CW58" s="8">
        <f t="shared" si="116"/>
        <v>6.7738197959999981E-3</v>
      </c>
      <c r="CX58" s="18">
        <f t="shared" si="117"/>
        <v>6.7060815980399973E-4</v>
      </c>
      <c r="CY58" s="8">
        <f t="shared" si="118"/>
        <v>2.7433970173799992E-3</v>
      </c>
      <c r="CZ58" s="12">
        <f t="shared" si="119"/>
        <v>0.4</v>
      </c>
      <c r="DA58" s="12">
        <f t="shared" si="63"/>
        <v>0.31478527607361967</v>
      </c>
      <c r="DB58" s="6">
        <v>1.7</v>
      </c>
      <c r="DC58" s="6">
        <v>1.7</v>
      </c>
      <c r="DD58" s="9">
        <v>0.14399999999999999</v>
      </c>
      <c r="DE58" s="9">
        <v>0.43</v>
      </c>
      <c r="DF58" s="15">
        <v>2.7E-2</v>
      </c>
      <c r="DG58" s="13">
        <v>0.19</v>
      </c>
      <c r="DH58" s="28">
        <f t="shared" si="120"/>
        <v>1.0406879999999998E-4</v>
      </c>
      <c r="DI58" s="29">
        <f t="shared" si="121"/>
        <v>4.2573599999999996E-4</v>
      </c>
    </row>
    <row r="59" spans="1:113" x14ac:dyDescent="0.25">
      <c r="A59" s="85">
        <v>51</v>
      </c>
      <c r="B59" s="35" t="s">
        <v>26</v>
      </c>
      <c r="C59" s="35" t="s">
        <v>28</v>
      </c>
      <c r="D59" s="31" t="s">
        <v>181</v>
      </c>
      <c r="E59" s="9">
        <v>2</v>
      </c>
      <c r="F59" s="9">
        <v>100</v>
      </c>
      <c r="G59" s="32" t="s">
        <v>164</v>
      </c>
      <c r="H59" s="19" t="s">
        <v>99</v>
      </c>
      <c r="I59" s="31" t="s">
        <v>99</v>
      </c>
      <c r="J59" s="32" t="s">
        <v>99</v>
      </c>
      <c r="K59" s="2" t="str">
        <f t="shared" si="64"/>
        <v>Statlig Landsbygd VV 100 &lt;5,7 - -</v>
      </c>
      <c r="L59" s="2"/>
      <c r="M59" s="50" t="s">
        <v>72</v>
      </c>
      <c r="N59" s="53">
        <f>'Beräkna - Länk'!$C$26</f>
        <v>1</v>
      </c>
      <c r="O59" s="53">
        <f>'Beräkna - Länk'!$C$24/('Beräkna - Länk'!$C$27)^('Beräkna - Länk'!$C$25-2010)</f>
        <v>10385</v>
      </c>
      <c r="P59" s="13">
        <f t="shared" si="65"/>
        <v>3.7905249999999997</v>
      </c>
      <c r="Q59" s="13">
        <f t="shared" si="66"/>
        <v>0.27011281150000005</v>
      </c>
      <c r="R59" s="13">
        <f t="shared" si="67"/>
        <v>0.41945760123750003</v>
      </c>
      <c r="S59" s="28">
        <f t="shared" si="68"/>
        <v>1.757457963625E-2</v>
      </c>
      <c r="T59" s="15">
        <f t="shared" si="69"/>
        <v>5.133072097125E-2</v>
      </c>
      <c r="U59" s="13">
        <f t="shared" si="70"/>
        <v>0.35055230063000004</v>
      </c>
      <c r="V59" s="13">
        <f t="shared" si="71"/>
        <v>0.73586725333333336</v>
      </c>
      <c r="W59" s="15">
        <f t="shared" si="72"/>
        <v>1.1902433477620003E-2</v>
      </c>
      <c r="X59" s="15">
        <f t="shared" si="73"/>
        <v>6.7381285916525008E-2</v>
      </c>
      <c r="Y59" s="15">
        <f t="shared" si="74"/>
        <v>8.7262225651125E-2</v>
      </c>
      <c r="Z59" s="14">
        <f t="shared" si="75"/>
        <v>0.59593891107100005</v>
      </c>
      <c r="AA59" s="14">
        <f t="shared" si="76"/>
        <v>5.1510707733333332</v>
      </c>
      <c r="AB59" s="13">
        <f t="shared" si="77"/>
        <v>2.0234136911954005E-2</v>
      </c>
      <c r="AC59" s="14">
        <f t="shared" si="78"/>
        <v>0.11454818605809253</v>
      </c>
      <c r="AD59" s="13">
        <f t="shared" si="55"/>
        <v>0.14960108182995557</v>
      </c>
      <c r="AE59" s="15">
        <f t="shared" si="56"/>
        <v>2.7657595000000004E-2</v>
      </c>
      <c r="AF59" s="8">
        <v>7.0000000000000007E-2</v>
      </c>
      <c r="AG59" s="6">
        <v>1.56</v>
      </c>
      <c r="AH59" s="12">
        <v>4</v>
      </c>
      <c r="AI59" s="12">
        <v>12</v>
      </c>
      <c r="AJ59" s="7">
        <v>84</v>
      </c>
      <c r="AK59" s="12">
        <v>1.7777777777777777</v>
      </c>
      <c r="AL59" s="12">
        <f t="shared" si="79"/>
        <v>0.26533675000000001</v>
      </c>
      <c r="AM59" s="12">
        <f t="shared" si="80"/>
        <v>0.41392533000000004</v>
      </c>
      <c r="AN59" s="18">
        <f t="shared" si="81"/>
        <v>1.6557013200000002E-2</v>
      </c>
      <c r="AO59" s="8">
        <f t="shared" si="82"/>
        <v>4.9671039600000001E-2</v>
      </c>
      <c r="AP59" s="12">
        <f t="shared" si="83"/>
        <v>0.34769727720000004</v>
      </c>
      <c r="AQ59" s="12">
        <f t="shared" si="84"/>
        <v>0.73586725333333336</v>
      </c>
      <c r="AR59" s="18">
        <f t="shared" si="85"/>
        <v>1.1573352226800003E-2</v>
      </c>
      <c r="AS59" s="8">
        <f t="shared" si="86"/>
        <v>6.6062482668000008E-2</v>
      </c>
      <c r="AT59" s="8">
        <f t="shared" si="87"/>
        <v>8.4440767319999999E-2</v>
      </c>
      <c r="AU59" s="8">
        <f t="shared" si="88"/>
        <v>0.59108537124000005</v>
      </c>
      <c r="AV59" s="8">
        <f t="shared" si="89"/>
        <v>5.1510707733333332</v>
      </c>
      <c r="AW59" s="8">
        <f t="shared" si="90"/>
        <v>1.9674698785560003E-2</v>
      </c>
      <c r="AX59" s="8">
        <f t="shared" si="91"/>
        <v>0.11230622053560001</v>
      </c>
      <c r="AY59" s="495">
        <f t="shared" si="58"/>
        <v>0.14593301435406697</v>
      </c>
      <c r="AZ59" s="8">
        <f t="shared" si="92"/>
        <v>1.7472000000000001E-2</v>
      </c>
      <c r="BA59" s="6">
        <v>1.7</v>
      </c>
      <c r="BB59" s="6">
        <v>1.7</v>
      </c>
      <c r="BC59" s="6">
        <v>7</v>
      </c>
      <c r="BD59" s="9">
        <v>9.2999999999999999E-2</v>
      </c>
      <c r="BE59" s="9">
        <v>0.35</v>
      </c>
      <c r="BF59" s="15">
        <v>0.02</v>
      </c>
      <c r="BG59" s="9">
        <v>0.14000000000000001</v>
      </c>
      <c r="BH59" s="28">
        <f t="shared" si="93"/>
        <v>3.0532320000000008E-3</v>
      </c>
      <c r="BI59" s="15">
        <f t="shared" si="94"/>
        <v>1.7428320000000004E-2</v>
      </c>
      <c r="BJ59" s="13">
        <v>0.7</v>
      </c>
      <c r="BK59" s="13">
        <v>1.25</v>
      </c>
      <c r="BL59" s="14">
        <v>30</v>
      </c>
      <c r="BM59" s="14">
        <v>30</v>
      </c>
      <c r="BN59" s="14">
        <v>40</v>
      </c>
      <c r="BO59" s="8">
        <f t="shared" si="95"/>
        <v>1.8573572499999999E-3</v>
      </c>
      <c r="BP59" s="8">
        <f t="shared" si="96"/>
        <v>2.3216965625E-3</v>
      </c>
      <c r="BQ59" s="8">
        <f t="shared" si="97"/>
        <v>6.9650896875000001E-4</v>
      </c>
      <c r="BR59" s="8">
        <f t="shared" si="98"/>
        <v>6.9650896875000001E-4</v>
      </c>
      <c r="BS59" s="8">
        <f t="shared" si="99"/>
        <v>9.2867862500000005E-4</v>
      </c>
      <c r="BT59" s="18">
        <f t="shared" si="100"/>
        <v>1.3837311512499999E-4</v>
      </c>
      <c r="BU59" s="8">
        <f t="shared" si="101"/>
        <v>5.3863360249999993E-4</v>
      </c>
      <c r="BV59" s="8">
        <f t="shared" si="102"/>
        <v>1.184065246875E-3</v>
      </c>
      <c r="BW59" s="8">
        <f t="shared" si="103"/>
        <v>1.5787536625E-3</v>
      </c>
      <c r="BX59" s="18">
        <f t="shared" si="104"/>
        <v>2.352342957125E-4</v>
      </c>
      <c r="BY59" s="8">
        <f t="shared" si="105"/>
        <v>9.1567712424999999E-4</v>
      </c>
      <c r="BZ59" s="12">
        <f t="shared" si="106"/>
        <v>0.6</v>
      </c>
      <c r="CA59" s="12">
        <f t="shared" si="61"/>
        <v>0.46604026845637586</v>
      </c>
      <c r="CB59" s="6">
        <v>1.7</v>
      </c>
      <c r="CC59" s="6">
        <v>1.7</v>
      </c>
      <c r="CD59" s="15">
        <v>0.16</v>
      </c>
      <c r="CE59" s="9">
        <v>0.48</v>
      </c>
      <c r="CF59" s="9">
        <v>2.9000000000000001E-2</v>
      </c>
      <c r="CG59" s="11">
        <v>0.22</v>
      </c>
      <c r="CH59" s="28">
        <f t="shared" si="122"/>
        <v>3.6504999999999997E-5</v>
      </c>
      <c r="CI59" s="15">
        <f t="shared" si="107"/>
        <v>1.4209999999999998E-4</v>
      </c>
      <c r="CJ59" s="12">
        <v>1.1000000000000001</v>
      </c>
      <c r="CK59" s="12">
        <v>1.1000000000000001</v>
      </c>
      <c r="CL59" s="7">
        <v>10</v>
      </c>
      <c r="CM59" s="7">
        <v>30</v>
      </c>
      <c r="CN59" s="7">
        <v>60</v>
      </c>
      <c r="CO59" s="8">
        <f t="shared" si="108"/>
        <v>2.9187042500000006E-3</v>
      </c>
      <c r="CP59" s="8">
        <f t="shared" si="109"/>
        <v>3.2105746750000007E-3</v>
      </c>
      <c r="CQ59" s="18">
        <f t="shared" si="110"/>
        <v>3.2105746750000011E-4</v>
      </c>
      <c r="CR59" s="8">
        <f t="shared" si="111"/>
        <v>9.6317240250000011E-4</v>
      </c>
      <c r="CS59" s="8">
        <f t="shared" si="112"/>
        <v>1.9263448050000002E-3</v>
      </c>
      <c r="CT59" s="18">
        <f t="shared" si="113"/>
        <v>1.9070813569500004E-4</v>
      </c>
      <c r="CU59" s="8">
        <f t="shared" si="114"/>
        <v>7.8016964602500036E-4</v>
      </c>
      <c r="CV59" s="8">
        <f t="shared" si="115"/>
        <v>1.6373930842500002E-3</v>
      </c>
      <c r="CW59" s="8">
        <f t="shared" si="116"/>
        <v>3.2747861685000004E-3</v>
      </c>
      <c r="CX59" s="18">
        <f t="shared" si="117"/>
        <v>3.2420383068150005E-4</v>
      </c>
      <c r="CY59" s="8">
        <f t="shared" si="118"/>
        <v>1.3262883982425003E-3</v>
      </c>
      <c r="CZ59" s="12">
        <f t="shared" si="119"/>
        <v>0.4</v>
      </c>
      <c r="DA59" s="12">
        <f t="shared" si="63"/>
        <v>0.31478527607361967</v>
      </c>
      <c r="DB59" s="6">
        <v>1.7</v>
      </c>
      <c r="DC59" s="6">
        <v>1.7</v>
      </c>
      <c r="DD59" s="9">
        <v>0.14399999999999999</v>
      </c>
      <c r="DE59" s="9">
        <v>0.43</v>
      </c>
      <c r="DF59" s="15">
        <v>2.7E-2</v>
      </c>
      <c r="DG59" s="13">
        <v>0.19</v>
      </c>
      <c r="DH59" s="28">
        <f t="shared" si="120"/>
        <v>5.0311800000000015E-5</v>
      </c>
      <c r="DI59" s="29">
        <f t="shared" si="121"/>
        <v>2.058210000000001E-4</v>
      </c>
    </row>
    <row r="60" spans="1:113" x14ac:dyDescent="0.25">
      <c r="A60" s="85">
        <v>52</v>
      </c>
      <c r="B60" s="35" t="s">
        <v>26</v>
      </c>
      <c r="C60" s="35" t="s">
        <v>28</v>
      </c>
      <c r="D60" s="31" t="s">
        <v>181</v>
      </c>
      <c r="E60" s="9">
        <v>2</v>
      </c>
      <c r="F60" s="9">
        <v>100</v>
      </c>
      <c r="G60" s="34" t="s">
        <v>114</v>
      </c>
      <c r="H60" s="19" t="s">
        <v>99</v>
      </c>
      <c r="I60" s="31" t="s">
        <v>99</v>
      </c>
      <c r="J60" s="32" t="s">
        <v>99</v>
      </c>
      <c r="K60" s="2" t="str">
        <f t="shared" si="64"/>
        <v>Statlig Landsbygd VV 100 5,7-6,6 - -</v>
      </c>
      <c r="L60" s="2"/>
      <c r="M60" s="32" t="s">
        <v>99</v>
      </c>
      <c r="N60" s="53">
        <f>'Beräkna - Länk'!$C$26</f>
        <v>1</v>
      </c>
      <c r="O60" s="53">
        <f>'Beräkna - Länk'!$C$24/('Beräkna - Länk'!$C$27)^('Beräkna - Länk'!$C$25-2010)</f>
        <v>10385</v>
      </c>
      <c r="P60" s="13">
        <f t="shared" si="65"/>
        <v>3.7905249999999997</v>
      </c>
      <c r="Q60" s="13">
        <f t="shared" si="66"/>
        <v>0.27011281150000005</v>
      </c>
      <c r="R60" s="13">
        <f t="shared" si="67"/>
        <v>0.40353739623750001</v>
      </c>
      <c r="S60" s="28">
        <f t="shared" si="68"/>
        <v>1.6937771436249999E-2</v>
      </c>
      <c r="T60" s="15">
        <f t="shared" si="69"/>
        <v>5.7380398871250002E-2</v>
      </c>
      <c r="U60" s="13">
        <f t="shared" si="70"/>
        <v>0.32921922592999997</v>
      </c>
      <c r="V60" s="13">
        <f t="shared" si="71"/>
        <v>0.70756466666666662</v>
      </c>
      <c r="W60" s="15">
        <f t="shared" si="72"/>
        <v>1.2038392028320003E-2</v>
      </c>
      <c r="X60" s="15">
        <f t="shared" si="73"/>
        <v>6.6512042723524997E-2</v>
      </c>
      <c r="Y60" s="15">
        <f t="shared" si="74"/>
        <v>9.7546678081125007E-2</v>
      </c>
      <c r="Z60" s="14">
        <f t="shared" si="75"/>
        <v>0.5596726840809999</v>
      </c>
      <c r="AA60" s="14">
        <f t="shared" si="76"/>
        <v>4.9529526666666666</v>
      </c>
      <c r="AB60" s="13">
        <f t="shared" si="77"/>
        <v>2.0465266448144E-2</v>
      </c>
      <c r="AC60" s="14">
        <f t="shared" si="78"/>
        <v>0.11307047262999251</v>
      </c>
      <c r="AD60" s="13">
        <f t="shared" si="55"/>
        <v>0.16981864288271173</v>
      </c>
      <c r="AE60" s="15">
        <f t="shared" si="56"/>
        <v>3.0202795000000004E-2</v>
      </c>
      <c r="AF60" s="8">
        <v>7.0000000000000007E-2</v>
      </c>
      <c r="AG60" s="12">
        <v>1.5</v>
      </c>
      <c r="AH60" s="12">
        <v>4</v>
      </c>
      <c r="AI60" s="12">
        <v>14</v>
      </c>
      <c r="AJ60" s="7">
        <v>82</v>
      </c>
      <c r="AK60" s="12">
        <v>1.7777777777777777</v>
      </c>
      <c r="AL60" s="12">
        <f t="shared" si="79"/>
        <v>0.26533675000000001</v>
      </c>
      <c r="AM60" s="12">
        <f t="shared" si="80"/>
        <v>0.39800512500000002</v>
      </c>
      <c r="AN60" s="18">
        <f t="shared" si="81"/>
        <v>1.5920205E-2</v>
      </c>
      <c r="AO60" s="8">
        <f t="shared" si="82"/>
        <v>5.5720717500000003E-2</v>
      </c>
      <c r="AP60" s="12">
        <f t="shared" si="83"/>
        <v>0.32636420249999998</v>
      </c>
      <c r="AQ60" s="12">
        <f t="shared" si="84"/>
        <v>0.70756466666666662</v>
      </c>
      <c r="AR60" s="18">
        <f t="shared" si="85"/>
        <v>1.1709310777500002E-2</v>
      </c>
      <c r="AS60" s="8">
        <f t="shared" si="86"/>
        <v>6.5193239474999998E-2</v>
      </c>
      <c r="AT60" s="8">
        <f t="shared" si="87"/>
        <v>9.4725219750000006E-2</v>
      </c>
      <c r="AU60" s="8">
        <f t="shared" si="88"/>
        <v>0.5548191442499999</v>
      </c>
      <c r="AV60" s="8">
        <f t="shared" si="89"/>
        <v>4.9529526666666666</v>
      </c>
      <c r="AW60" s="8">
        <f t="shared" si="90"/>
        <v>1.9905828321749999E-2</v>
      </c>
      <c r="AX60" s="8">
        <f t="shared" si="91"/>
        <v>0.1108285071075</v>
      </c>
      <c r="AY60" s="495">
        <f t="shared" si="58"/>
        <v>0.16626794258373209</v>
      </c>
      <c r="AZ60" s="8">
        <f t="shared" si="92"/>
        <v>1.8900000000000004E-2</v>
      </c>
      <c r="BA60" s="6">
        <v>1.7</v>
      </c>
      <c r="BB60" s="6">
        <v>1.7</v>
      </c>
      <c r="BC60" s="6">
        <v>7</v>
      </c>
      <c r="BD60" s="9">
        <v>9.2999999999999999E-2</v>
      </c>
      <c r="BE60" s="9">
        <v>0.35</v>
      </c>
      <c r="BF60" s="15">
        <v>0.02</v>
      </c>
      <c r="BG60" s="9">
        <v>0.14000000000000001</v>
      </c>
      <c r="BH60" s="28">
        <f t="shared" si="93"/>
        <v>3.0891000000000009E-3</v>
      </c>
      <c r="BI60" s="15">
        <f t="shared" si="94"/>
        <v>1.7198999999999999E-2</v>
      </c>
      <c r="BJ60" s="13">
        <v>0.7</v>
      </c>
      <c r="BK60" s="13">
        <v>1.25</v>
      </c>
      <c r="BL60" s="14">
        <v>30</v>
      </c>
      <c r="BM60" s="14">
        <v>30</v>
      </c>
      <c r="BN60" s="14">
        <v>40</v>
      </c>
      <c r="BO60" s="8">
        <f t="shared" si="95"/>
        <v>1.8573572499999999E-3</v>
      </c>
      <c r="BP60" s="8">
        <f t="shared" si="96"/>
        <v>2.3216965625E-3</v>
      </c>
      <c r="BQ60" s="8">
        <f t="shared" si="97"/>
        <v>6.9650896875000001E-4</v>
      </c>
      <c r="BR60" s="8">
        <f t="shared" si="98"/>
        <v>6.9650896875000001E-4</v>
      </c>
      <c r="BS60" s="8">
        <f t="shared" si="99"/>
        <v>9.2867862500000005E-4</v>
      </c>
      <c r="BT60" s="18">
        <f t="shared" si="100"/>
        <v>1.3837311512499999E-4</v>
      </c>
      <c r="BU60" s="8">
        <f t="shared" si="101"/>
        <v>5.3863360249999993E-4</v>
      </c>
      <c r="BV60" s="8">
        <f t="shared" si="102"/>
        <v>1.184065246875E-3</v>
      </c>
      <c r="BW60" s="8">
        <f t="shared" si="103"/>
        <v>1.5787536625E-3</v>
      </c>
      <c r="BX60" s="18">
        <f t="shared" si="104"/>
        <v>2.352342957125E-4</v>
      </c>
      <c r="BY60" s="8">
        <f t="shared" si="105"/>
        <v>9.1567712424999999E-4</v>
      </c>
      <c r="BZ60" s="12">
        <f t="shared" si="106"/>
        <v>0.6</v>
      </c>
      <c r="CA60" s="12">
        <f t="shared" si="61"/>
        <v>0.46604026845637586</v>
      </c>
      <c r="CB60" s="6">
        <v>1.7</v>
      </c>
      <c r="CC60" s="6">
        <v>1.7</v>
      </c>
      <c r="CD60" s="15">
        <v>0.16</v>
      </c>
      <c r="CE60" s="9">
        <v>0.48</v>
      </c>
      <c r="CF60" s="9">
        <v>2.9000000000000001E-2</v>
      </c>
      <c r="CG60" s="11">
        <v>0.22</v>
      </c>
      <c r="CH60" s="28">
        <f t="shared" si="122"/>
        <v>3.6504999999999997E-5</v>
      </c>
      <c r="CI60" s="15">
        <f t="shared" si="107"/>
        <v>1.4209999999999998E-4</v>
      </c>
      <c r="CJ60" s="12">
        <v>1.1000000000000001</v>
      </c>
      <c r="CK60" s="12">
        <v>1.1000000000000001</v>
      </c>
      <c r="CL60" s="7">
        <v>10</v>
      </c>
      <c r="CM60" s="7">
        <v>30</v>
      </c>
      <c r="CN60" s="7">
        <v>60</v>
      </c>
      <c r="CO60" s="8">
        <f t="shared" si="108"/>
        <v>2.9187042500000006E-3</v>
      </c>
      <c r="CP60" s="8">
        <f t="shared" si="109"/>
        <v>3.2105746750000007E-3</v>
      </c>
      <c r="CQ60" s="18">
        <f t="shared" si="110"/>
        <v>3.2105746750000011E-4</v>
      </c>
      <c r="CR60" s="8">
        <f t="shared" si="111"/>
        <v>9.6317240250000011E-4</v>
      </c>
      <c r="CS60" s="8">
        <f t="shared" si="112"/>
        <v>1.9263448050000002E-3</v>
      </c>
      <c r="CT60" s="18">
        <f t="shared" si="113"/>
        <v>1.9070813569500004E-4</v>
      </c>
      <c r="CU60" s="8">
        <f t="shared" si="114"/>
        <v>7.8016964602500036E-4</v>
      </c>
      <c r="CV60" s="8">
        <f t="shared" si="115"/>
        <v>1.6373930842500002E-3</v>
      </c>
      <c r="CW60" s="8">
        <f t="shared" si="116"/>
        <v>3.2747861685000004E-3</v>
      </c>
      <c r="CX60" s="18">
        <f t="shared" si="117"/>
        <v>3.2420383068150005E-4</v>
      </c>
      <c r="CY60" s="8">
        <f t="shared" si="118"/>
        <v>1.3262883982425003E-3</v>
      </c>
      <c r="CZ60" s="12">
        <f t="shared" si="119"/>
        <v>0.4</v>
      </c>
      <c r="DA60" s="12">
        <f t="shared" si="63"/>
        <v>0.31478527607361967</v>
      </c>
      <c r="DB60" s="6">
        <v>1.7</v>
      </c>
      <c r="DC60" s="6">
        <v>1.7</v>
      </c>
      <c r="DD60" s="9">
        <v>0.14399999999999999</v>
      </c>
      <c r="DE60" s="9">
        <v>0.43</v>
      </c>
      <c r="DF60" s="15">
        <v>2.7E-2</v>
      </c>
      <c r="DG60" s="13">
        <v>0.19</v>
      </c>
      <c r="DH60" s="28">
        <f t="shared" si="120"/>
        <v>5.0311800000000015E-5</v>
      </c>
      <c r="DI60" s="29">
        <f t="shared" si="121"/>
        <v>2.058210000000001E-4</v>
      </c>
    </row>
    <row r="61" spans="1:113" x14ac:dyDescent="0.25">
      <c r="A61" s="85">
        <v>53</v>
      </c>
      <c r="B61" s="35" t="s">
        <v>26</v>
      </c>
      <c r="C61" s="35" t="s">
        <v>28</v>
      </c>
      <c r="D61" s="31" t="s">
        <v>181</v>
      </c>
      <c r="E61" s="9">
        <v>2</v>
      </c>
      <c r="F61" s="9">
        <v>100</v>
      </c>
      <c r="G61" s="34" t="s">
        <v>111</v>
      </c>
      <c r="H61" s="19" t="s">
        <v>99</v>
      </c>
      <c r="I61" s="31" t="s">
        <v>99</v>
      </c>
      <c r="J61" s="32" t="s">
        <v>99</v>
      </c>
      <c r="K61" s="2" t="str">
        <f t="shared" si="64"/>
        <v>Statlig Landsbygd VV 100 6,7-7,9 - -</v>
      </c>
      <c r="L61" s="2"/>
      <c r="M61" s="32" t="s">
        <v>99</v>
      </c>
      <c r="N61" s="53">
        <f>'Beräkna - Länk'!$C$26</f>
        <v>1</v>
      </c>
      <c r="O61" s="53">
        <f>'Beräkna - Länk'!$C$24/('Beräkna - Länk'!$C$27)^('Beräkna - Länk'!$C$25-2010)</f>
        <v>10385</v>
      </c>
      <c r="P61" s="13">
        <f t="shared" si="65"/>
        <v>3.7905249999999997</v>
      </c>
      <c r="Q61" s="13">
        <f t="shared" si="66"/>
        <v>0.27011281150000005</v>
      </c>
      <c r="R61" s="13">
        <f t="shared" si="67"/>
        <v>0.40353739623750001</v>
      </c>
      <c r="S61" s="28">
        <f t="shared" si="68"/>
        <v>1.6937771436249999E-2</v>
      </c>
      <c r="T61" s="15">
        <f t="shared" si="69"/>
        <v>5.7380398871250002E-2</v>
      </c>
      <c r="U61" s="13">
        <f t="shared" si="70"/>
        <v>0.32921922592999997</v>
      </c>
      <c r="V61" s="13">
        <f t="shared" si="71"/>
        <v>0.70756466666666662</v>
      </c>
      <c r="W61" s="15">
        <f t="shared" si="72"/>
        <v>1.2038392028320003E-2</v>
      </c>
      <c r="X61" s="15">
        <f t="shared" si="73"/>
        <v>6.6512042723524997E-2</v>
      </c>
      <c r="Y61" s="15">
        <f t="shared" si="74"/>
        <v>9.7546678081125007E-2</v>
      </c>
      <c r="Z61" s="14">
        <f t="shared" si="75"/>
        <v>0.5596726840809999</v>
      </c>
      <c r="AA61" s="14">
        <f t="shared" si="76"/>
        <v>4.9529526666666666</v>
      </c>
      <c r="AB61" s="13">
        <f t="shared" si="77"/>
        <v>2.0465266448144E-2</v>
      </c>
      <c r="AC61" s="14">
        <f t="shared" si="78"/>
        <v>0.11307047262999251</v>
      </c>
      <c r="AD61" s="13">
        <f t="shared" si="55"/>
        <v>0.16981864288271173</v>
      </c>
      <c r="AE61" s="15">
        <f t="shared" si="56"/>
        <v>3.0202795000000004E-2</v>
      </c>
      <c r="AF61" s="8">
        <v>7.0000000000000007E-2</v>
      </c>
      <c r="AG61" s="12">
        <v>1.5</v>
      </c>
      <c r="AH61" s="12">
        <v>4</v>
      </c>
      <c r="AI61" s="12">
        <v>14</v>
      </c>
      <c r="AJ61" s="7">
        <v>82</v>
      </c>
      <c r="AK61" s="12">
        <v>1.7777777777777777</v>
      </c>
      <c r="AL61" s="12">
        <f t="shared" si="79"/>
        <v>0.26533675000000001</v>
      </c>
      <c r="AM61" s="12">
        <f t="shared" si="80"/>
        <v>0.39800512500000002</v>
      </c>
      <c r="AN61" s="18">
        <f t="shared" si="81"/>
        <v>1.5920205E-2</v>
      </c>
      <c r="AO61" s="8">
        <f t="shared" si="82"/>
        <v>5.5720717500000003E-2</v>
      </c>
      <c r="AP61" s="12">
        <f t="shared" si="83"/>
        <v>0.32636420249999998</v>
      </c>
      <c r="AQ61" s="12">
        <f t="shared" si="84"/>
        <v>0.70756466666666662</v>
      </c>
      <c r="AR61" s="18">
        <f t="shared" si="85"/>
        <v>1.1709310777500002E-2</v>
      </c>
      <c r="AS61" s="8">
        <f t="shared" si="86"/>
        <v>6.5193239474999998E-2</v>
      </c>
      <c r="AT61" s="8">
        <f t="shared" si="87"/>
        <v>9.4725219750000006E-2</v>
      </c>
      <c r="AU61" s="8">
        <f t="shared" si="88"/>
        <v>0.5548191442499999</v>
      </c>
      <c r="AV61" s="8">
        <f t="shared" si="89"/>
        <v>4.9529526666666666</v>
      </c>
      <c r="AW61" s="8">
        <f t="shared" si="90"/>
        <v>1.9905828321749999E-2</v>
      </c>
      <c r="AX61" s="8">
        <f t="shared" si="91"/>
        <v>0.1108285071075</v>
      </c>
      <c r="AY61" s="495">
        <f t="shared" si="58"/>
        <v>0.16626794258373209</v>
      </c>
      <c r="AZ61" s="8">
        <f t="shared" si="92"/>
        <v>1.8900000000000004E-2</v>
      </c>
      <c r="BA61" s="6">
        <v>1.7</v>
      </c>
      <c r="BB61" s="6">
        <v>1.7</v>
      </c>
      <c r="BC61" s="6">
        <v>7</v>
      </c>
      <c r="BD61" s="9">
        <v>9.2999999999999999E-2</v>
      </c>
      <c r="BE61" s="9">
        <v>0.35</v>
      </c>
      <c r="BF61" s="15">
        <v>0.02</v>
      </c>
      <c r="BG61" s="9">
        <v>0.14000000000000001</v>
      </c>
      <c r="BH61" s="28">
        <f t="shared" si="93"/>
        <v>3.0891000000000009E-3</v>
      </c>
      <c r="BI61" s="15">
        <f t="shared" si="94"/>
        <v>1.7198999999999999E-2</v>
      </c>
      <c r="BJ61" s="13">
        <v>0.7</v>
      </c>
      <c r="BK61" s="13">
        <v>1.25</v>
      </c>
      <c r="BL61" s="14">
        <v>30</v>
      </c>
      <c r="BM61" s="14">
        <v>30</v>
      </c>
      <c r="BN61" s="14">
        <v>40</v>
      </c>
      <c r="BO61" s="8">
        <f t="shared" si="95"/>
        <v>1.8573572499999999E-3</v>
      </c>
      <c r="BP61" s="8">
        <f t="shared" si="96"/>
        <v>2.3216965625E-3</v>
      </c>
      <c r="BQ61" s="8">
        <f t="shared" si="97"/>
        <v>6.9650896875000001E-4</v>
      </c>
      <c r="BR61" s="8">
        <f t="shared" si="98"/>
        <v>6.9650896875000001E-4</v>
      </c>
      <c r="BS61" s="8">
        <f t="shared" si="99"/>
        <v>9.2867862500000005E-4</v>
      </c>
      <c r="BT61" s="18">
        <f t="shared" si="100"/>
        <v>1.3837311512499999E-4</v>
      </c>
      <c r="BU61" s="8">
        <f t="shared" si="101"/>
        <v>5.3863360249999993E-4</v>
      </c>
      <c r="BV61" s="8">
        <f t="shared" si="102"/>
        <v>1.184065246875E-3</v>
      </c>
      <c r="BW61" s="8">
        <f t="shared" si="103"/>
        <v>1.5787536625E-3</v>
      </c>
      <c r="BX61" s="18">
        <f t="shared" si="104"/>
        <v>2.352342957125E-4</v>
      </c>
      <c r="BY61" s="8">
        <f t="shared" si="105"/>
        <v>9.1567712424999999E-4</v>
      </c>
      <c r="BZ61" s="12">
        <f t="shared" si="106"/>
        <v>0.6</v>
      </c>
      <c r="CA61" s="12">
        <f t="shared" si="61"/>
        <v>0.46604026845637586</v>
      </c>
      <c r="CB61" s="6">
        <v>1.7</v>
      </c>
      <c r="CC61" s="6">
        <v>1.7</v>
      </c>
      <c r="CD61" s="15">
        <v>0.16</v>
      </c>
      <c r="CE61" s="9">
        <v>0.48</v>
      </c>
      <c r="CF61" s="9">
        <v>2.9000000000000001E-2</v>
      </c>
      <c r="CG61" s="11">
        <v>0.22</v>
      </c>
      <c r="CH61" s="28">
        <f t="shared" si="122"/>
        <v>3.6504999999999997E-5</v>
      </c>
      <c r="CI61" s="15">
        <f t="shared" si="107"/>
        <v>1.4209999999999998E-4</v>
      </c>
      <c r="CJ61" s="12">
        <v>1.1000000000000001</v>
      </c>
      <c r="CK61" s="12">
        <v>1.1000000000000001</v>
      </c>
      <c r="CL61" s="7">
        <v>10</v>
      </c>
      <c r="CM61" s="7">
        <v>30</v>
      </c>
      <c r="CN61" s="7">
        <v>60</v>
      </c>
      <c r="CO61" s="8">
        <f t="shared" si="108"/>
        <v>2.9187042500000006E-3</v>
      </c>
      <c r="CP61" s="8">
        <f t="shared" si="109"/>
        <v>3.2105746750000007E-3</v>
      </c>
      <c r="CQ61" s="18">
        <f t="shared" si="110"/>
        <v>3.2105746750000011E-4</v>
      </c>
      <c r="CR61" s="8">
        <f t="shared" si="111"/>
        <v>9.6317240250000011E-4</v>
      </c>
      <c r="CS61" s="8">
        <f t="shared" si="112"/>
        <v>1.9263448050000002E-3</v>
      </c>
      <c r="CT61" s="18">
        <f t="shared" si="113"/>
        <v>1.9070813569500004E-4</v>
      </c>
      <c r="CU61" s="8">
        <f t="shared" si="114"/>
        <v>7.8016964602500036E-4</v>
      </c>
      <c r="CV61" s="8">
        <f t="shared" si="115"/>
        <v>1.6373930842500002E-3</v>
      </c>
      <c r="CW61" s="8">
        <f t="shared" si="116"/>
        <v>3.2747861685000004E-3</v>
      </c>
      <c r="CX61" s="18">
        <f t="shared" si="117"/>
        <v>3.2420383068150005E-4</v>
      </c>
      <c r="CY61" s="8">
        <f t="shared" si="118"/>
        <v>1.3262883982425003E-3</v>
      </c>
      <c r="CZ61" s="12">
        <f t="shared" si="119"/>
        <v>0.4</v>
      </c>
      <c r="DA61" s="12">
        <f t="shared" si="63"/>
        <v>0.31478527607361967</v>
      </c>
      <c r="DB61" s="6">
        <v>1.7</v>
      </c>
      <c r="DC61" s="6">
        <v>1.7</v>
      </c>
      <c r="DD61" s="9">
        <v>0.14399999999999999</v>
      </c>
      <c r="DE61" s="9">
        <v>0.43</v>
      </c>
      <c r="DF61" s="15">
        <v>2.7E-2</v>
      </c>
      <c r="DG61" s="13">
        <v>0.19</v>
      </c>
      <c r="DH61" s="28">
        <f t="shared" si="120"/>
        <v>5.0311800000000015E-5</v>
      </c>
      <c r="DI61" s="29">
        <f t="shared" si="121"/>
        <v>2.058210000000001E-4</v>
      </c>
    </row>
    <row r="62" spans="1:113" x14ac:dyDescent="0.25">
      <c r="A62" s="85">
        <v>54</v>
      </c>
      <c r="B62" s="35" t="s">
        <v>26</v>
      </c>
      <c r="C62" s="35" t="s">
        <v>28</v>
      </c>
      <c r="D62" s="31" t="s">
        <v>181</v>
      </c>
      <c r="E62" s="9">
        <v>2</v>
      </c>
      <c r="F62" s="9">
        <v>100</v>
      </c>
      <c r="G62" s="34" t="s">
        <v>27</v>
      </c>
      <c r="H62" s="19" t="s">
        <v>99</v>
      </c>
      <c r="I62" s="31" t="s">
        <v>99</v>
      </c>
      <c r="J62" s="32" t="s">
        <v>99</v>
      </c>
      <c r="K62" s="2" t="str">
        <f t="shared" si="64"/>
        <v>Statlig Landsbygd VV 100 8-10 - -</v>
      </c>
      <c r="L62" s="2"/>
      <c r="M62" s="32" t="s">
        <v>99</v>
      </c>
      <c r="N62" s="53">
        <f>'Beräkna - Länk'!$C$26</f>
        <v>1</v>
      </c>
      <c r="O62" s="53">
        <f>'Beräkna - Länk'!$C$24/('Beräkna - Länk'!$C$27)^('Beräkna - Länk'!$C$25-2010)</f>
        <v>10385</v>
      </c>
      <c r="P62" s="13">
        <f t="shared" si="65"/>
        <v>3.7905249999999997</v>
      </c>
      <c r="Q62" s="13">
        <f t="shared" si="66"/>
        <v>0.27783032039999994</v>
      </c>
      <c r="R62" s="13">
        <f t="shared" si="67"/>
        <v>0.51058826612999997</v>
      </c>
      <c r="S62" s="28">
        <f t="shared" si="68"/>
        <v>1.6193577662999999E-2</v>
      </c>
      <c r="T62" s="15">
        <f t="shared" si="69"/>
        <v>0.11026015578899999</v>
      </c>
      <c r="U62" s="13">
        <f t="shared" si="70"/>
        <v>0.38413453267799996</v>
      </c>
      <c r="V62" s="13">
        <f t="shared" si="71"/>
        <v>0.93766758428571417</v>
      </c>
      <c r="W62" s="15">
        <f t="shared" si="72"/>
        <v>1.8057876425621996E-2</v>
      </c>
      <c r="X62" s="15">
        <f t="shared" si="73"/>
        <v>9.2717763774839979E-2</v>
      </c>
      <c r="Y62" s="15">
        <f t="shared" si="74"/>
        <v>0.18744226484129997</v>
      </c>
      <c r="Z62" s="14">
        <f t="shared" si="75"/>
        <v>0.65302870555259984</v>
      </c>
      <c r="AA62" s="14">
        <f t="shared" si="76"/>
        <v>6.5636730899999991</v>
      </c>
      <c r="AB62" s="13">
        <f t="shared" si="77"/>
        <v>3.069838992355739E-2</v>
      </c>
      <c r="AC62" s="14">
        <f t="shared" si="78"/>
        <v>0.15762019841722794</v>
      </c>
      <c r="AD62" s="13">
        <f t="shared" si="55"/>
        <v>0.23770779702065414</v>
      </c>
      <c r="AE62" s="15">
        <f t="shared" si="56"/>
        <v>5.3722331999999998E-2</v>
      </c>
      <c r="AF62" s="6">
        <v>7.1999999999999995E-2</v>
      </c>
      <c r="AG62" s="6">
        <v>1.85</v>
      </c>
      <c r="AH62" s="12">
        <v>3</v>
      </c>
      <c r="AI62" s="12">
        <v>21.5</v>
      </c>
      <c r="AJ62" s="7">
        <v>75.5</v>
      </c>
      <c r="AK62" s="12">
        <v>1.8571428571428572</v>
      </c>
      <c r="AL62" s="12">
        <f t="shared" si="79"/>
        <v>0.27291779999999993</v>
      </c>
      <c r="AM62" s="12">
        <f t="shared" si="80"/>
        <v>0.50489792999999994</v>
      </c>
      <c r="AN62" s="18">
        <f t="shared" si="81"/>
        <v>1.5146937899999999E-2</v>
      </c>
      <c r="AO62" s="8">
        <f t="shared" si="82"/>
        <v>0.10855305494999998</v>
      </c>
      <c r="AP62" s="12">
        <f t="shared" si="83"/>
        <v>0.38119793714999994</v>
      </c>
      <c r="AQ62" s="12">
        <f t="shared" si="84"/>
        <v>0.93766758428571417</v>
      </c>
      <c r="AR62" s="18">
        <f t="shared" si="85"/>
        <v>1.7719392853349995E-2</v>
      </c>
      <c r="AS62" s="8">
        <f t="shared" si="86"/>
        <v>9.1361280433499975E-2</v>
      </c>
      <c r="AT62" s="8">
        <f t="shared" si="87"/>
        <v>0.18454019341499997</v>
      </c>
      <c r="AU62" s="8">
        <f t="shared" si="88"/>
        <v>0.64803649315499989</v>
      </c>
      <c r="AV62" s="8">
        <f t="shared" si="89"/>
        <v>6.5636730899999991</v>
      </c>
      <c r="AW62" s="8">
        <f t="shared" si="90"/>
        <v>3.0122967850694994E-2</v>
      </c>
      <c r="AX62" s="8">
        <f t="shared" si="91"/>
        <v>0.15531417673694997</v>
      </c>
      <c r="AY62" s="495">
        <f t="shared" si="58"/>
        <v>0.23555687909469922</v>
      </c>
      <c r="AZ62" s="8">
        <f t="shared" si="92"/>
        <v>3.2633999999999996E-2</v>
      </c>
      <c r="BA62" s="6">
        <v>1.7</v>
      </c>
      <c r="BB62" s="6">
        <v>1.7</v>
      </c>
      <c r="BC62" s="6">
        <v>7</v>
      </c>
      <c r="BD62" s="9">
        <v>9.2999999999999999E-2</v>
      </c>
      <c r="BE62" s="9">
        <v>0.35</v>
      </c>
      <c r="BF62" s="15">
        <v>0.02</v>
      </c>
      <c r="BG62" s="9">
        <v>0.14000000000000001</v>
      </c>
      <c r="BH62" s="28">
        <f t="shared" si="93"/>
        <v>4.6746539999999994E-3</v>
      </c>
      <c r="BI62" s="15">
        <f t="shared" si="94"/>
        <v>2.4102539999999995E-2</v>
      </c>
      <c r="BJ62" s="13">
        <v>0.7</v>
      </c>
      <c r="BK62" s="13">
        <v>1.25</v>
      </c>
      <c r="BL62" s="14">
        <v>30</v>
      </c>
      <c r="BM62" s="14">
        <v>30</v>
      </c>
      <c r="BN62" s="14">
        <v>40</v>
      </c>
      <c r="BO62" s="8">
        <f t="shared" si="95"/>
        <v>1.9104245999999993E-3</v>
      </c>
      <c r="BP62" s="8">
        <f t="shared" si="96"/>
        <v>2.3880307499999989E-3</v>
      </c>
      <c r="BQ62" s="8">
        <f t="shared" si="97"/>
        <v>7.1640922499999963E-4</v>
      </c>
      <c r="BR62" s="8">
        <f t="shared" si="98"/>
        <v>7.1640922499999963E-4</v>
      </c>
      <c r="BS62" s="8">
        <f t="shared" si="99"/>
        <v>9.5521229999999966E-4</v>
      </c>
      <c r="BT62" s="18">
        <f t="shared" si="100"/>
        <v>1.4232663269999997E-4</v>
      </c>
      <c r="BU62" s="8">
        <f t="shared" si="101"/>
        <v>5.5402313399999985E-4</v>
      </c>
      <c r="BV62" s="8">
        <f t="shared" si="102"/>
        <v>1.2178956824999993E-3</v>
      </c>
      <c r="BW62" s="8">
        <f t="shared" si="103"/>
        <v>1.6238609099999994E-3</v>
      </c>
      <c r="BX62" s="18">
        <f t="shared" si="104"/>
        <v>2.4195527558999987E-4</v>
      </c>
      <c r="BY62" s="8">
        <f t="shared" si="105"/>
        <v>9.4183932779999947E-4</v>
      </c>
      <c r="BZ62" s="12">
        <f t="shared" si="106"/>
        <v>0.6</v>
      </c>
      <c r="CA62" s="12">
        <f t="shared" si="61"/>
        <v>0.46604026845637581</v>
      </c>
      <c r="CB62" s="6">
        <v>1.7</v>
      </c>
      <c r="CC62" s="6">
        <v>1.7</v>
      </c>
      <c r="CD62" s="15">
        <v>0.16</v>
      </c>
      <c r="CE62" s="9">
        <v>0.48</v>
      </c>
      <c r="CF62" s="9">
        <v>2.9000000000000001E-2</v>
      </c>
      <c r="CG62" s="11">
        <v>0.22</v>
      </c>
      <c r="CH62" s="28">
        <f t="shared" si="122"/>
        <v>3.7547999999999994E-5</v>
      </c>
      <c r="CI62" s="15">
        <f t="shared" si="107"/>
        <v>1.4615999999999997E-4</v>
      </c>
      <c r="CJ62" s="12">
        <v>1.1000000000000001</v>
      </c>
      <c r="CK62" s="12">
        <v>1.1000000000000001</v>
      </c>
      <c r="CL62" s="7">
        <v>10</v>
      </c>
      <c r="CM62" s="7">
        <v>30</v>
      </c>
      <c r="CN62" s="7">
        <v>60</v>
      </c>
      <c r="CO62" s="8">
        <f t="shared" si="108"/>
        <v>3.0020957999999996E-3</v>
      </c>
      <c r="CP62" s="8">
        <f t="shared" si="109"/>
        <v>3.30230538E-3</v>
      </c>
      <c r="CQ62" s="18">
        <f t="shared" si="110"/>
        <v>3.3023053800000001E-4</v>
      </c>
      <c r="CR62" s="8">
        <f t="shared" si="111"/>
        <v>9.9069161399999986E-4</v>
      </c>
      <c r="CS62" s="8">
        <f t="shared" si="112"/>
        <v>1.9813832279999997E-3</v>
      </c>
      <c r="CT62" s="18">
        <f t="shared" si="113"/>
        <v>1.9615693957200002E-4</v>
      </c>
      <c r="CU62" s="8">
        <f t="shared" si="114"/>
        <v>8.0246020734000005E-4</v>
      </c>
      <c r="CV62" s="8">
        <f t="shared" si="115"/>
        <v>1.6841757437999997E-3</v>
      </c>
      <c r="CW62" s="8">
        <f t="shared" si="116"/>
        <v>3.3683514875999993E-3</v>
      </c>
      <c r="CX62" s="18">
        <f t="shared" si="117"/>
        <v>3.3346679727239994E-4</v>
      </c>
      <c r="CY62" s="8">
        <f t="shared" si="118"/>
        <v>1.3641823524779997E-3</v>
      </c>
      <c r="CZ62" s="12">
        <f t="shared" si="119"/>
        <v>0.4</v>
      </c>
      <c r="DA62" s="12">
        <f t="shared" si="63"/>
        <v>0.31478527607361967</v>
      </c>
      <c r="DB62" s="6">
        <v>1.7</v>
      </c>
      <c r="DC62" s="6">
        <v>1.7</v>
      </c>
      <c r="DD62" s="9">
        <v>0.14399999999999999</v>
      </c>
      <c r="DE62" s="9">
        <v>0.43</v>
      </c>
      <c r="DF62" s="15">
        <v>2.7E-2</v>
      </c>
      <c r="DG62" s="13">
        <v>0.19</v>
      </c>
      <c r="DH62" s="28">
        <f t="shared" si="120"/>
        <v>5.1749280000000008E-5</v>
      </c>
      <c r="DI62" s="29">
        <f t="shared" si="121"/>
        <v>2.1170160000000003E-4</v>
      </c>
    </row>
    <row r="63" spans="1:113" x14ac:dyDescent="0.25">
      <c r="A63" s="85">
        <v>55</v>
      </c>
      <c r="B63" s="35" t="s">
        <v>26</v>
      </c>
      <c r="C63" s="35" t="s">
        <v>28</v>
      </c>
      <c r="D63" s="31" t="s">
        <v>181</v>
      </c>
      <c r="E63" s="9">
        <v>2</v>
      </c>
      <c r="F63" s="9">
        <v>100</v>
      </c>
      <c r="G63" s="34" t="s">
        <v>115</v>
      </c>
      <c r="H63" s="19" t="s">
        <v>99</v>
      </c>
      <c r="I63" s="31" t="s">
        <v>99</v>
      </c>
      <c r="J63" s="32" t="s">
        <v>99</v>
      </c>
      <c r="K63" s="2" t="str">
        <f t="shared" si="64"/>
        <v>Statlig Landsbygd VV 100 10,1-11,5 - -</v>
      </c>
      <c r="L63" s="2"/>
      <c r="M63" s="32" t="s">
        <v>99</v>
      </c>
      <c r="N63" s="53">
        <f>'Beräkna - Länk'!$C$26</f>
        <v>1</v>
      </c>
      <c r="O63" s="53">
        <f>'Beräkna - Länk'!$C$24/('Beräkna - Länk'!$C$27)^('Beräkna - Länk'!$C$25-2010)</f>
        <v>10385</v>
      </c>
      <c r="P63" s="13">
        <f t="shared" si="65"/>
        <v>3.7905249999999997</v>
      </c>
      <c r="Q63" s="13">
        <f t="shared" si="66"/>
        <v>0.32349856560000001</v>
      </c>
      <c r="R63" s="13">
        <f t="shared" si="67"/>
        <v>0.55672956884999991</v>
      </c>
      <c r="S63" s="28">
        <f t="shared" si="68"/>
        <v>1.3735952873999997E-2</v>
      </c>
      <c r="T63" s="15">
        <f t="shared" si="69"/>
        <v>0.14608698512099993</v>
      </c>
      <c r="U63" s="13">
        <f t="shared" si="70"/>
        <v>0.39690663085499989</v>
      </c>
      <c r="V63" s="13">
        <f t="shared" si="71"/>
        <v>1.0229868869999998</v>
      </c>
      <c r="W63" s="15">
        <f t="shared" si="72"/>
        <v>2.1649116241578004E-2</v>
      </c>
      <c r="X63" s="15">
        <f t="shared" si="73"/>
        <v>0.10705605533070001</v>
      </c>
      <c r="Y63" s="15">
        <f t="shared" si="74"/>
        <v>0.24834787470569991</v>
      </c>
      <c r="Z63" s="14">
        <f t="shared" si="75"/>
        <v>0.6747412724534998</v>
      </c>
      <c r="AA63" s="14">
        <f t="shared" si="76"/>
        <v>7.1609082089999987</v>
      </c>
      <c r="AB63" s="13">
        <f t="shared" si="77"/>
        <v>3.6803497610682599E-2</v>
      </c>
      <c r="AC63" s="14">
        <f t="shared" si="78"/>
        <v>0.18199529406218995</v>
      </c>
      <c r="AD63" s="13">
        <f t="shared" si="55"/>
        <v>0.27975747828534059</v>
      </c>
      <c r="AE63" s="15">
        <f t="shared" si="56"/>
        <v>6.9141827999999975E-2</v>
      </c>
      <c r="AF63" s="6">
        <v>8.4000000000000005E-2</v>
      </c>
      <c r="AG63" s="6">
        <v>1.73</v>
      </c>
      <c r="AH63" s="12">
        <v>2.2999999999999998</v>
      </c>
      <c r="AI63" s="12">
        <v>26.2</v>
      </c>
      <c r="AJ63" s="7">
        <v>71.5</v>
      </c>
      <c r="AK63" s="12">
        <v>1.8571428571428572</v>
      </c>
      <c r="AL63" s="12">
        <f t="shared" si="79"/>
        <v>0.31840409999999997</v>
      </c>
      <c r="AM63" s="12">
        <f t="shared" si="80"/>
        <v>0.55083909299999989</v>
      </c>
      <c r="AN63" s="18">
        <f t="shared" si="81"/>
        <v>1.2669299138999996E-2</v>
      </c>
      <c r="AO63" s="8">
        <f t="shared" si="82"/>
        <v>0.14431984236599996</v>
      </c>
      <c r="AP63" s="12">
        <f t="shared" si="83"/>
        <v>0.39384995149499991</v>
      </c>
      <c r="AQ63" s="12">
        <f t="shared" si="84"/>
        <v>1.0229868869999998</v>
      </c>
      <c r="AR63" s="18">
        <f t="shared" si="85"/>
        <v>2.1298744369938002E-2</v>
      </c>
      <c r="AS63" s="8">
        <f t="shared" si="86"/>
        <v>0.1056509380374</v>
      </c>
      <c r="AT63" s="8">
        <f t="shared" si="87"/>
        <v>0.24534373202219992</v>
      </c>
      <c r="AU63" s="8">
        <f t="shared" si="88"/>
        <v>0.66954491754149981</v>
      </c>
      <c r="AV63" s="8">
        <f t="shared" si="89"/>
        <v>7.1609082089999987</v>
      </c>
      <c r="AW63" s="8">
        <f t="shared" si="90"/>
        <v>3.6207865428894592E-2</v>
      </c>
      <c r="AX63" s="8">
        <f t="shared" si="91"/>
        <v>0.17960659466357995</v>
      </c>
      <c r="AY63" s="495">
        <f t="shared" si="58"/>
        <v>0.27816378644812634</v>
      </c>
      <c r="AZ63" s="8">
        <f t="shared" si="92"/>
        <v>4.1416200000000007E-2</v>
      </c>
      <c r="BA63" s="6">
        <v>1.7</v>
      </c>
      <c r="BB63" s="6">
        <v>1.7</v>
      </c>
      <c r="BC63" s="6">
        <v>7</v>
      </c>
      <c r="BD63" s="9">
        <v>9.2999999999999999E-2</v>
      </c>
      <c r="BE63" s="9">
        <v>0.35</v>
      </c>
      <c r="BF63" s="15">
        <v>0.02</v>
      </c>
      <c r="BG63" s="9">
        <v>0.14000000000000001</v>
      </c>
      <c r="BH63" s="28">
        <f t="shared" si="93"/>
        <v>5.6189431200000008E-3</v>
      </c>
      <c r="BI63" s="15">
        <f t="shared" si="94"/>
        <v>2.7872376000000001E-2</v>
      </c>
      <c r="BJ63" s="13">
        <v>0.6</v>
      </c>
      <c r="BK63" s="13">
        <v>1.25</v>
      </c>
      <c r="BL63" s="14">
        <v>30</v>
      </c>
      <c r="BM63" s="14">
        <v>30</v>
      </c>
      <c r="BN63" s="14">
        <v>40</v>
      </c>
      <c r="BO63" s="8">
        <f t="shared" si="95"/>
        <v>1.9104245999999997E-3</v>
      </c>
      <c r="BP63" s="8">
        <f t="shared" si="96"/>
        <v>2.3880307499999998E-3</v>
      </c>
      <c r="BQ63" s="8">
        <f t="shared" si="97"/>
        <v>7.1640922499999996E-4</v>
      </c>
      <c r="BR63" s="8">
        <f t="shared" si="98"/>
        <v>7.1640922499999996E-4</v>
      </c>
      <c r="BS63" s="8">
        <f t="shared" si="99"/>
        <v>9.5521229999999998E-4</v>
      </c>
      <c r="BT63" s="18">
        <f t="shared" si="100"/>
        <v>1.423266327E-4</v>
      </c>
      <c r="BU63" s="8">
        <f t="shared" si="101"/>
        <v>5.5402313399999996E-4</v>
      </c>
      <c r="BV63" s="8">
        <f t="shared" si="102"/>
        <v>1.2178956825E-3</v>
      </c>
      <c r="BW63" s="8">
        <f t="shared" si="103"/>
        <v>1.62386091E-3</v>
      </c>
      <c r="BX63" s="18">
        <f t="shared" si="104"/>
        <v>2.4195527559000001E-4</v>
      </c>
      <c r="BY63" s="8">
        <f t="shared" si="105"/>
        <v>9.4183932780000001E-4</v>
      </c>
      <c r="BZ63" s="12">
        <f t="shared" si="106"/>
        <v>0.6</v>
      </c>
      <c r="CA63" s="12">
        <f t="shared" si="61"/>
        <v>0.46604026845637581</v>
      </c>
      <c r="CB63" s="6">
        <v>1.7</v>
      </c>
      <c r="CC63" s="6">
        <v>1.7</v>
      </c>
      <c r="CD63" s="15">
        <v>0.16</v>
      </c>
      <c r="CE63" s="9">
        <v>0.48</v>
      </c>
      <c r="CF63" s="9">
        <v>2.9000000000000001E-2</v>
      </c>
      <c r="CG63" s="11">
        <v>0.22</v>
      </c>
      <c r="CH63" s="28">
        <f t="shared" si="122"/>
        <v>3.7548E-5</v>
      </c>
      <c r="CI63" s="15">
        <f t="shared" si="107"/>
        <v>1.4616E-4</v>
      </c>
      <c r="CJ63" s="12">
        <v>1</v>
      </c>
      <c r="CK63" s="12">
        <v>1.1000000000000001</v>
      </c>
      <c r="CL63" s="7">
        <v>10</v>
      </c>
      <c r="CM63" s="7">
        <v>30</v>
      </c>
      <c r="CN63" s="7">
        <v>60</v>
      </c>
      <c r="CO63" s="8">
        <f t="shared" si="108"/>
        <v>3.1840409999999999E-3</v>
      </c>
      <c r="CP63" s="8">
        <f t="shared" si="109"/>
        <v>3.5024451000000003E-3</v>
      </c>
      <c r="CQ63" s="18">
        <f t="shared" si="110"/>
        <v>3.5024451000000007E-4</v>
      </c>
      <c r="CR63" s="8">
        <f t="shared" si="111"/>
        <v>1.0507335300000001E-3</v>
      </c>
      <c r="CS63" s="8">
        <f t="shared" si="112"/>
        <v>2.1014670600000003E-3</v>
      </c>
      <c r="CT63" s="18">
        <f t="shared" si="113"/>
        <v>2.0804523893999999E-4</v>
      </c>
      <c r="CU63" s="8">
        <f t="shared" si="114"/>
        <v>8.510941593E-4</v>
      </c>
      <c r="CV63" s="8">
        <f t="shared" si="115"/>
        <v>1.7862470010000001E-3</v>
      </c>
      <c r="CW63" s="8">
        <f t="shared" si="116"/>
        <v>3.5724940020000003E-3</v>
      </c>
      <c r="CX63" s="18">
        <f t="shared" si="117"/>
        <v>3.5367690619800003E-4</v>
      </c>
      <c r="CY63" s="8">
        <f t="shared" si="118"/>
        <v>1.4468600708100001E-3</v>
      </c>
      <c r="CZ63" s="12">
        <f t="shared" si="119"/>
        <v>0.4</v>
      </c>
      <c r="DA63" s="12">
        <f t="shared" si="63"/>
        <v>0.31478527607361967</v>
      </c>
      <c r="DB63" s="6">
        <v>1.7</v>
      </c>
      <c r="DC63" s="6">
        <v>1.7</v>
      </c>
      <c r="DD63" s="9">
        <v>0.14399999999999999</v>
      </c>
      <c r="DE63" s="9">
        <v>0.43</v>
      </c>
      <c r="DF63" s="15">
        <v>2.7E-2</v>
      </c>
      <c r="DG63" s="13">
        <v>0.19</v>
      </c>
      <c r="DH63" s="28">
        <f t="shared" si="120"/>
        <v>5.4885600000000002E-5</v>
      </c>
      <c r="DI63" s="29">
        <f t="shared" si="121"/>
        <v>2.2453200000000002E-4</v>
      </c>
    </row>
    <row r="64" spans="1:113" x14ac:dyDescent="0.25">
      <c r="A64" s="85">
        <v>56</v>
      </c>
      <c r="B64" s="35" t="s">
        <v>26</v>
      </c>
      <c r="C64" s="35" t="s">
        <v>28</v>
      </c>
      <c r="D64" s="31" t="s">
        <v>181</v>
      </c>
      <c r="E64" s="9">
        <v>2</v>
      </c>
      <c r="F64" s="9">
        <v>100</v>
      </c>
      <c r="G64" s="32" t="s">
        <v>165</v>
      </c>
      <c r="H64" s="19" t="s">
        <v>99</v>
      </c>
      <c r="I64" s="31" t="s">
        <v>99</v>
      </c>
      <c r="J64" s="32" t="s">
        <v>99</v>
      </c>
      <c r="K64" s="2" t="str">
        <f t="shared" si="64"/>
        <v>Statlig Landsbygd VV 100 11,6- - -</v>
      </c>
      <c r="L64" s="2"/>
      <c r="M64" s="32" t="s">
        <v>99</v>
      </c>
      <c r="N64" s="53">
        <f>'Beräkna - Länk'!$C$26</f>
        <v>1</v>
      </c>
      <c r="O64" s="53">
        <f>'Beräkna - Länk'!$C$24/('Beräkna - Länk'!$C$27)^('Beräkna - Länk'!$C$25-2010)</f>
        <v>10385</v>
      </c>
      <c r="P64" s="13">
        <f t="shared" si="65"/>
        <v>3.7905249999999997</v>
      </c>
      <c r="Q64" s="13">
        <f t="shared" si="66"/>
        <v>0.32349856560000001</v>
      </c>
      <c r="R64" s="13">
        <f t="shared" si="67"/>
        <v>0.55672956884999991</v>
      </c>
      <c r="S64" s="28">
        <f t="shared" si="68"/>
        <v>1.4837631059999998E-2</v>
      </c>
      <c r="T64" s="15">
        <f t="shared" si="69"/>
        <v>0.14498530693499995</v>
      </c>
      <c r="U64" s="13">
        <f t="shared" si="70"/>
        <v>0.39690663085499989</v>
      </c>
      <c r="V64" s="13">
        <f t="shared" si="71"/>
        <v>1.0229868869999998</v>
      </c>
      <c r="W64" s="15">
        <f t="shared" si="72"/>
        <v>2.1546660170280004E-2</v>
      </c>
      <c r="X64" s="15">
        <f t="shared" si="73"/>
        <v>0.10667046796559999</v>
      </c>
      <c r="Y64" s="15">
        <f t="shared" si="74"/>
        <v>0.24647502178949993</v>
      </c>
      <c r="Z64" s="14">
        <f t="shared" si="75"/>
        <v>0.6747412724534998</v>
      </c>
      <c r="AA64" s="14">
        <f t="shared" si="76"/>
        <v>7.1609082089999987</v>
      </c>
      <c r="AB64" s="13">
        <f t="shared" si="77"/>
        <v>3.6629322289475998E-2</v>
      </c>
      <c r="AC64" s="14">
        <f t="shared" si="78"/>
        <v>0.18133979554151997</v>
      </c>
      <c r="AD64" s="13">
        <f t="shared" si="55"/>
        <v>0.27916410132558683</v>
      </c>
      <c r="AE64" s="15">
        <f t="shared" si="56"/>
        <v>6.8938379999999994E-2</v>
      </c>
      <c r="AF64" s="6">
        <v>8.4000000000000005E-2</v>
      </c>
      <c r="AG64" s="6">
        <v>1.73</v>
      </c>
      <c r="AH64" s="12">
        <v>2.5</v>
      </c>
      <c r="AI64" s="12">
        <v>26</v>
      </c>
      <c r="AJ64" s="7">
        <v>71.5</v>
      </c>
      <c r="AK64" s="12">
        <v>1.8571428571428572</v>
      </c>
      <c r="AL64" s="12">
        <f t="shared" si="79"/>
        <v>0.31840409999999997</v>
      </c>
      <c r="AM64" s="12">
        <f t="shared" si="80"/>
        <v>0.55083909299999989</v>
      </c>
      <c r="AN64" s="18">
        <f t="shared" si="81"/>
        <v>1.3770977324999998E-2</v>
      </c>
      <c r="AO64" s="8">
        <f t="shared" si="82"/>
        <v>0.14321816417999997</v>
      </c>
      <c r="AP64" s="12">
        <f t="shared" si="83"/>
        <v>0.39384995149499991</v>
      </c>
      <c r="AQ64" s="12">
        <f t="shared" si="84"/>
        <v>1.0229868869999998</v>
      </c>
      <c r="AR64" s="18">
        <f t="shared" si="85"/>
        <v>2.1196288298640002E-2</v>
      </c>
      <c r="AS64" s="8">
        <f t="shared" si="86"/>
        <v>0.10526535067229999</v>
      </c>
      <c r="AT64" s="8">
        <f t="shared" si="87"/>
        <v>0.24347087910599993</v>
      </c>
      <c r="AU64" s="8">
        <f t="shared" si="88"/>
        <v>0.66954491754149981</v>
      </c>
      <c r="AV64" s="8">
        <f t="shared" si="89"/>
        <v>7.1609082089999987</v>
      </c>
      <c r="AW64" s="8">
        <f t="shared" si="90"/>
        <v>3.6033690107687991E-2</v>
      </c>
      <c r="AX64" s="8">
        <f t="shared" si="91"/>
        <v>0.17895109614290997</v>
      </c>
      <c r="AY64" s="495">
        <f t="shared" si="58"/>
        <v>0.27756315007429422</v>
      </c>
      <c r="AZ64" s="8">
        <f t="shared" si="92"/>
        <v>4.1416200000000007E-2</v>
      </c>
      <c r="BA64" s="6">
        <v>1.7</v>
      </c>
      <c r="BB64" s="6">
        <v>1.7</v>
      </c>
      <c r="BC64" s="6">
        <v>7</v>
      </c>
      <c r="BD64" s="9">
        <v>9.2999999999999999E-2</v>
      </c>
      <c r="BE64" s="9">
        <v>0.35</v>
      </c>
      <c r="BF64" s="15">
        <v>0.02</v>
      </c>
      <c r="BG64" s="9">
        <v>0.14000000000000001</v>
      </c>
      <c r="BH64" s="28">
        <f t="shared" si="93"/>
        <v>5.5919136000000006E-3</v>
      </c>
      <c r="BI64" s="15">
        <f t="shared" si="94"/>
        <v>2.7770652E-2</v>
      </c>
      <c r="BJ64" s="12">
        <v>0.6</v>
      </c>
      <c r="BK64" s="13">
        <v>1.25</v>
      </c>
      <c r="BL64" s="14">
        <v>30</v>
      </c>
      <c r="BM64" s="14">
        <v>30</v>
      </c>
      <c r="BN64" s="14">
        <v>40</v>
      </c>
      <c r="BO64" s="8">
        <f t="shared" si="95"/>
        <v>1.9104245999999997E-3</v>
      </c>
      <c r="BP64" s="8">
        <f t="shared" si="96"/>
        <v>2.3880307499999998E-3</v>
      </c>
      <c r="BQ64" s="8">
        <f t="shared" si="97"/>
        <v>7.1640922499999996E-4</v>
      </c>
      <c r="BR64" s="8">
        <f t="shared" si="98"/>
        <v>7.1640922499999996E-4</v>
      </c>
      <c r="BS64" s="8">
        <f t="shared" si="99"/>
        <v>9.5521229999999998E-4</v>
      </c>
      <c r="BT64" s="18">
        <f t="shared" si="100"/>
        <v>1.423266327E-4</v>
      </c>
      <c r="BU64" s="8">
        <f t="shared" si="101"/>
        <v>5.5402313399999996E-4</v>
      </c>
      <c r="BV64" s="8">
        <f t="shared" si="102"/>
        <v>1.2178956825E-3</v>
      </c>
      <c r="BW64" s="8">
        <f t="shared" si="103"/>
        <v>1.62386091E-3</v>
      </c>
      <c r="BX64" s="18">
        <f t="shared" si="104"/>
        <v>2.4195527559000001E-4</v>
      </c>
      <c r="BY64" s="8">
        <f t="shared" si="105"/>
        <v>9.4183932780000001E-4</v>
      </c>
      <c r="BZ64" s="12">
        <f t="shared" si="106"/>
        <v>0.6</v>
      </c>
      <c r="CA64" s="12">
        <f t="shared" si="61"/>
        <v>0.46604026845637581</v>
      </c>
      <c r="CB64" s="6">
        <v>1.7</v>
      </c>
      <c r="CC64" s="6">
        <v>1.7</v>
      </c>
      <c r="CD64" s="15">
        <v>0.16</v>
      </c>
      <c r="CE64" s="9">
        <v>0.48</v>
      </c>
      <c r="CF64" s="9">
        <v>2.9000000000000001E-2</v>
      </c>
      <c r="CG64" s="11">
        <v>0.22</v>
      </c>
      <c r="CH64" s="28">
        <f t="shared" si="122"/>
        <v>3.7548E-5</v>
      </c>
      <c r="CI64" s="15">
        <f t="shared" si="107"/>
        <v>1.4616E-4</v>
      </c>
      <c r="CJ64" s="12">
        <v>1</v>
      </c>
      <c r="CK64" s="12">
        <v>1.1000000000000001</v>
      </c>
      <c r="CL64" s="7">
        <v>10</v>
      </c>
      <c r="CM64" s="7">
        <v>30</v>
      </c>
      <c r="CN64" s="7">
        <v>60</v>
      </c>
      <c r="CO64" s="8">
        <f t="shared" si="108"/>
        <v>3.1840409999999999E-3</v>
      </c>
      <c r="CP64" s="8">
        <f t="shared" si="109"/>
        <v>3.5024451000000003E-3</v>
      </c>
      <c r="CQ64" s="18">
        <f t="shared" si="110"/>
        <v>3.5024451000000007E-4</v>
      </c>
      <c r="CR64" s="8">
        <f t="shared" si="111"/>
        <v>1.0507335300000001E-3</v>
      </c>
      <c r="CS64" s="8">
        <f t="shared" si="112"/>
        <v>2.1014670600000003E-3</v>
      </c>
      <c r="CT64" s="18">
        <f t="shared" si="113"/>
        <v>2.0804523893999999E-4</v>
      </c>
      <c r="CU64" s="8">
        <f t="shared" si="114"/>
        <v>8.510941593E-4</v>
      </c>
      <c r="CV64" s="8">
        <f t="shared" si="115"/>
        <v>1.7862470010000001E-3</v>
      </c>
      <c r="CW64" s="8">
        <f t="shared" si="116"/>
        <v>3.5724940020000003E-3</v>
      </c>
      <c r="CX64" s="18">
        <f t="shared" si="117"/>
        <v>3.5367690619800003E-4</v>
      </c>
      <c r="CY64" s="8">
        <f t="shared" si="118"/>
        <v>1.4468600708100001E-3</v>
      </c>
      <c r="CZ64" s="12">
        <f t="shared" si="119"/>
        <v>0.4</v>
      </c>
      <c r="DA64" s="12">
        <f t="shared" si="63"/>
        <v>0.31478527607361967</v>
      </c>
      <c r="DB64" s="6">
        <v>1.7</v>
      </c>
      <c r="DC64" s="6">
        <v>1.7</v>
      </c>
      <c r="DD64" s="9">
        <v>0.14399999999999999</v>
      </c>
      <c r="DE64" s="9">
        <v>0.43</v>
      </c>
      <c r="DF64" s="15">
        <v>2.7E-2</v>
      </c>
      <c r="DG64" s="13">
        <v>0.19</v>
      </c>
      <c r="DH64" s="28">
        <f t="shared" si="120"/>
        <v>5.4885600000000002E-5</v>
      </c>
      <c r="DI64" s="29">
        <f t="shared" si="121"/>
        <v>2.2453200000000002E-4</v>
      </c>
    </row>
    <row r="65" spans="1:113" x14ac:dyDescent="0.25">
      <c r="A65" s="85">
        <v>57</v>
      </c>
      <c r="B65" s="35" t="s">
        <v>26</v>
      </c>
      <c r="C65" s="35" t="s">
        <v>28</v>
      </c>
      <c r="D65" s="19" t="s">
        <v>180</v>
      </c>
      <c r="E65" s="9">
        <v>2</v>
      </c>
      <c r="F65" s="9">
        <v>50</v>
      </c>
      <c r="G65" s="32" t="s">
        <v>99</v>
      </c>
      <c r="H65" s="19" t="s">
        <v>99</v>
      </c>
      <c r="I65" s="31" t="s">
        <v>99</v>
      </c>
      <c r="J65" s="32" t="s">
        <v>99</v>
      </c>
      <c r="K65" s="2" t="str">
        <f t="shared" si="64"/>
        <v>Statlig Landsbygd ML 50 - - -</v>
      </c>
      <c r="L65" s="2"/>
      <c r="M65" s="50" t="s">
        <v>78</v>
      </c>
      <c r="N65" s="53">
        <f>'Beräkna - Länk'!$C$26</f>
        <v>1</v>
      </c>
      <c r="O65" s="53">
        <f>'Beräkna - Länk'!$C$24/('Beräkna - Länk'!$C$27)^('Beräkna - Länk'!$C$25-2010)</f>
        <v>10385</v>
      </c>
      <c r="P65" s="13">
        <f t="shared" si="65"/>
        <v>3.7905249999999997</v>
      </c>
      <c r="Q65" s="13">
        <f t="shared" si="66"/>
        <v>0.38341160375</v>
      </c>
      <c r="R65" s="13">
        <f t="shared" si="67"/>
        <v>0.61192340337499995</v>
      </c>
      <c r="S65" s="28">
        <f t="shared" si="68"/>
        <v>8.3675839375000009E-3</v>
      </c>
      <c r="T65" s="15">
        <f t="shared" si="69"/>
        <v>7.8602221662499999E-2</v>
      </c>
      <c r="U65" s="13">
        <f t="shared" si="70"/>
        <v>0.52495359777500006</v>
      </c>
      <c r="V65" s="13">
        <f t="shared" si="71"/>
        <v>1.4151293333333335</v>
      </c>
      <c r="W65" s="15">
        <f t="shared" si="72"/>
        <v>1.68929143634E-2</v>
      </c>
      <c r="X65" s="15">
        <f t="shared" si="73"/>
        <v>9.8917786784125009E-2</v>
      </c>
      <c r="Y65" s="15">
        <f t="shared" si="74"/>
        <v>0.13362377682624998</v>
      </c>
      <c r="Z65" s="14">
        <f t="shared" si="75"/>
        <v>0.89242111621750009</v>
      </c>
      <c r="AA65" s="14">
        <f t="shared" si="76"/>
        <v>9.9059053333333349</v>
      </c>
      <c r="AB65" s="13">
        <f t="shared" si="77"/>
        <v>2.8717954417780002E-2</v>
      </c>
      <c r="AC65" s="14">
        <f t="shared" si="78"/>
        <v>0.16816023753301249</v>
      </c>
      <c r="AD65" s="13">
        <f t="shared" si="55"/>
        <v>0.13726764121999635</v>
      </c>
      <c r="AE65" s="15">
        <f t="shared" si="56"/>
        <v>3.7459550000000001E-2</v>
      </c>
      <c r="AF65" s="8">
        <v>0.1</v>
      </c>
      <c r="AG65" s="12">
        <v>1.6</v>
      </c>
      <c r="AH65" s="12">
        <v>1.3</v>
      </c>
      <c r="AI65" s="12">
        <v>12.7</v>
      </c>
      <c r="AJ65" s="7">
        <v>86</v>
      </c>
      <c r="AK65" s="12">
        <v>2.3333333333333335</v>
      </c>
      <c r="AL65" s="12">
        <f t="shared" si="79"/>
        <v>0.37905250000000001</v>
      </c>
      <c r="AM65" s="12">
        <f t="shared" si="80"/>
        <v>0.60648400000000002</v>
      </c>
      <c r="AN65" s="18">
        <f t="shared" si="81"/>
        <v>7.8842920000000011E-3</v>
      </c>
      <c r="AO65" s="8">
        <f t="shared" si="82"/>
        <v>7.7023467999999998E-2</v>
      </c>
      <c r="AP65" s="12">
        <f t="shared" si="83"/>
        <v>0.52157624000000002</v>
      </c>
      <c r="AQ65" s="12">
        <f t="shared" si="84"/>
        <v>1.4151293333333335</v>
      </c>
      <c r="AR65" s="18">
        <f t="shared" si="85"/>
        <v>1.6593402239999999E-2</v>
      </c>
      <c r="AS65" s="8">
        <f t="shared" si="86"/>
        <v>9.7492303000000016E-2</v>
      </c>
      <c r="AT65" s="8">
        <f t="shared" si="87"/>
        <v>0.13093989559999999</v>
      </c>
      <c r="AU65" s="8">
        <f t="shared" si="88"/>
        <v>0.88667960800000001</v>
      </c>
      <c r="AV65" s="8">
        <f t="shared" si="89"/>
        <v>9.9059053333333349</v>
      </c>
      <c r="AW65" s="8">
        <f t="shared" si="90"/>
        <v>2.8208783808000001E-2</v>
      </c>
      <c r="AX65" s="8">
        <f t="shared" si="91"/>
        <v>0.16573691509999999</v>
      </c>
      <c r="AY65" s="495">
        <f t="shared" si="58"/>
        <v>0.13537169554675024</v>
      </c>
      <c r="AZ65" s="8">
        <f t="shared" si="92"/>
        <v>2.2400000000000003E-2</v>
      </c>
      <c r="BA65" s="6">
        <v>1.7</v>
      </c>
      <c r="BB65" s="6">
        <v>1.7</v>
      </c>
      <c r="BC65" s="6">
        <v>7</v>
      </c>
      <c r="BD65" s="8">
        <v>0.08</v>
      </c>
      <c r="BE65" s="6">
        <v>0.25</v>
      </c>
      <c r="BF65" s="8">
        <v>0.02</v>
      </c>
      <c r="BG65" s="6">
        <v>0.15</v>
      </c>
      <c r="BH65" s="18">
        <f t="shared" si="93"/>
        <v>4.3776000000000006E-3</v>
      </c>
      <c r="BI65" s="8">
        <f t="shared" si="94"/>
        <v>2.5720000000000007E-2</v>
      </c>
      <c r="BJ65" s="12">
        <v>0.95</v>
      </c>
      <c r="BK65" s="13">
        <v>1.3</v>
      </c>
      <c r="BL65" s="14">
        <v>10</v>
      </c>
      <c r="BM65" s="14">
        <v>30</v>
      </c>
      <c r="BN65" s="14">
        <v>60</v>
      </c>
      <c r="BO65" s="8">
        <f t="shared" si="95"/>
        <v>3.6009987500000003E-3</v>
      </c>
      <c r="BP65" s="8">
        <f t="shared" si="96"/>
        <v>4.6812983750000002E-3</v>
      </c>
      <c r="BQ65" s="8">
        <f t="shared" si="97"/>
        <v>4.6812983750000003E-4</v>
      </c>
      <c r="BR65" s="8">
        <f t="shared" si="98"/>
        <v>1.4043895124999999E-3</v>
      </c>
      <c r="BS65" s="8">
        <f t="shared" si="99"/>
        <v>2.8087790249999999E-3</v>
      </c>
      <c r="BT65" s="18">
        <f t="shared" si="100"/>
        <v>2.6402522835000002E-4</v>
      </c>
      <c r="BU65" s="8">
        <f t="shared" si="101"/>
        <v>1.2499066661249998E-3</v>
      </c>
      <c r="BV65" s="8">
        <f t="shared" si="102"/>
        <v>2.3874621712499998E-3</v>
      </c>
      <c r="BW65" s="8">
        <f t="shared" si="103"/>
        <v>4.7749243424999996E-3</v>
      </c>
      <c r="BX65" s="18">
        <f t="shared" si="104"/>
        <v>4.4884288819499999E-4</v>
      </c>
      <c r="BY65" s="8">
        <f t="shared" si="105"/>
        <v>2.1248413324125E-3</v>
      </c>
      <c r="BZ65" s="12">
        <f t="shared" si="106"/>
        <v>0.4</v>
      </c>
      <c r="CA65" s="12">
        <f t="shared" si="61"/>
        <v>0.33981595092024541</v>
      </c>
      <c r="CB65" s="6">
        <v>1.7</v>
      </c>
      <c r="CC65" s="6">
        <v>1.7</v>
      </c>
      <c r="CD65" s="15">
        <v>0.13</v>
      </c>
      <c r="CE65" s="9">
        <v>0.45</v>
      </c>
      <c r="CF65" s="9">
        <v>2.9000000000000001E-2</v>
      </c>
      <c r="CG65" s="11">
        <v>0.22</v>
      </c>
      <c r="CH65" s="28">
        <f t="shared" si="122"/>
        <v>6.9654000000000008E-5</v>
      </c>
      <c r="CI65" s="15">
        <f t="shared" si="107"/>
        <v>3.2974499999999999E-4</v>
      </c>
      <c r="CJ65" s="12">
        <v>0.2</v>
      </c>
      <c r="CK65" s="12">
        <v>1</v>
      </c>
      <c r="CL65" s="7">
        <v>2</v>
      </c>
      <c r="CM65" s="7">
        <v>23</v>
      </c>
      <c r="CN65" s="7">
        <v>75</v>
      </c>
      <c r="CO65" s="8">
        <f t="shared" si="108"/>
        <v>7.5810500000000002E-4</v>
      </c>
      <c r="CP65" s="8">
        <f t="shared" si="109"/>
        <v>7.5810500000000002E-4</v>
      </c>
      <c r="CQ65" s="18">
        <f t="shared" si="110"/>
        <v>1.51621E-5</v>
      </c>
      <c r="CR65" s="8">
        <f t="shared" si="111"/>
        <v>1.7436415000000001E-4</v>
      </c>
      <c r="CS65" s="8">
        <f t="shared" si="112"/>
        <v>5.6857874999999996E-4</v>
      </c>
      <c r="CT65" s="18">
        <f t="shared" si="113"/>
        <v>3.5486895050000003E-5</v>
      </c>
      <c r="CU65" s="8">
        <f t="shared" si="114"/>
        <v>1.7557711799999997E-4</v>
      </c>
      <c r="CV65" s="8">
        <f t="shared" si="115"/>
        <v>2.9641905500000002E-4</v>
      </c>
      <c r="CW65" s="8">
        <f t="shared" si="116"/>
        <v>9.6658387499999989E-4</v>
      </c>
      <c r="CX65" s="18">
        <f t="shared" si="117"/>
        <v>6.0327721584999997E-5</v>
      </c>
      <c r="CY65" s="8">
        <f t="shared" si="118"/>
        <v>2.9848110059999997E-4</v>
      </c>
      <c r="CZ65" s="12">
        <f t="shared" si="119"/>
        <v>0.25</v>
      </c>
      <c r="DA65" s="12">
        <f t="shared" si="63"/>
        <v>0.24538552787663112</v>
      </c>
      <c r="DB65" s="6">
        <v>1.7</v>
      </c>
      <c r="DC65" s="6">
        <v>1.7</v>
      </c>
      <c r="DD65" s="9">
        <v>0.122</v>
      </c>
      <c r="DE65" s="9">
        <v>0.42</v>
      </c>
      <c r="DF65" s="15">
        <v>2.5000000000000001E-2</v>
      </c>
      <c r="DG65" s="13">
        <v>0.18</v>
      </c>
      <c r="DH65" s="28">
        <f t="shared" si="120"/>
        <v>9.3620000000000012E-6</v>
      </c>
      <c r="DI65" s="29">
        <f t="shared" si="121"/>
        <v>4.6319999999999997E-5</v>
      </c>
    </row>
    <row r="66" spans="1:113" x14ac:dyDescent="0.25">
      <c r="A66" s="85">
        <v>58</v>
      </c>
      <c r="B66" s="35" t="s">
        <v>26</v>
      </c>
      <c r="C66" s="35" t="s">
        <v>28</v>
      </c>
      <c r="D66" s="19" t="s">
        <v>180</v>
      </c>
      <c r="E66" s="9">
        <v>2</v>
      </c>
      <c r="F66" s="9">
        <v>70</v>
      </c>
      <c r="G66" s="32" t="s">
        <v>99</v>
      </c>
      <c r="H66" s="19" t="s">
        <v>99</v>
      </c>
      <c r="I66" s="31" t="s">
        <v>99</v>
      </c>
      <c r="J66" s="32" t="s">
        <v>99</v>
      </c>
      <c r="K66" s="2" t="str">
        <f t="shared" si="64"/>
        <v>Statlig Landsbygd ML 70 - - -</v>
      </c>
      <c r="L66" s="2"/>
      <c r="M66" s="50" t="s">
        <v>77</v>
      </c>
      <c r="N66" s="53">
        <f>'Beräkna - Länk'!$C$26</f>
        <v>1</v>
      </c>
      <c r="O66" s="53">
        <f>'Beräkna - Länk'!$C$24/('Beräkna - Länk'!$C$27)^('Beräkna - Länk'!$C$25-2010)</f>
        <v>10385</v>
      </c>
      <c r="P66" s="13">
        <f t="shared" si="65"/>
        <v>3.7905249999999997</v>
      </c>
      <c r="Q66" s="13">
        <f t="shared" si="66"/>
        <v>0.34507044337499998</v>
      </c>
      <c r="R66" s="13">
        <f t="shared" si="67"/>
        <v>0.58484578803749987</v>
      </c>
      <c r="S66" s="28">
        <f t="shared" si="68"/>
        <v>6.2344659937499996E-3</v>
      </c>
      <c r="T66" s="15">
        <f t="shared" si="69"/>
        <v>0.11741094329624999</v>
      </c>
      <c r="U66" s="13">
        <f t="shared" si="70"/>
        <v>0.46120037874749997</v>
      </c>
      <c r="V66" s="13">
        <f t="shared" si="71"/>
        <v>1.1774749022727271</v>
      </c>
      <c r="W66" s="15">
        <f t="shared" si="72"/>
        <v>2.0830597778317497E-2</v>
      </c>
      <c r="X66" s="15">
        <f t="shared" si="73"/>
        <v>0.10943028098865</v>
      </c>
      <c r="Y66" s="15">
        <f t="shared" si="74"/>
        <v>0.19959860360362494</v>
      </c>
      <c r="Z66" s="14">
        <f t="shared" si="75"/>
        <v>0.7840406438707499</v>
      </c>
      <c r="AA66" s="14">
        <f t="shared" si="76"/>
        <v>8.2423243159090891</v>
      </c>
      <c r="AB66" s="13">
        <f t="shared" si="77"/>
        <v>3.5412016223139747E-2</v>
      </c>
      <c r="AC66" s="14">
        <f t="shared" si="78"/>
        <v>0.18603147768070499</v>
      </c>
      <c r="AD66" s="13">
        <f t="shared" si="55"/>
        <v>0.20793871662296953</v>
      </c>
      <c r="AE66" s="15">
        <f t="shared" si="56"/>
        <v>5.4301994999999985E-2</v>
      </c>
      <c r="AF66" s="8">
        <v>0.09</v>
      </c>
      <c r="AG66" s="12">
        <v>1.7</v>
      </c>
      <c r="AH66" s="12">
        <v>1</v>
      </c>
      <c r="AI66" s="12">
        <v>20</v>
      </c>
      <c r="AJ66" s="7">
        <v>79</v>
      </c>
      <c r="AK66" s="12">
        <v>2.0303030303030303</v>
      </c>
      <c r="AL66" s="12">
        <f t="shared" si="79"/>
        <v>0.34114724999999996</v>
      </c>
      <c r="AM66" s="12">
        <f t="shared" si="80"/>
        <v>0.57995032499999988</v>
      </c>
      <c r="AN66" s="18">
        <f t="shared" si="81"/>
        <v>5.7995032499999991E-3</v>
      </c>
      <c r="AO66" s="8">
        <f t="shared" si="82"/>
        <v>0.11599006499999998</v>
      </c>
      <c r="AP66" s="12">
        <f t="shared" si="83"/>
        <v>0.45816075674999995</v>
      </c>
      <c r="AQ66" s="12">
        <f t="shared" si="84"/>
        <v>1.1774749022727271</v>
      </c>
      <c r="AR66" s="18">
        <f t="shared" si="85"/>
        <v>2.0518642498499995E-2</v>
      </c>
      <c r="AS66" s="8">
        <f t="shared" si="86"/>
        <v>0.10810274058</v>
      </c>
      <c r="AT66" s="8">
        <f t="shared" si="87"/>
        <v>0.19718311049999995</v>
      </c>
      <c r="AU66" s="8">
        <f t="shared" si="88"/>
        <v>0.77887328647499987</v>
      </c>
      <c r="AV66" s="8">
        <f t="shared" si="89"/>
        <v>8.2423243159090891</v>
      </c>
      <c r="AW66" s="8">
        <f t="shared" si="90"/>
        <v>3.488169224744999E-2</v>
      </c>
      <c r="AX66" s="8">
        <f t="shared" si="91"/>
        <v>0.18377465898599996</v>
      </c>
      <c r="AY66" s="495">
        <f t="shared" si="58"/>
        <v>0.2067336089781453</v>
      </c>
      <c r="AZ66" s="8">
        <f t="shared" si="92"/>
        <v>3.2130000000000006E-2</v>
      </c>
      <c r="BA66" s="6">
        <v>1.7</v>
      </c>
      <c r="BB66" s="6">
        <v>1.7</v>
      </c>
      <c r="BC66" s="6">
        <v>7</v>
      </c>
      <c r="BD66" s="15">
        <v>0.09</v>
      </c>
      <c r="BE66" s="13">
        <v>0.3</v>
      </c>
      <c r="BF66" s="9">
        <v>2.1999999999999999E-2</v>
      </c>
      <c r="BG66" s="9">
        <v>0.16</v>
      </c>
      <c r="BH66" s="28">
        <f t="shared" si="93"/>
        <v>5.4131399999999994E-3</v>
      </c>
      <c r="BI66" s="15">
        <f t="shared" si="94"/>
        <v>2.8519200000000001E-2</v>
      </c>
      <c r="BJ66" s="12">
        <v>0.95</v>
      </c>
      <c r="BK66" s="13">
        <v>1.3</v>
      </c>
      <c r="BL66" s="14">
        <v>10</v>
      </c>
      <c r="BM66" s="14">
        <v>30</v>
      </c>
      <c r="BN66" s="14">
        <v>60</v>
      </c>
      <c r="BO66" s="8">
        <f t="shared" si="95"/>
        <v>3.2408988749999994E-3</v>
      </c>
      <c r="BP66" s="8">
        <f t="shared" si="96"/>
        <v>4.2131685374999991E-3</v>
      </c>
      <c r="BQ66" s="8">
        <f t="shared" si="97"/>
        <v>4.2131685374999993E-4</v>
      </c>
      <c r="BR66" s="8">
        <f t="shared" si="98"/>
        <v>1.2639505612499996E-3</v>
      </c>
      <c r="BS66" s="8">
        <f t="shared" si="99"/>
        <v>2.5279011224999992E-3</v>
      </c>
      <c r="BT66" s="18">
        <f t="shared" si="100"/>
        <v>2.7554122235249999E-4</v>
      </c>
      <c r="BU66" s="8">
        <f t="shared" si="101"/>
        <v>1.1628345163499998E-3</v>
      </c>
      <c r="BV66" s="8">
        <f t="shared" si="102"/>
        <v>2.1487159541249993E-3</v>
      </c>
      <c r="BW66" s="8">
        <f t="shared" si="103"/>
        <v>4.2974319082499986E-3</v>
      </c>
      <c r="BX66" s="18">
        <f t="shared" si="104"/>
        <v>4.6842007799924984E-4</v>
      </c>
      <c r="BY66" s="8">
        <f t="shared" si="105"/>
        <v>1.9768186777949994E-3</v>
      </c>
      <c r="BZ66" s="12">
        <f t="shared" si="106"/>
        <v>0.4</v>
      </c>
      <c r="CA66" s="12">
        <f t="shared" si="61"/>
        <v>0.34920245398773009</v>
      </c>
      <c r="CB66" s="6">
        <v>1.7</v>
      </c>
      <c r="CC66" s="6">
        <v>1.7</v>
      </c>
      <c r="CD66" s="15">
        <v>0.16</v>
      </c>
      <c r="CE66" s="9">
        <v>0.48</v>
      </c>
      <c r="CF66" s="9">
        <v>2.9000000000000001E-2</v>
      </c>
      <c r="CG66" s="11">
        <v>0.22</v>
      </c>
      <c r="CH66" s="28">
        <f t="shared" si="122"/>
        <v>7.2692100000000008E-5</v>
      </c>
      <c r="CI66" s="15">
        <f t="shared" si="107"/>
        <v>3.06774E-4</v>
      </c>
      <c r="CJ66" s="12">
        <v>0.2</v>
      </c>
      <c r="CK66" s="12">
        <v>1</v>
      </c>
      <c r="CL66" s="7">
        <v>2</v>
      </c>
      <c r="CM66" s="7">
        <v>23</v>
      </c>
      <c r="CN66" s="7">
        <v>75</v>
      </c>
      <c r="CO66" s="8">
        <f t="shared" si="108"/>
        <v>6.8229449999999991E-4</v>
      </c>
      <c r="CP66" s="8">
        <f t="shared" si="109"/>
        <v>6.8229449999999991E-4</v>
      </c>
      <c r="CQ66" s="18">
        <f t="shared" si="110"/>
        <v>1.3645889999999999E-5</v>
      </c>
      <c r="CR66" s="8">
        <f t="shared" si="111"/>
        <v>1.5692773499999997E-4</v>
      </c>
      <c r="CS66" s="8">
        <f t="shared" si="112"/>
        <v>5.1172087499999999E-4</v>
      </c>
      <c r="CT66" s="18">
        <f t="shared" si="113"/>
        <v>3.641405746499999E-5</v>
      </c>
      <c r="CU66" s="8">
        <f t="shared" si="114"/>
        <v>1.6470589229999996E-4</v>
      </c>
      <c r="CV66" s="8">
        <f t="shared" si="115"/>
        <v>2.6677714949999994E-4</v>
      </c>
      <c r="CW66" s="8">
        <f t="shared" si="116"/>
        <v>8.6992548749999991E-4</v>
      </c>
      <c r="CX66" s="18">
        <f t="shared" si="117"/>
        <v>6.1903897690499985E-5</v>
      </c>
      <c r="CY66" s="8">
        <f t="shared" si="118"/>
        <v>2.8000001690999996E-4</v>
      </c>
      <c r="CZ66" s="12">
        <f t="shared" si="119"/>
        <v>0.25</v>
      </c>
      <c r="DA66" s="12">
        <f t="shared" si="63"/>
        <v>0.25526690391459073</v>
      </c>
      <c r="DB66" s="6">
        <v>1.7</v>
      </c>
      <c r="DC66" s="6">
        <v>1.7</v>
      </c>
      <c r="DD66" s="9">
        <v>0.14399999999999999</v>
      </c>
      <c r="DE66" s="9">
        <v>0.43</v>
      </c>
      <c r="DF66" s="15">
        <v>2.7E-2</v>
      </c>
      <c r="DG66" s="13">
        <v>0.19</v>
      </c>
      <c r="DH66" s="28">
        <f t="shared" si="120"/>
        <v>9.6065999999999988E-6</v>
      </c>
      <c r="DI66" s="29">
        <f t="shared" si="121"/>
        <v>4.3451999999999997E-5</v>
      </c>
    </row>
    <row r="67" spans="1:113" x14ac:dyDescent="0.25">
      <c r="A67" s="85">
        <v>59</v>
      </c>
      <c r="B67" s="35" t="s">
        <v>26</v>
      </c>
      <c r="C67" s="35" t="s">
        <v>28</v>
      </c>
      <c r="D67" s="19" t="s">
        <v>180</v>
      </c>
      <c r="E67" s="9">
        <v>2</v>
      </c>
      <c r="F67" s="9">
        <v>80</v>
      </c>
      <c r="G67" s="32" t="s">
        <v>99</v>
      </c>
      <c r="H67" s="19" t="s">
        <v>99</v>
      </c>
      <c r="I67" s="31" t="s">
        <v>99</v>
      </c>
      <c r="J67" s="32" t="s">
        <v>99</v>
      </c>
      <c r="K67" s="2" t="str">
        <f t="shared" si="64"/>
        <v>Statlig Landsbygd ML 80 - - -</v>
      </c>
      <c r="L67" s="2"/>
      <c r="M67" s="50" t="s">
        <v>76</v>
      </c>
      <c r="N67" s="53">
        <f>'Beräkna - Länk'!$C$26</f>
        <v>1</v>
      </c>
      <c r="O67" s="53">
        <f>'Beräkna - Länk'!$C$24/('Beräkna - Länk'!$C$27)^('Beräkna - Länk'!$C$25-2010)</f>
        <v>10385</v>
      </c>
      <c r="P67" s="13">
        <f t="shared" si="65"/>
        <v>3.7905249999999997</v>
      </c>
      <c r="Q67" s="13">
        <f t="shared" si="66"/>
        <v>0.30672928299999996</v>
      </c>
      <c r="R67" s="13">
        <f t="shared" si="67"/>
        <v>0.5198629226999999</v>
      </c>
      <c r="S67" s="28">
        <f t="shared" si="68"/>
        <v>1.8288525019999995E-2</v>
      </c>
      <c r="T67" s="15">
        <f t="shared" si="69"/>
        <v>0.11776857933</v>
      </c>
      <c r="U67" s="13">
        <f t="shared" si="70"/>
        <v>0.38380581834999994</v>
      </c>
      <c r="V67" s="13">
        <f t="shared" si="71"/>
        <v>0.95737831428571418</v>
      </c>
      <c r="W67" s="15">
        <f t="shared" si="72"/>
        <v>1.9144460437829997E-2</v>
      </c>
      <c r="X67" s="15">
        <f t="shared" si="73"/>
        <v>9.7085867747400009E-2</v>
      </c>
      <c r="Y67" s="15">
        <f t="shared" si="74"/>
        <v>0.20020658486099996</v>
      </c>
      <c r="Z67" s="14">
        <f t="shared" si="75"/>
        <v>0.65246989119499987</v>
      </c>
      <c r="AA67" s="14">
        <f t="shared" si="76"/>
        <v>6.7016481999999993</v>
      </c>
      <c r="AB67" s="13">
        <f t="shared" si="77"/>
        <v>3.2545582744310998E-2</v>
      </c>
      <c r="AC67" s="14">
        <f t="shared" si="78"/>
        <v>0.16504597517057998</v>
      </c>
      <c r="AD67" s="13">
        <f t="shared" si="55"/>
        <v>0.25086554524127685</v>
      </c>
      <c r="AE67" s="15">
        <f t="shared" si="56"/>
        <v>5.7642439999999996E-2</v>
      </c>
      <c r="AF67" s="8">
        <v>0.08</v>
      </c>
      <c r="AG67" s="12">
        <v>1.7</v>
      </c>
      <c r="AH67" s="12">
        <v>3.4</v>
      </c>
      <c r="AI67" s="12">
        <v>22.6</v>
      </c>
      <c r="AJ67" s="7">
        <v>74</v>
      </c>
      <c r="AK67" s="12">
        <v>1.8571428571428572</v>
      </c>
      <c r="AL67" s="12">
        <f t="shared" si="79"/>
        <v>0.30324199999999996</v>
      </c>
      <c r="AM67" s="12">
        <f t="shared" si="80"/>
        <v>0.51551139999999995</v>
      </c>
      <c r="AN67" s="18">
        <f t="shared" si="81"/>
        <v>1.7527387599999996E-2</v>
      </c>
      <c r="AO67" s="8">
        <f t="shared" si="82"/>
        <v>0.11650557639999999</v>
      </c>
      <c r="AP67" s="12">
        <f t="shared" si="83"/>
        <v>0.38147843599999992</v>
      </c>
      <c r="AQ67" s="12">
        <f t="shared" si="84"/>
        <v>0.95737831428571418</v>
      </c>
      <c r="AR67" s="18">
        <f t="shared" si="85"/>
        <v>1.8878027467999998E-2</v>
      </c>
      <c r="AS67" s="8">
        <f t="shared" si="86"/>
        <v>9.5988222680000013E-2</v>
      </c>
      <c r="AT67" s="8">
        <f t="shared" si="87"/>
        <v>0.19805947987999997</v>
      </c>
      <c r="AU67" s="8">
        <f t="shared" si="88"/>
        <v>0.64851334119999982</v>
      </c>
      <c r="AV67" s="8">
        <f t="shared" si="89"/>
        <v>6.7016481999999993</v>
      </c>
      <c r="AW67" s="8">
        <f t="shared" si="90"/>
        <v>3.2092646695599997E-2</v>
      </c>
      <c r="AX67" s="8">
        <f t="shared" si="91"/>
        <v>0.16317997855599997</v>
      </c>
      <c r="AY67" s="495">
        <f t="shared" si="58"/>
        <v>0.24949290060851928</v>
      </c>
      <c r="AZ67" s="8">
        <f t="shared" si="92"/>
        <v>3.5360000000000003E-2</v>
      </c>
      <c r="BA67" s="6">
        <v>1.7</v>
      </c>
      <c r="BB67" s="6">
        <v>1.7</v>
      </c>
      <c r="BC67" s="6">
        <v>7</v>
      </c>
      <c r="BD67" s="15">
        <v>0.09</v>
      </c>
      <c r="BE67" s="13">
        <v>0.3</v>
      </c>
      <c r="BF67" s="9">
        <v>2.1999999999999999E-2</v>
      </c>
      <c r="BG67" s="9">
        <v>0.16</v>
      </c>
      <c r="BH67" s="28">
        <f t="shared" si="93"/>
        <v>4.9803199999999999E-3</v>
      </c>
      <c r="BI67" s="15">
        <f t="shared" si="94"/>
        <v>2.5323200000000004E-2</v>
      </c>
      <c r="BJ67" s="12">
        <v>0.95</v>
      </c>
      <c r="BK67" s="13">
        <v>1.3</v>
      </c>
      <c r="BL67" s="7">
        <v>20</v>
      </c>
      <c r="BM67" s="14">
        <v>30</v>
      </c>
      <c r="BN67" s="7">
        <v>50</v>
      </c>
      <c r="BO67" s="8">
        <f t="shared" si="95"/>
        <v>2.8807989999999994E-3</v>
      </c>
      <c r="BP67" s="8">
        <f t="shared" si="96"/>
        <v>3.7450386999999994E-3</v>
      </c>
      <c r="BQ67" s="8">
        <f t="shared" si="97"/>
        <v>7.4900773999999996E-4</v>
      </c>
      <c r="BR67" s="8">
        <f t="shared" si="98"/>
        <v>1.1235116099999997E-3</v>
      </c>
      <c r="BS67" s="8">
        <f t="shared" si="99"/>
        <v>1.8725193499999997E-3</v>
      </c>
      <c r="BT67" s="18">
        <f t="shared" si="100"/>
        <v>2.3406491875000002E-4</v>
      </c>
      <c r="BU67" s="8">
        <f t="shared" si="101"/>
        <v>9.5123982980000008E-4</v>
      </c>
      <c r="BV67" s="8">
        <f t="shared" si="102"/>
        <v>1.9099697369999995E-3</v>
      </c>
      <c r="BW67" s="8">
        <f t="shared" si="103"/>
        <v>3.1832828949999994E-3</v>
      </c>
      <c r="BX67" s="18">
        <f t="shared" si="104"/>
        <v>3.9791036187499993E-4</v>
      </c>
      <c r="BY67" s="8">
        <f t="shared" si="105"/>
        <v>1.6171077106599996E-3</v>
      </c>
      <c r="BZ67" s="12">
        <f t="shared" si="106"/>
        <v>0.5</v>
      </c>
      <c r="CA67" s="12">
        <f t="shared" si="61"/>
        <v>0.40500000000000003</v>
      </c>
      <c r="CB67" s="6">
        <v>1.7</v>
      </c>
      <c r="CC67" s="6">
        <v>1.7</v>
      </c>
      <c r="CD67" s="15">
        <v>0.16</v>
      </c>
      <c r="CE67" s="9">
        <v>0.48</v>
      </c>
      <c r="CF67" s="9">
        <v>2.9000000000000001E-2</v>
      </c>
      <c r="CG67" s="11">
        <v>0.22</v>
      </c>
      <c r="CH67" s="28">
        <f t="shared" si="122"/>
        <v>6.175000000000001E-5</v>
      </c>
      <c r="CI67" s="15">
        <f t="shared" si="107"/>
        <v>2.5095200000000003E-4</v>
      </c>
      <c r="CJ67" s="12">
        <v>0.2</v>
      </c>
      <c r="CK67" s="12">
        <v>1</v>
      </c>
      <c r="CL67" s="7">
        <v>2</v>
      </c>
      <c r="CM67" s="7">
        <v>23</v>
      </c>
      <c r="CN67" s="7">
        <v>75</v>
      </c>
      <c r="CO67" s="8">
        <f t="shared" si="108"/>
        <v>6.0648399999999991E-4</v>
      </c>
      <c r="CP67" s="8">
        <f t="shared" si="109"/>
        <v>6.0648399999999991E-4</v>
      </c>
      <c r="CQ67" s="18">
        <f t="shared" si="110"/>
        <v>1.2129679999999999E-5</v>
      </c>
      <c r="CR67" s="8">
        <f t="shared" si="111"/>
        <v>1.3949131999999999E-4</v>
      </c>
      <c r="CS67" s="8">
        <f t="shared" si="112"/>
        <v>4.548629999999999E-4</v>
      </c>
      <c r="CT67" s="18">
        <f t="shared" si="113"/>
        <v>3.2368051079999997E-5</v>
      </c>
      <c r="CU67" s="8">
        <f t="shared" si="114"/>
        <v>1.4640523759999998E-4</v>
      </c>
      <c r="CV67" s="8">
        <f t="shared" si="115"/>
        <v>2.3713524399999997E-4</v>
      </c>
      <c r="CW67" s="8">
        <f t="shared" si="116"/>
        <v>7.7326709999999983E-4</v>
      </c>
      <c r="CX67" s="18">
        <f t="shared" si="117"/>
        <v>5.502568683599999E-5</v>
      </c>
      <c r="CY67" s="8">
        <f t="shared" si="118"/>
        <v>2.4888890391999995E-4</v>
      </c>
      <c r="CZ67" s="12">
        <f t="shared" si="119"/>
        <v>0.25</v>
      </c>
      <c r="DA67" s="12">
        <f t="shared" si="63"/>
        <v>0.25526690391459073</v>
      </c>
      <c r="DB67" s="6">
        <v>1.7</v>
      </c>
      <c r="DC67" s="6">
        <v>1.7</v>
      </c>
      <c r="DD67" s="9">
        <v>0.14399999999999999</v>
      </c>
      <c r="DE67" s="9">
        <v>0.43</v>
      </c>
      <c r="DF67" s="15">
        <v>2.7E-2</v>
      </c>
      <c r="DG67" s="13">
        <v>0.19</v>
      </c>
      <c r="DH67" s="28">
        <f t="shared" si="120"/>
        <v>8.5391999999999995E-6</v>
      </c>
      <c r="DI67" s="29">
        <f t="shared" si="121"/>
        <v>3.8624000000000002E-5</v>
      </c>
    </row>
    <row r="68" spans="1:113" x14ac:dyDescent="0.25">
      <c r="A68" s="85">
        <v>60</v>
      </c>
      <c r="B68" s="35" t="s">
        <v>26</v>
      </c>
      <c r="C68" s="35" t="s">
        <v>28</v>
      </c>
      <c r="D68" s="19" t="s">
        <v>180</v>
      </c>
      <c r="E68" s="9">
        <v>2</v>
      </c>
      <c r="F68" s="9">
        <v>90</v>
      </c>
      <c r="G68" s="32" t="s">
        <v>99</v>
      </c>
      <c r="H68" s="19" t="s">
        <v>99</v>
      </c>
      <c r="I68" s="31" t="s">
        <v>99</v>
      </c>
      <c r="J68" s="32" t="s">
        <v>99</v>
      </c>
      <c r="K68" s="2" t="str">
        <f t="shared" si="64"/>
        <v>Statlig Landsbygd ML 90 - - -</v>
      </c>
      <c r="L68" s="2"/>
      <c r="M68" s="50" t="s">
        <v>75</v>
      </c>
      <c r="N68" s="53">
        <f>'Beräkna - Länk'!$C$26</f>
        <v>1</v>
      </c>
      <c r="O68" s="53">
        <f>'Beräkna - Länk'!$C$24/('Beräkna - Länk'!$C$27)^('Beräkna - Länk'!$C$25-2010)</f>
        <v>10385</v>
      </c>
      <c r="P68" s="13">
        <f t="shared" si="65"/>
        <v>3.7905249999999997</v>
      </c>
      <c r="Q68" s="13">
        <f t="shared" si="66"/>
        <v>0.26838812262500006</v>
      </c>
      <c r="R68" s="13">
        <f t="shared" si="67"/>
        <v>0.44161321986250002</v>
      </c>
      <c r="S68" s="28">
        <f t="shared" si="68"/>
        <v>2.2556277117500002E-2</v>
      </c>
      <c r="T68" s="15">
        <f t="shared" si="69"/>
        <v>9.3044311438749999E-2</v>
      </c>
      <c r="U68" s="13">
        <f t="shared" si="70"/>
        <v>0.32601263130624997</v>
      </c>
      <c r="V68" s="13">
        <f t="shared" si="71"/>
        <v>0.81306761250000004</v>
      </c>
      <c r="W68" s="15">
        <f t="shared" si="72"/>
        <v>1.5635131175851247E-2</v>
      </c>
      <c r="X68" s="15">
        <f t="shared" si="73"/>
        <v>8.0378382076474991E-2</v>
      </c>
      <c r="Y68" s="15">
        <f t="shared" si="74"/>
        <v>0.15817532944587501</v>
      </c>
      <c r="Z68" s="14">
        <f t="shared" si="75"/>
        <v>0.55422147322062498</v>
      </c>
      <c r="AA68" s="14">
        <f t="shared" si="76"/>
        <v>5.6914732875</v>
      </c>
      <c r="AB68" s="13">
        <f t="shared" si="77"/>
        <v>2.657972299894712E-2</v>
      </c>
      <c r="AC68" s="14">
        <f t="shared" si="78"/>
        <v>0.13664324953000753</v>
      </c>
      <c r="AD68" s="13">
        <f t="shared" si="55"/>
        <v>0.24590904036553102</v>
      </c>
      <c r="AE68" s="15">
        <f t="shared" si="56"/>
        <v>4.7679835000000004E-2</v>
      </c>
      <c r="AF68" s="8">
        <v>7.0000000000000007E-2</v>
      </c>
      <c r="AG68" s="6">
        <v>1.65</v>
      </c>
      <c r="AH68" s="12">
        <v>5</v>
      </c>
      <c r="AI68" s="12">
        <v>21</v>
      </c>
      <c r="AJ68" s="7">
        <v>74</v>
      </c>
      <c r="AK68" s="12">
        <v>1.8571428571428572</v>
      </c>
      <c r="AL68" s="12">
        <f t="shared" si="79"/>
        <v>0.26533675000000001</v>
      </c>
      <c r="AM68" s="12">
        <f t="shared" si="80"/>
        <v>0.43780563750000001</v>
      </c>
      <c r="AN68" s="18">
        <f t="shared" si="81"/>
        <v>2.1890281875000001E-2</v>
      </c>
      <c r="AO68" s="8">
        <f t="shared" si="82"/>
        <v>9.1939183874999997E-2</v>
      </c>
      <c r="AP68" s="12">
        <f t="shared" si="83"/>
        <v>0.32397617174999999</v>
      </c>
      <c r="AQ68" s="12">
        <f t="shared" si="84"/>
        <v>0.81306761250000004</v>
      </c>
      <c r="AR68" s="18">
        <f t="shared" si="85"/>
        <v>1.5402002327249998E-2</v>
      </c>
      <c r="AS68" s="8">
        <f t="shared" si="86"/>
        <v>7.9417942642499989E-2</v>
      </c>
      <c r="AT68" s="8">
        <f t="shared" si="87"/>
        <v>0.15629661258749999</v>
      </c>
      <c r="AU68" s="8">
        <f t="shared" si="88"/>
        <v>0.55075949197499996</v>
      </c>
      <c r="AV68" s="8">
        <f t="shared" si="89"/>
        <v>5.6914732875</v>
      </c>
      <c r="AW68" s="8">
        <f t="shared" si="90"/>
        <v>2.6183403956324999E-2</v>
      </c>
      <c r="AX68" s="8">
        <f t="shared" si="91"/>
        <v>0.13501050249225</v>
      </c>
      <c r="AY68" s="495">
        <f t="shared" si="58"/>
        <v>0.24444444444444444</v>
      </c>
      <c r="AZ68" s="8">
        <f t="shared" si="92"/>
        <v>3.0030000000000001E-2</v>
      </c>
      <c r="BA68" s="6">
        <v>1.7</v>
      </c>
      <c r="BB68" s="6">
        <v>1.7</v>
      </c>
      <c r="BC68" s="6">
        <v>7</v>
      </c>
      <c r="BD68" s="15">
        <v>0.09</v>
      </c>
      <c r="BE68" s="13">
        <v>0.3</v>
      </c>
      <c r="BF68" s="9">
        <v>2.1999999999999999E-2</v>
      </c>
      <c r="BG68" s="9">
        <v>0.16</v>
      </c>
      <c r="BH68" s="28">
        <f t="shared" si="93"/>
        <v>4.0632899999999998E-3</v>
      </c>
      <c r="BI68" s="15">
        <f t="shared" si="94"/>
        <v>2.09517E-2</v>
      </c>
      <c r="BJ68" s="12">
        <v>0.95</v>
      </c>
      <c r="BK68" s="13">
        <v>1.3</v>
      </c>
      <c r="BL68" s="7">
        <v>20</v>
      </c>
      <c r="BM68" s="14">
        <v>30</v>
      </c>
      <c r="BN68" s="7">
        <v>50</v>
      </c>
      <c r="BO68" s="8">
        <f t="shared" si="95"/>
        <v>2.5206991249999999E-3</v>
      </c>
      <c r="BP68" s="8">
        <f t="shared" si="96"/>
        <v>3.2769088625000001E-3</v>
      </c>
      <c r="BQ68" s="8">
        <f t="shared" si="97"/>
        <v>6.5538177250000008E-4</v>
      </c>
      <c r="BR68" s="8">
        <f t="shared" si="98"/>
        <v>9.8307265875000006E-4</v>
      </c>
      <c r="BS68" s="8">
        <f t="shared" si="99"/>
        <v>1.63845443125E-3</v>
      </c>
      <c r="BT68" s="18">
        <f t="shared" si="100"/>
        <v>2.0480680390625E-4</v>
      </c>
      <c r="BU68" s="8">
        <f t="shared" si="101"/>
        <v>8.3233485107499997E-4</v>
      </c>
      <c r="BV68" s="8">
        <f t="shared" si="102"/>
        <v>1.6712235198750001E-3</v>
      </c>
      <c r="BW68" s="8">
        <f t="shared" si="103"/>
        <v>2.7853725331249998E-3</v>
      </c>
      <c r="BX68" s="18">
        <f t="shared" si="104"/>
        <v>3.4817156664062503E-4</v>
      </c>
      <c r="BY68" s="8">
        <f t="shared" si="105"/>
        <v>1.4149692468275001E-3</v>
      </c>
      <c r="BZ68" s="12">
        <f t="shared" si="106"/>
        <v>0.5</v>
      </c>
      <c r="CA68" s="12">
        <f t="shared" si="61"/>
        <v>0.40500000000000003</v>
      </c>
      <c r="CB68" s="6">
        <v>1.7</v>
      </c>
      <c r="CC68" s="6">
        <v>1.7</v>
      </c>
      <c r="CD68" s="15">
        <v>0.16</v>
      </c>
      <c r="CE68" s="9">
        <v>0.48</v>
      </c>
      <c r="CF68" s="9">
        <v>2.9000000000000001E-2</v>
      </c>
      <c r="CG68" s="11">
        <v>0.22</v>
      </c>
      <c r="CH68" s="28">
        <f t="shared" si="122"/>
        <v>5.4031250000000002E-5</v>
      </c>
      <c r="CI68" s="15">
        <f t="shared" si="107"/>
        <v>2.19583E-4</v>
      </c>
      <c r="CJ68" s="12">
        <v>0.2</v>
      </c>
      <c r="CK68" s="12">
        <v>1</v>
      </c>
      <c r="CL68" s="7">
        <v>2</v>
      </c>
      <c r="CM68" s="7">
        <v>23</v>
      </c>
      <c r="CN68" s="7">
        <v>75</v>
      </c>
      <c r="CO68" s="8">
        <f t="shared" si="108"/>
        <v>5.3067350000000001E-4</v>
      </c>
      <c r="CP68" s="8">
        <f t="shared" si="109"/>
        <v>5.3067350000000001E-4</v>
      </c>
      <c r="CQ68" s="18">
        <f t="shared" si="110"/>
        <v>1.0613470000000001E-5</v>
      </c>
      <c r="CR68" s="8">
        <f t="shared" si="111"/>
        <v>1.2205490500000001E-4</v>
      </c>
      <c r="CS68" s="8">
        <f t="shared" si="112"/>
        <v>3.9800512500000004E-4</v>
      </c>
      <c r="CT68" s="18">
        <f t="shared" si="113"/>
        <v>2.8322044695000001E-5</v>
      </c>
      <c r="CU68" s="8">
        <f t="shared" si="114"/>
        <v>1.281045829E-4</v>
      </c>
      <c r="CV68" s="8">
        <f t="shared" si="115"/>
        <v>2.074933385E-4</v>
      </c>
      <c r="CW68" s="8">
        <f t="shared" si="116"/>
        <v>6.7660871250000006E-4</v>
      </c>
      <c r="CX68" s="18">
        <f t="shared" si="117"/>
        <v>4.8147475981499994E-5</v>
      </c>
      <c r="CY68" s="8">
        <f t="shared" si="118"/>
        <v>2.1777779093000001E-4</v>
      </c>
      <c r="CZ68" s="12">
        <f t="shared" si="119"/>
        <v>0.25</v>
      </c>
      <c r="DA68" s="12">
        <f t="shared" si="63"/>
        <v>0.25526690391459078</v>
      </c>
      <c r="DB68" s="6">
        <v>1.7</v>
      </c>
      <c r="DC68" s="6">
        <v>1.7</v>
      </c>
      <c r="DD68" s="9">
        <v>0.14399999999999999</v>
      </c>
      <c r="DE68" s="9">
        <v>0.43</v>
      </c>
      <c r="DF68" s="15">
        <v>2.7E-2</v>
      </c>
      <c r="DG68" s="13">
        <v>0.19</v>
      </c>
      <c r="DH68" s="28">
        <f t="shared" si="120"/>
        <v>7.471800000000001E-6</v>
      </c>
      <c r="DI68" s="29">
        <f t="shared" si="121"/>
        <v>3.3796000000000006E-5</v>
      </c>
    </row>
    <row r="69" spans="1:113" x14ac:dyDescent="0.25">
      <c r="A69" s="85">
        <v>61</v>
      </c>
      <c r="B69" s="35" t="s">
        <v>26</v>
      </c>
      <c r="C69" s="35" t="s">
        <v>28</v>
      </c>
      <c r="D69" s="19" t="s">
        <v>180</v>
      </c>
      <c r="E69" s="9">
        <v>2</v>
      </c>
      <c r="F69" s="9">
        <v>100</v>
      </c>
      <c r="G69" s="32" t="s">
        <v>99</v>
      </c>
      <c r="H69" s="19" t="s">
        <v>99</v>
      </c>
      <c r="I69" s="31" t="s">
        <v>99</v>
      </c>
      <c r="J69" s="32" t="s">
        <v>99</v>
      </c>
      <c r="K69" s="2" t="str">
        <f t="shared" si="64"/>
        <v>Statlig Landsbygd ML 100 - - -</v>
      </c>
      <c r="L69" s="2"/>
      <c r="M69" s="50" t="s">
        <v>74</v>
      </c>
      <c r="N69" s="53">
        <f>'Beräkna - Länk'!$C$26</f>
        <v>1</v>
      </c>
      <c r="O69" s="53">
        <f>'Beräkna - Länk'!$C$24/('Beräkna - Länk'!$C$27)^('Beräkna - Länk'!$C$25-2010)</f>
        <v>10385</v>
      </c>
      <c r="P69" s="13">
        <f t="shared" si="65"/>
        <v>3.7905249999999997</v>
      </c>
      <c r="Q69" s="13">
        <f t="shared" si="66"/>
        <v>0.26838812262500006</v>
      </c>
      <c r="R69" s="13">
        <f t="shared" si="67"/>
        <v>0.46284015986250004</v>
      </c>
      <c r="S69" s="28">
        <f t="shared" si="68"/>
        <v>2.6076632448125001E-2</v>
      </c>
      <c r="T69" s="15">
        <f t="shared" si="69"/>
        <v>0.10455130294437502</v>
      </c>
      <c r="U69" s="13">
        <f t="shared" si="70"/>
        <v>0.33221222447000004</v>
      </c>
      <c r="V69" s="13">
        <f t="shared" si="71"/>
        <v>0.85248907250000006</v>
      </c>
      <c r="W69" s="15">
        <f t="shared" si="72"/>
        <v>1.7849150105149997E-2</v>
      </c>
      <c r="X69" s="15">
        <f t="shared" si="73"/>
        <v>8.6897891759699988E-2</v>
      </c>
      <c r="Y69" s="15">
        <f t="shared" si="74"/>
        <v>0.17773721500543754</v>
      </c>
      <c r="Z69" s="14">
        <f t="shared" si="75"/>
        <v>0.56476078159900012</v>
      </c>
      <c r="AA69" s="14">
        <f t="shared" si="76"/>
        <v>5.9674235075000004</v>
      </c>
      <c r="AB69" s="13">
        <f t="shared" si="77"/>
        <v>3.0343555178755002E-2</v>
      </c>
      <c r="AC69" s="14">
        <f t="shared" si="78"/>
        <v>0.14772641599149006</v>
      </c>
      <c r="AD69" s="13">
        <f t="shared" si="55"/>
        <v>0.26518419909958252</v>
      </c>
      <c r="AE69" s="15">
        <f t="shared" si="56"/>
        <v>5.3769292500000017E-2</v>
      </c>
      <c r="AF69" s="8">
        <v>7.0000000000000007E-2</v>
      </c>
      <c r="AG69" s="6">
        <v>1.73</v>
      </c>
      <c r="AH69" s="12">
        <v>5.5</v>
      </c>
      <c r="AI69" s="12">
        <v>22.5</v>
      </c>
      <c r="AJ69" s="7">
        <v>72</v>
      </c>
      <c r="AK69" s="12">
        <v>1.8571428571428572</v>
      </c>
      <c r="AL69" s="12">
        <f t="shared" si="79"/>
        <v>0.26533675000000001</v>
      </c>
      <c r="AM69" s="12">
        <f t="shared" si="80"/>
        <v>0.45903257750000004</v>
      </c>
      <c r="AN69" s="18">
        <f t="shared" si="81"/>
        <v>2.5246791762500002E-2</v>
      </c>
      <c r="AO69" s="8">
        <f t="shared" si="82"/>
        <v>0.10328232993750001</v>
      </c>
      <c r="AP69" s="12">
        <f t="shared" si="83"/>
        <v>0.33050345580000007</v>
      </c>
      <c r="AQ69" s="12">
        <f t="shared" si="84"/>
        <v>0.85248907250000006</v>
      </c>
      <c r="AR69" s="18">
        <f t="shared" si="85"/>
        <v>1.7599309021349999E-2</v>
      </c>
      <c r="AS69" s="8">
        <f t="shared" si="86"/>
        <v>8.5930898507999995E-2</v>
      </c>
      <c r="AT69" s="8">
        <f t="shared" si="87"/>
        <v>0.17557996089375003</v>
      </c>
      <c r="AU69" s="8">
        <f t="shared" si="88"/>
        <v>0.5618558748600001</v>
      </c>
      <c r="AV69" s="8">
        <f t="shared" si="89"/>
        <v>5.9674235075000004</v>
      </c>
      <c r="AW69" s="8">
        <f t="shared" si="90"/>
        <v>2.9918825336295005E-2</v>
      </c>
      <c r="AX69" s="8">
        <f t="shared" si="91"/>
        <v>0.14608252746360004</v>
      </c>
      <c r="AY69" s="495">
        <f t="shared" si="58"/>
        <v>0.26331628046945527</v>
      </c>
      <c r="AZ69" s="8">
        <f t="shared" si="92"/>
        <v>3.3908000000000008E-2</v>
      </c>
      <c r="BA69" s="6">
        <v>1.7</v>
      </c>
      <c r="BB69" s="6">
        <v>1.7</v>
      </c>
      <c r="BC69" s="6">
        <v>7</v>
      </c>
      <c r="BD69" s="15">
        <v>0.1</v>
      </c>
      <c r="BE69" s="9">
        <v>0.32</v>
      </c>
      <c r="BF69" s="9">
        <v>2.1999999999999999E-2</v>
      </c>
      <c r="BG69" s="9">
        <v>0.16</v>
      </c>
      <c r="BH69" s="28">
        <f t="shared" si="93"/>
        <v>4.6429740000000002E-3</v>
      </c>
      <c r="BI69" s="15">
        <f t="shared" si="94"/>
        <v>2.266992E-2</v>
      </c>
      <c r="BJ69" s="12">
        <v>0.95</v>
      </c>
      <c r="BK69" s="13">
        <v>1.3</v>
      </c>
      <c r="BL69" s="7">
        <v>25</v>
      </c>
      <c r="BM69" s="7">
        <v>35</v>
      </c>
      <c r="BN69" s="7">
        <v>40</v>
      </c>
      <c r="BO69" s="8">
        <f t="shared" si="95"/>
        <v>2.5206991249999999E-3</v>
      </c>
      <c r="BP69" s="8">
        <f t="shared" si="96"/>
        <v>3.2769088625000001E-3</v>
      </c>
      <c r="BQ69" s="8">
        <f t="shared" si="97"/>
        <v>8.1922721562500001E-4</v>
      </c>
      <c r="BR69" s="8">
        <f t="shared" si="98"/>
        <v>1.146918101875E-3</v>
      </c>
      <c r="BS69" s="8">
        <f t="shared" si="99"/>
        <v>1.3107635450000002E-3</v>
      </c>
      <c r="BT69" s="18">
        <f t="shared" si="100"/>
        <v>2.2151903910500002E-4</v>
      </c>
      <c r="BU69" s="8">
        <f t="shared" si="101"/>
        <v>8.3888866880000006E-4</v>
      </c>
      <c r="BV69" s="8">
        <f t="shared" si="102"/>
        <v>1.9497607731875E-3</v>
      </c>
      <c r="BW69" s="8">
        <f t="shared" si="103"/>
        <v>2.2282980265000002E-3</v>
      </c>
      <c r="BX69" s="18">
        <f t="shared" si="104"/>
        <v>3.7658236647849998E-4</v>
      </c>
      <c r="BY69" s="8">
        <f t="shared" si="105"/>
        <v>1.4261107369599999E-3</v>
      </c>
      <c r="BZ69" s="12">
        <f t="shared" si="106"/>
        <v>0.6</v>
      </c>
      <c r="CA69" s="12">
        <f t="shared" si="61"/>
        <v>0.44931147540983613</v>
      </c>
      <c r="CB69" s="6">
        <v>1.7</v>
      </c>
      <c r="CC69" s="6">
        <v>1.7</v>
      </c>
      <c r="CD69" s="15">
        <v>0.16</v>
      </c>
      <c r="CE69" s="9">
        <v>0.48</v>
      </c>
      <c r="CF69" s="9">
        <v>2.9000000000000001E-2</v>
      </c>
      <c r="CG69" s="11">
        <v>0.22</v>
      </c>
      <c r="CH69" s="28">
        <f t="shared" si="122"/>
        <v>5.844020000000001E-5</v>
      </c>
      <c r="CI69" s="15">
        <f t="shared" si="107"/>
        <v>2.2131200000000004E-4</v>
      </c>
      <c r="CJ69" s="12">
        <v>0.2</v>
      </c>
      <c r="CK69" s="12">
        <v>1</v>
      </c>
      <c r="CL69" s="7">
        <v>2</v>
      </c>
      <c r="CM69" s="7">
        <v>23</v>
      </c>
      <c r="CN69" s="7">
        <v>75</v>
      </c>
      <c r="CO69" s="8">
        <f t="shared" si="108"/>
        <v>5.3067350000000001E-4</v>
      </c>
      <c r="CP69" s="8">
        <f t="shared" si="109"/>
        <v>5.3067350000000001E-4</v>
      </c>
      <c r="CQ69" s="18">
        <f t="shared" si="110"/>
        <v>1.0613470000000001E-5</v>
      </c>
      <c r="CR69" s="8">
        <f t="shared" si="111"/>
        <v>1.2205490500000001E-4</v>
      </c>
      <c r="CS69" s="8">
        <f t="shared" si="112"/>
        <v>3.9800512500000004E-4</v>
      </c>
      <c r="CT69" s="18">
        <f t="shared" si="113"/>
        <v>2.8322044695000001E-5</v>
      </c>
      <c r="CU69" s="8">
        <f t="shared" si="114"/>
        <v>1.281045829E-4</v>
      </c>
      <c r="CV69" s="8">
        <f t="shared" si="115"/>
        <v>2.074933385E-4</v>
      </c>
      <c r="CW69" s="8">
        <f t="shared" si="116"/>
        <v>6.7660871250000006E-4</v>
      </c>
      <c r="CX69" s="18">
        <f t="shared" si="117"/>
        <v>4.8147475981499994E-5</v>
      </c>
      <c r="CY69" s="8">
        <f t="shared" si="118"/>
        <v>2.1777779093000001E-4</v>
      </c>
      <c r="CZ69" s="12">
        <f t="shared" si="119"/>
        <v>0.25</v>
      </c>
      <c r="DA69" s="12">
        <f t="shared" si="63"/>
        <v>0.25526690391459078</v>
      </c>
      <c r="DB69" s="6">
        <v>1.7</v>
      </c>
      <c r="DC69" s="6">
        <v>1.7</v>
      </c>
      <c r="DD69" s="9">
        <v>0.14399999999999999</v>
      </c>
      <c r="DE69" s="9">
        <v>0.43</v>
      </c>
      <c r="DF69" s="15">
        <v>2.7E-2</v>
      </c>
      <c r="DG69" s="13">
        <v>0.19</v>
      </c>
      <c r="DH69" s="28">
        <f t="shared" si="120"/>
        <v>7.471800000000001E-6</v>
      </c>
      <c r="DI69" s="29">
        <f t="shared" si="121"/>
        <v>3.3796000000000006E-5</v>
      </c>
    </row>
    <row r="70" spans="1:113" x14ac:dyDescent="0.25">
      <c r="A70" s="85">
        <v>62</v>
      </c>
      <c r="B70" s="35" t="s">
        <v>26</v>
      </c>
      <c r="C70" s="35" t="s">
        <v>28</v>
      </c>
      <c r="D70" s="19" t="s">
        <v>180</v>
      </c>
      <c r="E70" s="9">
        <v>2</v>
      </c>
      <c r="F70" s="9">
        <v>110</v>
      </c>
      <c r="G70" s="32" t="s">
        <v>99</v>
      </c>
      <c r="H70" s="19" t="s">
        <v>99</v>
      </c>
      <c r="I70" s="31" t="s">
        <v>99</v>
      </c>
      <c r="J70" s="32" t="s">
        <v>99</v>
      </c>
      <c r="K70" s="2" t="str">
        <f t="shared" si="64"/>
        <v>Statlig Landsbygd ML 110 - - -</v>
      </c>
      <c r="L70" s="2"/>
      <c r="M70" s="50" t="s">
        <v>73</v>
      </c>
      <c r="N70" s="53">
        <f>'Beräkna - Länk'!$C$26</f>
        <v>1</v>
      </c>
      <c r="O70" s="53">
        <f>'Beräkna - Länk'!$C$24/('Beräkna - Länk'!$C$27)^('Beräkna - Länk'!$C$25-2010)</f>
        <v>10385</v>
      </c>
      <c r="P70" s="13">
        <f t="shared" si="65"/>
        <v>3.7905249999999997</v>
      </c>
      <c r="Q70" s="13">
        <f t="shared" si="66"/>
        <v>0.26838812262500006</v>
      </c>
      <c r="R70" s="13">
        <f t="shared" si="67"/>
        <v>0.48141373236250001</v>
      </c>
      <c r="S70" s="28">
        <f t="shared" si="68"/>
        <v>2.9486209685625001E-2</v>
      </c>
      <c r="T70" s="15">
        <f t="shared" si="69"/>
        <v>0.11589444900687501</v>
      </c>
      <c r="U70" s="13">
        <f t="shared" si="70"/>
        <v>0.33603307367000002</v>
      </c>
      <c r="V70" s="13">
        <f t="shared" si="71"/>
        <v>0.88698284999999999</v>
      </c>
      <c r="W70" s="15">
        <f t="shared" si="72"/>
        <v>1.9067523393800002E-2</v>
      </c>
      <c r="X70" s="15">
        <f t="shared" si="73"/>
        <v>9.1139034371700026E-2</v>
      </c>
      <c r="Y70" s="15">
        <f t="shared" si="74"/>
        <v>0.19702056331168752</v>
      </c>
      <c r="Z70" s="14">
        <f t="shared" si="75"/>
        <v>0.5712562252390001</v>
      </c>
      <c r="AA70" s="14">
        <f t="shared" si="76"/>
        <v>6.20887995</v>
      </c>
      <c r="AB70" s="13">
        <f t="shared" si="77"/>
        <v>3.2414789769460009E-2</v>
      </c>
      <c r="AC70" s="14">
        <f t="shared" si="78"/>
        <v>0.15493635843189002</v>
      </c>
      <c r="AD70" s="13">
        <f t="shared" si="55"/>
        <v>0.28392739886165658</v>
      </c>
      <c r="AE70" s="15">
        <f t="shared" si="56"/>
        <v>5.9756042500000016E-2</v>
      </c>
      <c r="AF70" s="8">
        <v>7.0000000000000007E-2</v>
      </c>
      <c r="AG70" s="12">
        <v>1.8</v>
      </c>
      <c r="AH70" s="12">
        <v>6</v>
      </c>
      <c r="AI70" s="12">
        <v>24</v>
      </c>
      <c r="AJ70" s="7">
        <v>70</v>
      </c>
      <c r="AK70" s="12">
        <v>1.8571428571428572</v>
      </c>
      <c r="AL70" s="12">
        <f t="shared" si="79"/>
        <v>0.26533675000000001</v>
      </c>
      <c r="AM70" s="12">
        <f t="shared" si="80"/>
        <v>0.47760615000000001</v>
      </c>
      <c r="AN70" s="18">
        <f t="shared" si="81"/>
        <v>2.8656369000000001E-2</v>
      </c>
      <c r="AO70" s="8">
        <f t="shared" si="82"/>
        <v>0.114625476</v>
      </c>
      <c r="AP70" s="12">
        <f t="shared" si="83"/>
        <v>0.33432430500000004</v>
      </c>
      <c r="AQ70" s="12">
        <f t="shared" si="84"/>
        <v>0.88698284999999999</v>
      </c>
      <c r="AR70" s="18">
        <f t="shared" si="85"/>
        <v>1.8817682310000004E-2</v>
      </c>
      <c r="AS70" s="8">
        <f t="shared" si="86"/>
        <v>9.0172041120000032E-2</v>
      </c>
      <c r="AT70" s="8">
        <f t="shared" si="87"/>
        <v>0.1948633092</v>
      </c>
      <c r="AU70" s="8">
        <f t="shared" si="88"/>
        <v>0.56835131850000009</v>
      </c>
      <c r="AV70" s="8">
        <f t="shared" si="89"/>
        <v>6.20887995</v>
      </c>
      <c r="AW70" s="8">
        <f t="shared" si="90"/>
        <v>3.1990059927000006E-2</v>
      </c>
      <c r="AX70" s="8">
        <f t="shared" si="91"/>
        <v>0.15329246990400003</v>
      </c>
      <c r="AY70" s="495">
        <f t="shared" si="58"/>
        <v>0.28226779252110973</v>
      </c>
      <c r="AZ70" s="8">
        <f t="shared" si="92"/>
        <v>3.7800000000000007E-2</v>
      </c>
      <c r="BA70" s="6">
        <v>1.7</v>
      </c>
      <c r="BB70" s="6">
        <v>1.7</v>
      </c>
      <c r="BC70" s="6">
        <v>7</v>
      </c>
      <c r="BD70" s="15">
        <v>0.1</v>
      </c>
      <c r="BE70" s="9">
        <v>0.32</v>
      </c>
      <c r="BF70" s="9">
        <v>2.1999999999999999E-2</v>
      </c>
      <c r="BG70" s="9">
        <v>0.16</v>
      </c>
      <c r="BH70" s="28">
        <f t="shared" si="93"/>
        <v>4.9644000000000016E-3</v>
      </c>
      <c r="BI70" s="15">
        <f t="shared" si="94"/>
        <v>2.3788800000000009E-2</v>
      </c>
      <c r="BJ70" s="12">
        <v>0.95</v>
      </c>
      <c r="BK70" s="13">
        <v>1.3</v>
      </c>
      <c r="BL70" s="7">
        <v>25</v>
      </c>
      <c r="BM70" s="7">
        <v>35</v>
      </c>
      <c r="BN70" s="7">
        <v>40</v>
      </c>
      <c r="BO70" s="8">
        <f t="shared" si="95"/>
        <v>2.5206991249999999E-3</v>
      </c>
      <c r="BP70" s="8">
        <f t="shared" si="96"/>
        <v>3.2769088625000001E-3</v>
      </c>
      <c r="BQ70" s="8">
        <f t="shared" si="97"/>
        <v>8.1922721562500001E-4</v>
      </c>
      <c r="BR70" s="8">
        <f t="shared" si="98"/>
        <v>1.146918101875E-3</v>
      </c>
      <c r="BS70" s="8">
        <f t="shared" si="99"/>
        <v>1.3107635450000002E-3</v>
      </c>
      <c r="BT70" s="18">
        <f t="shared" si="100"/>
        <v>2.2151903910500002E-4</v>
      </c>
      <c r="BU70" s="8">
        <f t="shared" si="101"/>
        <v>8.3888866880000006E-4</v>
      </c>
      <c r="BV70" s="8">
        <f t="shared" si="102"/>
        <v>1.9497607731875E-3</v>
      </c>
      <c r="BW70" s="8">
        <f t="shared" si="103"/>
        <v>2.2282980265000002E-3</v>
      </c>
      <c r="BX70" s="18">
        <f t="shared" si="104"/>
        <v>3.7658236647849998E-4</v>
      </c>
      <c r="BY70" s="8">
        <f t="shared" si="105"/>
        <v>1.4261107369599999E-3</v>
      </c>
      <c r="BZ70" s="12">
        <f t="shared" si="106"/>
        <v>0.6</v>
      </c>
      <c r="CA70" s="12">
        <f t="shared" si="61"/>
        <v>0.44931147540983613</v>
      </c>
      <c r="CB70" s="6">
        <v>1.7</v>
      </c>
      <c r="CC70" s="6">
        <v>1.7</v>
      </c>
      <c r="CD70" s="15">
        <v>0.16</v>
      </c>
      <c r="CE70" s="9">
        <v>0.48</v>
      </c>
      <c r="CF70" s="9">
        <v>2.9000000000000001E-2</v>
      </c>
      <c r="CG70" s="11">
        <v>0.22</v>
      </c>
      <c r="CH70" s="28">
        <f t="shared" si="122"/>
        <v>5.844020000000001E-5</v>
      </c>
      <c r="CI70" s="15">
        <f t="shared" si="107"/>
        <v>2.2131200000000004E-4</v>
      </c>
      <c r="CJ70" s="12">
        <v>0.2</v>
      </c>
      <c r="CK70" s="12">
        <v>1</v>
      </c>
      <c r="CL70" s="7">
        <v>2</v>
      </c>
      <c r="CM70" s="7">
        <v>23</v>
      </c>
      <c r="CN70" s="7">
        <v>75</v>
      </c>
      <c r="CO70" s="8">
        <f t="shared" si="108"/>
        <v>5.3067350000000001E-4</v>
      </c>
      <c r="CP70" s="8">
        <f t="shared" si="109"/>
        <v>5.3067350000000001E-4</v>
      </c>
      <c r="CQ70" s="18">
        <f t="shared" si="110"/>
        <v>1.0613470000000001E-5</v>
      </c>
      <c r="CR70" s="8">
        <f t="shared" si="111"/>
        <v>1.2205490500000001E-4</v>
      </c>
      <c r="CS70" s="8">
        <f t="shared" si="112"/>
        <v>3.9800512500000004E-4</v>
      </c>
      <c r="CT70" s="18">
        <f t="shared" si="113"/>
        <v>2.8322044695000001E-5</v>
      </c>
      <c r="CU70" s="8">
        <f t="shared" si="114"/>
        <v>1.281045829E-4</v>
      </c>
      <c r="CV70" s="8">
        <f t="shared" si="115"/>
        <v>2.074933385E-4</v>
      </c>
      <c r="CW70" s="8">
        <f t="shared" si="116"/>
        <v>6.7660871250000006E-4</v>
      </c>
      <c r="CX70" s="18">
        <f t="shared" si="117"/>
        <v>4.8147475981499994E-5</v>
      </c>
      <c r="CY70" s="8">
        <f t="shared" si="118"/>
        <v>2.1777779093000001E-4</v>
      </c>
      <c r="CZ70" s="12">
        <f t="shared" si="119"/>
        <v>0.25</v>
      </c>
      <c r="DA70" s="12">
        <f t="shared" si="63"/>
        <v>0.25526690391459078</v>
      </c>
      <c r="DB70" s="6">
        <v>1.7</v>
      </c>
      <c r="DC70" s="6">
        <v>1.7</v>
      </c>
      <c r="DD70" s="9">
        <v>0.14399999999999999</v>
      </c>
      <c r="DE70" s="9">
        <v>0.43</v>
      </c>
      <c r="DF70" s="15">
        <v>2.7E-2</v>
      </c>
      <c r="DG70" s="13">
        <v>0.19</v>
      </c>
      <c r="DH70" s="28">
        <f t="shared" si="120"/>
        <v>7.471800000000001E-6</v>
      </c>
      <c r="DI70" s="29">
        <f t="shared" si="121"/>
        <v>3.3796000000000006E-5</v>
      </c>
    </row>
    <row r="71" spans="1:113" x14ac:dyDescent="0.25">
      <c r="A71" s="85">
        <v>63</v>
      </c>
      <c r="B71" s="35" t="s">
        <v>26</v>
      </c>
      <c r="C71" s="35" t="s">
        <v>28</v>
      </c>
      <c r="D71" s="19" t="s">
        <v>178</v>
      </c>
      <c r="E71" s="19" t="s">
        <v>52</v>
      </c>
      <c r="F71" s="9">
        <v>80</v>
      </c>
      <c r="G71" s="38" t="s">
        <v>29</v>
      </c>
      <c r="H71" s="19" t="s">
        <v>99</v>
      </c>
      <c r="I71" s="31" t="s">
        <v>99</v>
      </c>
      <c r="J71" s="32" t="s">
        <v>99</v>
      </c>
      <c r="K71" s="2" t="str">
        <f t="shared" si="64"/>
        <v>Statlig Landsbygd MLV 80 13-14 - -</v>
      </c>
      <c r="L71" s="2"/>
      <c r="M71" s="32" t="s">
        <v>99</v>
      </c>
      <c r="N71" s="53">
        <f>'Beräkna - Länk'!$C$26</f>
        <v>1</v>
      </c>
      <c r="O71" s="53">
        <f>'Beräkna - Länk'!$C$24/('Beräkna - Länk'!$C$27)^('Beräkna - Länk'!$C$25-2010)</f>
        <v>10385</v>
      </c>
      <c r="P71" s="13">
        <f t="shared" si="65"/>
        <v>3.7905249999999997</v>
      </c>
      <c r="Q71" s="13">
        <f t="shared" si="66"/>
        <v>0.31051980799999995</v>
      </c>
      <c r="R71" s="13">
        <f t="shared" si="67"/>
        <v>0.50981045039999984</v>
      </c>
      <c r="S71" s="28">
        <f t="shared" si="68"/>
        <v>2.1360366479999996E-3</v>
      </c>
      <c r="T71" s="15">
        <f t="shared" si="69"/>
        <v>2.1780659891999996E-2</v>
      </c>
      <c r="U71" s="13">
        <f t="shared" si="70"/>
        <v>0.48589375385999989</v>
      </c>
      <c r="V71" s="13">
        <f t="shared" si="71"/>
        <v>1.5010478999999997</v>
      </c>
      <c r="W71" s="15">
        <f t="shared" si="72"/>
        <v>9.9920100905879997E-3</v>
      </c>
      <c r="X71" s="15">
        <f t="shared" si="73"/>
        <v>6.9476375039159988E-2</v>
      </c>
      <c r="Y71" s="15">
        <f t="shared" si="74"/>
        <v>3.7027121816399992E-2</v>
      </c>
      <c r="Z71" s="14">
        <f t="shared" si="75"/>
        <v>0.82601938156199983</v>
      </c>
      <c r="AA71" s="14">
        <f t="shared" si="76"/>
        <v>10.507335299999998</v>
      </c>
      <c r="AB71" s="13">
        <f t="shared" si="77"/>
        <v>1.6986417153999595E-2</v>
      </c>
      <c r="AC71" s="14">
        <f t="shared" si="78"/>
        <v>0.11810983756657198</v>
      </c>
      <c r="AD71" s="13">
        <f t="shared" si="55"/>
        <v>4.5265775316276013E-2</v>
      </c>
      <c r="AE71" s="15">
        <f t="shared" si="56"/>
        <v>1.0331855999999999E-2</v>
      </c>
      <c r="AF71" s="8">
        <v>0.08</v>
      </c>
      <c r="AG71" s="6">
        <v>1.65</v>
      </c>
      <c r="AH71" s="12">
        <v>0.2</v>
      </c>
      <c r="AI71" s="12">
        <v>3.8</v>
      </c>
      <c r="AJ71" s="7">
        <v>96</v>
      </c>
      <c r="AK71" s="12">
        <v>3</v>
      </c>
      <c r="AL71" s="12">
        <f t="shared" si="79"/>
        <v>0.30324199999999996</v>
      </c>
      <c r="AM71" s="12">
        <f t="shared" si="80"/>
        <v>0.50034929999999989</v>
      </c>
      <c r="AN71" s="18">
        <f t="shared" si="81"/>
        <v>1.0006985999999997E-3</v>
      </c>
      <c r="AO71" s="8">
        <f t="shared" si="82"/>
        <v>1.9013273399999996E-2</v>
      </c>
      <c r="AP71" s="12">
        <f t="shared" si="83"/>
        <v>0.48033532799999989</v>
      </c>
      <c r="AQ71" s="12">
        <f t="shared" si="84"/>
        <v>1.5010478999999997</v>
      </c>
      <c r="AR71" s="18">
        <f t="shared" si="85"/>
        <v>9.4015633469999998E-3</v>
      </c>
      <c r="AS71" s="8">
        <f t="shared" si="86"/>
        <v>6.7006778255999988E-2</v>
      </c>
      <c r="AT71" s="8">
        <f t="shared" si="87"/>
        <v>3.2322564779999993E-2</v>
      </c>
      <c r="AU71" s="8">
        <f t="shared" si="88"/>
        <v>0.81657005759999979</v>
      </c>
      <c r="AV71" s="8">
        <f t="shared" si="89"/>
        <v>10.507335299999998</v>
      </c>
      <c r="AW71" s="8">
        <f t="shared" si="90"/>
        <v>1.5982657689899996E-2</v>
      </c>
      <c r="AX71" s="8">
        <f t="shared" si="91"/>
        <v>0.11391152303519997</v>
      </c>
      <c r="AY71" s="495">
        <f t="shared" si="58"/>
        <v>3.9208760155422115E-2</v>
      </c>
      <c r="AZ71" s="8">
        <f t="shared" si="92"/>
        <v>5.28E-3</v>
      </c>
      <c r="BA71" s="6">
        <v>1.7</v>
      </c>
      <c r="BB71" s="6">
        <v>1.7</v>
      </c>
      <c r="BC71" s="6">
        <v>7</v>
      </c>
      <c r="BD71" s="9">
        <v>6.5000000000000002E-2</v>
      </c>
      <c r="BE71" s="9">
        <v>0.24</v>
      </c>
      <c r="BF71" s="9">
        <v>1.7000000000000001E-2</v>
      </c>
      <c r="BG71" s="9">
        <v>0.13</v>
      </c>
      <c r="BH71" s="28">
        <f t="shared" si="93"/>
        <v>2.4802800000000001E-3</v>
      </c>
      <c r="BI71" s="15">
        <f t="shared" si="94"/>
        <v>1.7677439999999999E-2</v>
      </c>
      <c r="BJ71" s="12">
        <v>1.8</v>
      </c>
      <c r="BK71" s="12">
        <v>1.3</v>
      </c>
      <c r="BL71" s="7">
        <v>15</v>
      </c>
      <c r="BM71" s="7">
        <v>30</v>
      </c>
      <c r="BN71" s="7">
        <v>55</v>
      </c>
      <c r="BO71" s="8">
        <f t="shared" si="95"/>
        <v>5.4583560000000001E-3</v>
      </c>
      <c r="BP71" s="8">
        <f t="shared" si="96"/>
        <v>7.0958628000000008E-3</v>
      </c>
      <c r="BQ71" s="8">
        <f t="shared" si="97"/>
        <v>1.0643794200000001E-3</v>
      </c>
      <c r="BR71" s="8">
        <f t="shared" si="98"/>
        <v>2.1287588400000002E-3</v>
      </c>
      <c r="BS71" s="8">
        <f t="shared" si="99"/>
        <v>3.9027245400000007E-3</v>
      </c>
      <c r="BT71" s="18">
        <f t="shared" si="100"/>
        <v>4.5378042605999998E-4</v>
      </c>
      <c r="BU71" s="8">
        <f t="shared" si="101"/>
        <v>1.8804036420000001E-3</v>
      </c>
      <c r="BV71" s="8">
        <f t="shared" si="102"/>
        <v>3.6188900280000004E-3</v>
      </c>
      <c r="BW71" s="8">
        <f t="shared" si="103"/>
        <v>6.6346317180000008E-3</v>
      </c>
      <c r="BX71" s="18">
        <f t="shared" si="104"/>
        <v>7.7142672430200007E-4</v>
      </c>
      <c r="BY71" s="8">
        <f t="shared" si="105"/>
        <v>3.1966861914000007E-3</v>
      </c>
      <c r="BZ71" s="12">
        <f t="shared" si="106"/>
        <v>0.44999999999999996</v>
      </c>
      <c r="CA71" s="12">
        <f t="shared" si="61"/>
        <v>0.37648902821316621</v>
      </c>
      <c r="CB71" s="6">
        <v>1.7</v>
      </c>
      <c r="CC71" s="6">
        <v>1.7</v>
      </c>
      <c r="CD71" s="15">
        <v>0.16</v>
      </c>
      <c r="CE71" s="9">
        <v>0.48</v>
      </c>
      <c r="CF71" s="9">
        <v>2.9000000000000001E-2</v>
      </c>
      <c r="CG71" s="11">
        <v>0.22</v>
      </c>
      <c r="CH71" s="28">
        <f t="shared" si="122"/>
        <v>1.197144E-4</v>
      </c>
      <c r="CI71" s="15">
        <f t="shared" si="107"/>
        <v>4.9608000000000009E-4</v>
      </c>
      <c r="CJ71" s="12">
        <v>0.6</v>
      </c>
      <c r="CK71" s="12">
        <v>1.3</v>
      </c>
      <c r="CL71" s="7">
        <v>3</v>
      </c>
      <c r="CM71" s="7">
        <v>27</v>
      </c>
      <c r="CN71" s="7">
        <v>70</v>
      </c>
      <c r="CO71" s="8">
        <f t="shared" si="108"/>
        <v>1.8194519999999998E-3</v>
      </c>
      <c r="CP71" s="8">
        <f t="shared" si="109"/>
        <v>2.3652876E-3</v>
      </c>
      <c r="CQ71" s="18">
        <f t="shared" si="110"/>
        <v>7.0958627999999992E-5</v>
      </c>
      <c r="CR71" s="8">
        <f t="shared" si="111"/>
        <v>6.3862765200000001E-4</v>
      </c>
      <c r="CS71" s="8">
        <f t="shared" si="112"/>
        <v>1.6557013199999999E-3</v>
      </c>
      <c r="CT71" s="18">
        <f t="shared" si="113"/>
        <v>1.3666631752799998E-4</v>
      </c>
      <c r="CU71" s="8">
        <f t="shared" si="114"/>
        <v>5.8919314115999993E-4</v>
      </c>
      <c r="CV71" s="8">
        <f t="shared" si="115"/>
        <v>1.0856670083999999E-3</v>
      </c>
      <c r="CW71" s="8">
        <f t="shared" si="116"/>
        <v>2.8146922439999996E-3</v>
      </c>
      <c r="CX71" s="18">
        <f t="shared" si="117"/>
        <v>2.3233273979759994E-4</v>
      </c>
      <c r="CY71" s="8">
        <f t="shared" si="118"/>
        <v>1.0016283399719998E-3</v>
      </c>
      <c r="CZ71" s="12">
        <f t="shared" si="119"/>
        <v>0.30000000000000004</v>
      </c>
      <c r="DA71" s="12">
        <f t="shared" si="63"/>
        <v>0.27008338296605117</v>
      </c>
      <c r="DB71" s="6">
        <v>1.7</v>
      </c>
      <c r="DC71" s="6">
        <v>1.7</v>
      </c>
      <c r="DD71" s="9">
        <v>0.14399999999999999</v>
      </c>
      <c r="DE71" s="9">
        <v>0.43</v>
      </c>
      <c r="DF71" s="15">
        <v>2.7E-2</v>
      </c>
      <c r="DG71" s="13">
        <v>0.19</v>
      </c>
      <c r="DH71" s="28">
        <f t="shared" si="120"/>
        <v>3.605472E-5</v>
      </c>
      <c r="DI71" s="29">
        <f t="shared" si="121"/>
        <v>1.5543839999999999E-4</v>
      </c>
    </row>
    <row r="72" spans="1:113" x14ac:dyDescent="0.25">
      <c r="A72" s="85">
        <v>64</v>
      </c>
      <c r="B72" s="35" t="s">
        <v>26</v>
      </c>
      <c r="C72" s="35" t="s">
        <v>28</v>
      </c>
      <c r="D72" s="19" t="s">
        <v>178</v>
      </c>
      <c r="E72" s="19" t="s">
        <v>52</v>
      </c>
      <c r="F72" s="9">
        <v>90</v>
      </c>
      <c r="G72" s="38" t="s">
        <v>29</v>
      </c>
      <c r="H72" s="19" t="s">
        <v>99</v>
      </c>
      <c r="I72" s="31" t="s">
        <v>99</v>
      </c>
      <c r="J72" s="32" t="s">
        <v>99</v>
      </c>
      <c r="K72" s="2" t="str">
        <f t="shared" si="64"/>
        <v>Statlig Landsbygd MLV 90 13-14 - -</v>
      </c>
      <c r="L72" s="2"/>
      <c r="M72" s="32" t="s">
        <v>99</v>
      </c>
      <c r="N72" s="53">
        <f>'Beräkna - Länk'!$C$26</f>
        <v>1</v>
      </c>
      <c r="O72" s="53">
        <f>'Beräkna - Länk'!$C$24/('Beräkna - Länk'!$C$27)^('Beräkna - Länk'!$C$25-2010)</f>
        <v>10385</v>
      </c>
      <c r="P72" s="13">
        <f t="shared" si="65"/>
        <v>3.7905249999999997</v>
      </c>
      <c r="Q72" s="13">
        <f t="shared" si="66"/>
        <v>0.27090882175000003</v>
      </c>
      <c r="R72" s="13">
        <f t="shared" si="67"/>
        <v>0.40259545077499997</v>
      </c>
      <c r="S72" s="28">
        <f t="shared" si="68"/>
        <v>2.0242540657500001E-3</v>
      </c>
      <c r="T72" s="15">
        <f t="shared" si="69"/>
        <v>3.7692677357999999E-2</v>
      </c>
      <c r="U72" s="13">
        <f t="shared" si="70"/>
        <v>0.36287851935124998</v>
      </c>
      <c r="V72" s="13">
        <f t="shared" si="71"/>
        <v>1.1860552725</v>
      </c>
      <c r="W72" s="15">
        <f t="shared" si="72"/>
        <v>8.8592011187732505E-3</v>
      </c>
      <c r="X72" s="15">
        <f t="shared" si="73"/>
        <v>5.7042195342964994E-2</v>
      </c>
      <c r="Y72" s="15">
        <f t="shared" si="74"/>
        <v>6.4077551508600006E-2</v>
      </c>
      <c r="Z72" s="14">
        <f t="shared" si="75"/>
        <v>0.61689348289712498</v>
      </c>
      <c r="AA72" s="14">
        <f t="shared" si="76"/>
        <v>8.3023869075000007</v>
      </c>
      <c r="AB72" s="13">
        <f t="shared" si="77"/>
        <v>1.5060641901914527E-2</v>
      </c>
      <c r="AC72" s="14">
        <f t="shared" si="78"/>
        <v>9.6971732083040496E-2</v>
      </c>
      <c r="AD72" s="13">
        <f t="shared" si="55"/>
        <v>9.6782227769512244E-2</v>
      </c>
      <c r="AE72" s="15">
        <f t="shared" si="56"/>
        <v>1.7438694000000005E-2</v>
      </c>
      <c r="AF72" s="8">
        <v>7.0000000000000007E-2</v>
      </c>
      <c r="AG72" s="6">
        <v>1.49</v>
      </c>
      <c r="AH72" s="12">
        <v>0.3</v>
      </c>
      <c r="AI72" s="12">
        <v>9</v>
      </c>
      <c r="AJ72" s="7">
        <v>90.7</v>
      </c>
      <c r="AK72" s="12">
        <v>3</v>
      </c>
      <c r="AL72" s="12">
        <f t="shared" si="79"/>
        <v>0.26533675000000001</v>
      </c>
      <c r="AM72" s="12">
        <f t="shared" si="80"/>
        <v>0.39535175750000001</v>
      </c>
      <c r="AN72" s="18">
        <f t="shared" si="81"/>
        <v>1.1860552724999999E-3</v>
      </c>
      <c r="AO72" s="8">
        <f t="shared" si="82"/>
        <v>3.5581658175000003E-2</v>
      </c>
      <c r="AP72" s="12">
        <f t="shared" si="83"/>
        <v>0.3585840440525</v>
      </c>
      <c r="AQ72" s="12">
        <f t="shared" si="84"/>
        <v>1.1860552725</v>
      </c>
      <c r="AR72" s="18">
        <f t="shared" si="85"/>
        <v>8.4087365302675E-3</v>
      </c>
      <c r="AS72" s="8">
        <f t="shared" si="86"/>
        <v>5.5155523688824995E-2</v>
      </c>
      <c r="AT72" s="8">
        <f t="shared" si="87"/>
        <v>6.0488818897500005E-2</v>
      </c>
      <c r="AU72" s="8">
        <f t="shared" si="88"/>
        <v>0.60959287488924996</v>
      </c>
      <c r="AV72" s="8">
        <f t="shared" si="89"/>
        <v>8.3023869075000007</v>
      </c>
      <c r="AW72" s="8">
        <f t="shared" si="90"/>
        <v>1.4294852101454751E-2</v>
      </c>
      <c r="AX72" s="8">
        <f t="shared" si="91"/>
        <v>9.3764390271002501E-2</v>
      </c>
      <c r="AY72" s="495">
        <f t="shared" si="58"/>
        <v>9.187820248542318E-2</v>
      </c>
      <c r="AZ72" s="8">
        <f t="shared" si="92"/>
        <v>9.6999000000000009E-3</v>
      </c>
      <c r="BA72" s="6">
        <v>1.7</v>
      </c>
      <c r="BB72" s="6">
        <v>1.7</v>
      </c>
      <c r="BC72" s="6">
        <v>7</v>
      </c>
      <c r="BD72" s="9">
        <v>6.5000000000000002E-2</v>
      </c>
      <c r="BE72" s="9">
        <v>0.24</v>
      </c>
      <c r="BF72" s="9">
        <v>1.7000000000000001E-2</v>
      </c>
      <c r="BG72" s="9">
        <v>0.13</v>
      </c>
      <c r="BH72" s="28">
        <f t="shared" si="93"/>
        <v>2.2183567000000001E-3</v>
      </c>
      <c r="BI72" s="15">
        <f t="shared" si="94"/>
        <v>1.4550893000000001E-2</v>
      </c>
      <c r="BJ72" s="12">
        <v>1.5</v>
      </c>
      <c r="BK72" s="12">
        <v>1.3</v>
      </c>
      <c r="BL72" s="7">
        <v>15</v>
      </c>
      <c r="BM72" s="7">
        <v>30</v>
      </c>
      <c r="BN72" s="7">
        <v>55</v>
      </c>
      <c r="BO72" s="8">
        <f t="shared" si="95"/>
        <v>3.9800512499999999E-3</v>
      </c>
      <c r="BP72" s="8">
        <f t="shared" si="96"/>
        <v>5.1740666250000003E-3</v>
      </c>
      <c r="BQ72" s="8">
        <f t="shared" si="97"/>
        <v>7.7610999375000002E-4</v>
      </c>
      <c r="BR72" s="8">
        <f t="shared" si="98"/>
        <v>1.5522199875E-3</v>
      </c>
      <c r="BS72" s="8">
        <f t="shared" si="99"/>
        <v>2.8457366437500005E-3</v>
      </c>
      <c r="BT72" s="18">
        <f t="shared" si="100"/>
        <v>3.3088156066875008E-4</v>
      </c>
      <c r="BU72" s="8">
        <f t="shared" si="101"/>
        <v>1.3711276556250002E-3</v>
      </c>
      <c r="BV72" s="8">
        <f t="shared" si="102"/>
        <v>2.63877397875E-3</v>
      </c>
      <c r="BW72" s="8">
        <f t="shared" si="103"/>
        <v>4.8377522943750008E-3</v>
      </c>
      <c r="BX72" s="18">
        <f t="shared" si="104"/>
        <v>5.6249865313687502E-4</v>
      </c>
      <c r="BY72" s="8">
        <f t="shared" si="105"/>
        <v>2.3309170145625001E-3</v>
      </c>
      <c r="BZ72" s="12">
        <f t="shared" si="106"/>
        <v>0.44999999999999996</v>
      </c>
      <c r="CA72" s="12">
        <f t="shared" si="61"/>
        <v>0.37648902821316615</v>
      </c>
      <c r="CB72" s="6">
        <v>1.7</v>
      </c>
      <c r="CC72" s="6">
        <v>1.7</v>
      </c>
      <c r="CD72" s="15">
        <v>0.16</v>
      </c>
      <c r="CE72" s="9">
        <v>0.48</v>
      </c>
      <c r="CF72" s="9">
        <v>2.9000000000000001E-2</v>
      </c>
      <c r="CG72" s="11">
        <v>0.22</v>
      </c>
      <c r="CH72" s="28">
        <f t="shared" si="122"/>
        <v>8.7291750000000027E-5</v>
      </c>
      <c r="CI72" s="15">
        <f t="shared" si="107"/>
        <v>3.6172500000000008E-4</v>
      </c>
      <c r="CJ72" s="12">
        <v>0.6</v>
      </c>
      <c r="CK72" s="12">
        <v>1.3</v>
      </c>
      <c r="CL72" s="7">
        <v>3</v>
      </c>
      <c r="CM72" s="7">
        <v>27</v>
      </c>
      <c r="CN72" s="7">
        <v>70</v>
      </c>
      <c r="CO72" s="8">
        <f t="shared" si="108"/>
        <v>1.5920205000000002E-3</v>
      </c>
      <c r="CP72" s="8">
        <f t="shared" si="109"/>
        <v>2.0696266500000002E-3</v>
      </c>
      <c r="CQ72" s="18">
        <f t="shared" si="110"/>
        <v>6.208879950000001E-5</v>
      </c>
      <c r="CR72" s="8">
        <f t="shared" si="111"/>
        <v>5.587991955000001E-4</v>
      </c>
      <c r="CS72" s="8">
        <f t="shared" si="112"/>
        <v>1.448738655E-3</v>
      </c>
      <c r="CT72" s="18">
        <f t="shared" si="113"/>
        <v>1.1958302783700002E-4</v>
      </c>
      <c r="CU72" s="8">
        <f t="shared" si="114"/>
        <v>5.1554399851500021E-4</v>
      </c>
      <c r="CV72" s="8">
        <f t="shared" si="115"/>
        <v>9.4995863235000015E-4</v>
      </c>
      <c r="CW72" s="8">
        <f t="shared" si="116"/>
        <v>2.4628557134999999E-3</v>
      </c>
      <c r="CX72" s="18">
        <f t="shared" si="117"/>
        <v>2.032911473229E-4</v>
      </c>
      <c r="CY72" s="8">
        <f t="shared" si="118"/>
        <v>8.7642479747550002E-4</v>
      </c>
      <c r="CZ72" s="12">
        <f t="shared" si="119"/>
        <v>0.30000000000000004</v>
      </c>
      <c r="DA72" s="12">
        <f t="shared" si="63"/>
        <v>0.27008338296605122</v>
      </c>
      <c r="DB72" s="6">
        <v>1.7</v>
      </c>
      <c r="DC72" s="6">
        <v>1.7</v>
      </c>
      <c r="DD72" s="9">
        <v>0.14399999999999999</v>
      </c>
      <c r="DE72" s="9">
        <v>0.43</v>
      </c>
      <c r="DF72" s="15">
        <v>2.7E-2</v>
      </c>
      <c r="DG72" s="13">
        <v>0.19</v>
      </c>
      <c r="DH72" s="28">
        <f t="shared" si="120"/>
        <v>3.1547880000000009E-5</v>
      </c>
      <c r="DI72" s="29">
        <f t="shared" si="121"/>
        <v>1.3600860000000006E-4</v>
      </c>
    </row>
    <row r="73" spans="1:113" x14ac:dyDescent="0.25">
      <c r="A73" s="85">
        <v>65</v>
      </c>
      <c r="B73" s="35" t="s">
        <v>26</v>
      </c>
      <c r="C73" s="35" t="s">
        <v>28</v>
      </c>
      <c r="D73" s="19" t="s">
        <v>178</v>
      </c>
      <c r="E73" s="19" t="s">
        <v>52</v>
      </c>
      <c r="F73" s="9">
        <v>100</v>
      </c>
      <c r="G73" s="38" t="s">
        <v>29</v>
      </c>
      <c r="H73" s="19" t="s">
        <v>99</v>
      </c>
      <c r="I73" s="31" t="s">
        <v>99</v>
      </c>
      <c r="J73" s="32" t="s">
        <v>99</v>
      </c>
      <c r="K73" s="2" t="str">
        <f t="shared" ref="K73:K104" si="123">B73&amp;" "&amp;C73&amp;" "&amp;D73&amp;" "&amp;F73&amp;" "&amp;G73&amp;" "&amp;H73&amp;" "&amp;I73</f>
        <v>Statlig Landsbygd MLV 100 13-14 - -</v>
      </c>
      <c r="L73" s="2"/>
      <c r="M73" s="32" t="s">
        <v>99</v>
      </c>
      <c r="N73" s="53">
        <f>'Beräkna - Länk'!$C$26</f>
        <v>1</v>
      </c>
      <c r="O73" s="53">
        <f>'Beräkna - Länk'!$C$24/('Beräkna - Länk'!$C$27)^('Beräkna - Länk'!$C$25-2010)</f>
        <v>10385</v>
      </c>
      <c r="P73" s="13">
        <f t="shared" ref="P73:P104" si="124">N73*O73*365*0.000001</f>
        <v>3.7905249999999997</v>
      </c>
      <c r="Q73" s="13">
        <f t="shared" ref="Q73:Q104" si="125">AL73+BO73+CO73</f>
        <v>0.22100656012499997</v>
      </c>
      <c r="R73" s="13">
        <f t="shared" ref="R73:R104" si="126">AM73+BP73+CP73</f>
        <v>0.32872001378749993</v>
      </c>
      <c r="S73" s="28">
        <f t="shared" ref="S73:S104" si="127">AN73+BQ73+CQ73</f>
        <v>1.5919446894999999E-3</v>
      </c>
      <c r="T73" s="15">
        <f t="shared" ref="T73:T104" si="128">AO73+BR73+CR73</f>
        <v>3.2640097059249987E-2</v>
      </c>
      <c r="U73" s="13">
        <f t="shared" ref="U73:U104" si="129">AP73+BS73+CS73</f>
        <v>0.29448797203874993</v>
      </c>
      <c r="V73" s="13">
        <f t="shared" ref="V73:V104" si="130">AQ73</f>
        <v>0.97425968812499986</v>
      </c>
      <c r="W73" s="15">
        <f t="shared" ref="W73:W104" si="131">AR73+BT73+CT73</f>
        <v>7.5679171765113745E-3</v>
      </c>
      <c r="X73" s="15">
        <f t="shared" ref="X73:X104" si="132">AS73+BU73+CU73</f>
        <v>4.7160703201771258E-2</v>
      </c>
      <c r="Y73" s="15">
        <f t="shared" ref="Y73:Y104" si="133">AO73*BA73+BR73*CB73+CR73*DB73</f>
        <v>5.5488165000724982E-2</v>
      </c>
      <c r="Z73" s="14">
        <f t="shared" ref="Z73:Z104" si="134">AP73*BB73+BS73*CC73+CS73*DC73</f>
        <v>0.50062955246587493</v>
      </c>
      <c r="AA73" s="14">
        <f t="shared" ref="AA73:AA104" si="135">AQ73*BC73</f>
        <v>6.8198178168749992</v>
      </c>
      <c r="AB73" s="13">
        <f t="shared" ref="AB73:AB104" si="136">BD73*AO73*BA73+BF73*AP73*BB73+CD73*BR73*CB73+CF73*BS73*CC73+DD73*CR73*DB73+DF73*CS73*DC73</f>
        <v>1.2865459200069337E-2</v>
      </c>
      <c r="AC73" s="14">
        <f t="shared" ref="AC73:AC104" si="137">BE73*AO73*BA73+BG73*AP73*BB73+CE73*BR73*CB73+CG73*BS73*CC73+DE73*CR73*DB73+DG73*CS73*DC73</f>
        <v>8.0173195443011117E-2</v>
      </c>
      <c r="AD73" s="13">
        <f t="shared" si="55"/>
        <v>0.10234735663275735</v>
      </c>
      <c r="AE73" s="15">
        <f t="shared" si="56"/>
        <v>1.5058628999999995E-2</v>
      </c>
      <c r="AF73" s="6">
        <v>5.7500000000000002E-2</v>
      </c>
      <c r="AG73" s="6">
        <v>1.49</v>
      </c>
      <c r="AH73" s="12">
        <v>0.3</v>
      </c>
      <c r="AI73" s="12">
        <v>9.6999999999999993</v>
      </c>
      <c r="AJ73" s="7">
        <v>90</v>
      </c>
      <c r="AK73" s="12">
        <v>3</v>
      </c>
      <c r="AL73" s="12">
        <f t="shared" ref="AL73:AL104" si="138">$N$4*P73*AF73</f>
        <v>0.21795518749999998</v>
      </c>
      <c r="AM73" s="12">
        <f t="shared" ref="AM73:AM104" si="139">AG73*$AL73</f>
        <v>0.32475322937499995</v>
      </c>
      <c r="AN73" s="18">
        <f t="shared" ref="AN73:AN104" si="140">AH73*$AM73/100</f>
        <v>9.742596881249999E-4</v>
      </c>
      <c r="AO73" s="8">
        <f t="shared" ref="AO73:AO104" si="141">AI73*$AM73/100</f>
        <v>3.1501063249374989E-2</v>
      </c>
      <c r="AP73" s="12">
        <f t="shared" ref="AP73:AP104" si="142">AJ73*$AM73/100</f>
        <v>0.29227790643749996</v>
      </c>
      <c r="AQ73" s="12">
        <f t="shared" ref="AQ73:AQ104" si="143">AK73*$AM73</f>
        <v>0.97425968812499986</v>
      </c>
      <c r="AR73" s="18">
        <f t="shared" ref="AR73:AR104" si="144">BH73*P73</f>
        <v>7.3313041531406237E-3</v>
      </c>
      <c r="AS73" s="8">
        <f t="shared" ref="AS73:AS104" si="145">BI73*P73</f>
        <v>4.6186404281712508E-2</v>
      </c>
      <c r="AT73" s="8">
        <f t="shared" ref="AT73:AT104" si="146">AO73*BA73</f>
        <v>5.3551807523937477E-2</v>
      </c>
      <c r="AU73" s="8">
        <f t="shared" ref="AU73:AU104" si="147">AP73*BB73</f>
        <v>0.49687244094374994</v>
      </c>
      <c r="AV73" s="8">
        <f t="shared" ref="AV73:AV104" si="148">AQ73*BC73</f>
        <v>6.8198178168749992</v>
      </c>
      <c r="AW73" s="8">
        <f t="shared" ref="AW73:AW104" si="149">BD73*AT73+BF73*AU73</f>
        <v>1.2463217060339061E-2</v>
      </c>
      <c r="AX73" s="8">
        <f t="shared" ref="AX73:AX104" si="150">BE73*AT73+BG73*AU73</f>
        <v>7.8516887278911235E-2</v>
      </c>
      <c r="AY73" s="495">
        <f t="shared" si="58"/>
        <v>9.8886860239118884E-2</v>
      </c>
      <c r="AZ73" s="8">
        <f t="shared" ref="AZ73:AZ104" si="151">(AH73/100+AI73/100)*AG73*AF73</f>
        <v>8.5675000000000005E-3</v>
      </c>
      <c r="BA73" s="6">
        <v>1.7</v>
      </c>
      <c r="BB73" s="6">
        <v>1.7</v>
      </c>
      <c r="BC73" s="6">
        <v>7</v>
      </c>
      <c r="BD73" s="9">
        <v>7.4999999999999997E-2</v>
      </c>
      <c r="BE73" s="9">
        <v>0.26</v>
      </c>
      <c r="BF73" s="9">
        <v>1.7000000000000001E-2</v>
      </c>
      <c r="BG73" s="9">
        <v>0.13</v>
      </c>
      <c r="BH73" s="28">
        <f t="shared" ref="BH73:BH103" si="152">$AF73*$AG73*($AI73*BD73+$AJ73*BF73)/100</f>
        <v>1.9341131249999998E-3</v>
      </c>
      <c r="BI73" s="15">
        <f t="shared" ref="BI73:BI103" si="153">$AF73*$AG73*($AI73*BE73+$AJ73*BG73)/100</f>
        <v>1.2184698500000002E-2</v>
      </c>
      <c r="BJ73" s="12">
        <v>0.8</v>
      </c>
      <c r="BK73" s="12">
        <v>1.3</v>
      </c>
      <c r="BL73" s="7">
        <v>25</v>
      </c>
      <c r="BM73" s="7">
        <v>30</v>
      </c>
      <c r="BN73" s="7">
        <v>45</v>
      </c>
      <c r="BO73" s="8">
        <f t="shared" ref="BO73:BO104" si="154">$N$5*BJ73/100*AL73</f>
        <v>1.7436414999999999E-3</v>
      </c>
      <c r="BP73" s="8">
        <f t="shared" ref="BP73:BP104" si="155">BK73*BO73</f>
        <v>2.26673395E-3</v>
      </c>
      <c r="BQ73" s="8">
        <f t="shared" ref="BQ73:BQ104" si="156">BL73/100*BP73</f>
        <v>5.6668348750000001E-4</v>
      </c>
      <c r="BR73" s="8">
        <f t="shared" ref="BR73:BR104" si="157">BM73/100*BP73</f>
        <v>6.8002018499999995E-4</v>
      </c>
      <c r="BS73" s="8">
        <f t="shared" ref="BS73:BS104" si="158">BN73/100*BP73</f>
        <v>1.0200302775000001E-3</v>
      </c>
      <c r="BT73" s="18">
        <f t="shared" ref="BT73:BT104" si="159">CH73*P73</f>
        <v>1.3838410764750001E-4</v>
      </c>
      <c r="BU73" s="8">
        <f t="shared" ref="BU73:BU104" si="160">CI73*P73</f>
        <v>5.5081634984999986E-4</v>
      </c>
      <c r="BV73" s="8">
        <f t="shared" ref="BV73:BV104" si="161">BR73*CB73</f>
        <v>1.1560343144999998E-3</v>
      </c>
      <c r="BW73" s="8">
        <f t="shared" ref="BW73:BW104" si="162">BS73*CC73</f>
        <v>1.7340514717500001E-3</v>
      </c>
      <c r="BX73" s="18">
        <f t="shared" ref="BX73:BX104" si="163">BV73*CD73+CF73*BW73</f>
        <v>2.3525298300074998E-4</v>
      </c>
      <c r="BY73" s="8">
        <f t="shared" ref="BY73:BY104" si="164">BW73*CG73+BV73*CE73</f>
        <v>9.3638779474499996E-4</v>
      </c>
      <c r="BZ73" s="12">
        <f t="shared" ref="BZ73:BZ104" si="165">BL73/100+BM73/100</f>
        <v>0.55000000000000004</v>
      </c>
      <c r="CA73" s="12">
        <f t="shared" si="61"/>
        <v>0.43481967213114753</v>
      </c>
      <c r="CB73" s="6">
        <v>1.7</v>
      </c>
      <c r="CC73" s="6">
        <v>1.7</v>
      </c>
      <c r="CD73" s="15">
        <v>0.16</v>
      </c>
      <c r="CE73" s="9">
        <v>0.48</v>
      </c>
      <c r="CF73" s="9">
        <v>2.9000000000000001E-2</v>
      </c>
      <c r="CG73" s="11">
        <v>0.22</v>
      </c>
      <c r="CH73" s="28">
        <f t="shared" si="122"/>
        <v>3.6507900000000003E-5</v>
      </c>
      <c r="CI73" s="15">
        <f t="shared" ref="CI73:CI104" si="166">$BJ73/100*$AF73*$BK73*($BM73*CE73+$BN73*CG73)/100</f>
        <v>1.4531399999999998E-4</v>
      </c>
      <c r="CJ73" s="12">
        <v>0.6</v>
      </c>
      <c r="CK73" s="12">
        <v>1.3</v>
      </c>
      <c r="CL73" s="7">
        <v>3</v>
      </c>
      <c r="CM73" s="7">
        <v>27</v>
      </c>
      <c r="CN73" s="7">
        <v>70</v>
      </c>
      <c r="CO73" s="8">
        <f t="shared" ref="CO73:CO104" si="167">$N$6*CJ73/100*AL73</f>
        <v>1.3077311249999998E-3</v>
      </c>
      <c r="CP73" s="8">
        <f t="shared" ref="CP73:CP104" si="168">CK73*CO73</f>
        <v>1.7000504624999999E-3</v>
      </c>
      <c r="CQ73" s="18">
        <f t="shared" ref="CQ73:CQ104" si="169">CL73/100*CP73</f>
        <v>5.1001513874999995E-5</v>
      </c>
      <c r="CR73" s="8">
        <f t="shared" ref="CR73:CR104" si="170">CM73/100*CP73</f>
        <v>4.5901362487500003E-4</v>
      </c>
      <c r="CS73" s="8">
        <f t="shared" ref="CS73:CS104" si="171">CN73/100*CP73</f>
        <v>1.1900353237499998E-3</v>
      </c>
      <c r="CT73" s="18">
        <f t="shared" ref="CT73:CT104" si="172">DH73*P73</f>
        <v>9.8228915723250004E-5</v>
      </c>
      <c r="CU73" s="8">
        <f t="shared" ref="CU73:CU104" si="173">DI73*P73</f>
        <v>4.2348257020875004E-4</v>
      </c>
      <c r="CV73" s="8">
        <f t="shared" ref="CV73:CV104" si="174">CR73*DB73</f>
        <v>7.8032316228750004E-4</v>
      </c>
      <c r="CW73" s="8">
        <f t="shared" ref="CW73:CW104" si="175">CS73*DC73</f>
        <v>2.0230600503749994E-3</v>
      </c>
      <c r="CX73" s="18">
        <f t="shared" ref="CX73:CX104" si="176">CV73*DD73+CW73*DF73</f>
        <v>1.6698915672952498E-4</v>
      </c>
      <c r="CY73" s="8">
        <f t="shared" ref="CY73:CY104" si="177">CV73*DE73+CW73*DG73</f>
        <v>7.199203693548749E-4</v>
      </c>
      <c r="CZ73" s="12">
        <f t="shared" ref="CZ73:CZ104" si="178">CL73/100+CM73/100</f>
        <v>0.30000000000000004</v>
      </c>
      <c r="DA73" s="12">
        <f t="shared" si="63"/>
        <v>0.27008338296605122</v>
      </c>
      <c r="DB73" s="6">
        <v>1.7</v>
      </c>
      <c r="DC73" s="6">
        <v>1.7</v>
      </c>
      <c r="DD73" s="9">
        <v>0.14399999999999999</v>
      </c>
      <c r="DE73" s="9">
        <v>0.43</v>
      </c>
      <c r="DF73" s="15">
        <v>2.7E-2</v>
      </c>
      <c r="DG73" s="13">
        <v>0.19</v>
      </c>
      <c r="DH73" s="28">
        <f t="shared" ref="DH73:DH104" si="179">$CJ73/100*$AF73*$CK73*($CM73*DD73+$CN73*DF73)/100</f>
        <v>2.5914330000000002E-5</v>
      </c>
      <c r="DI73" s="29">
        <f t="shared" ref="DI73:DI104" si="180">$CJ73/100*$AF73*$CK73*($CM73*DE73+$CN73*DG73)/100</f>
        <v>1.1172135000000002E-4</v>
      </c>
    </row>
    <row r="74" spans="1:113" x14ac:dyDescent="0.25">
      <c r="A74" s="85">
        <v>66</v>
      </c>
      <c r="B74" s="35" t="s">
        <v>26</v>
      </c>
      <c r="C74" s="35" t="s">
        <v>28</v>
      </c>
      <c r="D74" s="19" t="s">
        <v>178</v>
      </c>
      <c r="E74" s="19" t="s">
        <v>52</v>
      </c>
      <c r="F74" s="9">
        <v>110</v>
      </c>
      <c r="G74" s="38" t="s">
        <v>29</v>
      </c>
      <c r="H74" s="19" t="s">
        <v>99</v>
      </c>
      <c r="I74" s="31" t="s">
        <v>99</v>
      </c>
      <c r="J74" s="32" t="s">
        <v>99</v>
      </c>
      <c r="K74" s="2" t="str">
        <f t="shared" si="123"/>
        <v>Statlig Landsbygd MLV 110 13-14 - -</v>
      </c>
      <c r="L74" s="2"/>
      <c r="M74" s="32" t="s">
        <v>99</v>
      </c>
      <c r="N74" s="53">
        <f>'Beräkna - Länk'!$C$26</f>
        <v>1</v>
      </c>
      <c r="O74" s="53">
        <f>'Beräkna - Länk'!$C$24/('Beräkna - Länk'!$C$27)^('Beräkna - Länk'!$C$25-2010)</f>
        <v>10385</v>
      </c>
      <c r="P74" s="13">
        <f t="shared" si="124"/>
        <v>3.7905249999999997</v>
      </c>
      <c r="Q74" s="13">
        <f t="shared" si="125"/>
        <v>0.25752068745000001</v>
      </c>
      <c r="R74" s="13">
        <f t="shared" si="126"/>
        <v>0.39064923218499997</v>
      </c>
      <c r="S74" s="28">
        <f t="shared" si="127"/>
        <v>4.5800079659499993E-3</v>
      </c>
      <c r="T74" s="15">
        <f t="shared" si="128"/>
        <v>3.9929928604550004E-2</v>
      </c>
      <c r="U74" s="13">
        <f t="shared" si="129"/>
        <v>0.34640341939649993</v>
      </c>
      <c r="V74" s="13">
        <f t="shared" si="130"/>
        <v>1.1580811979999999</v>
      </c>
      <c r="W74" s="15">
        <f t="shared" si="131"/>
        <v>9.0191577030987007E-3</v>
      </c>
      <c r="X74" s="15">
        <f t="shared" si="132"/>
        <v>5.5893412530221502E-2</v>
      </c>
      <c r="Y74" s="15">
        <f t="shared" si="133"/>
        <v>6.7880878627734995E-2</v>
      </c>
      <c r="Z74" s="14">
        <f t="shared" si="134"/>
        <v>0.58888581297404985</v>
      </c>
      <c r="AA74" s="14">
        <f t="shared" si="135"/>
        <v>8.1065683859999993</v>
      </c>
      <c r="AB74" s="13">
        <f t="shared" si="136"/>
        <v>1.5332568095267788E-2</v>
      </c>
      <c r="AC74" s="14">
        <f t="shared" si="137"/>
        <v>9.5018801301376535E-2</v>
      </c>
      <c r="AD74" s="13">
        <f t="shared" ref="AD74:AD135" si="181">(S74+Y74)/(S74+Y74+Z74)</f>
        <v>0.1095656584376189</v>
      </c>
      <c r="AE74" s="15">
        <f t="shared" ref="AE74:AE135" si="182">(S74+Y74)/P74</f>
        <v>1.9116319399999998E-2</v>
      </c>
      <c r="AF74" s="6">
        <v>6.7000000000000004E-2</v>
      </c>
      <c r="AG74" s="6">
        <v>1.52</v>
      </c>
      <c r="AH74" s="12">
        <v>1</v>
      </c>
      <c r="AI74" s="12">
        <v>10</v>
      </c>
      <c r="AJ74" s="7">
        <v>89</v>
      </c>
      <c r="AK74" s="12">
        <v>3</v>
      </c>
      <c r="AL74" s="12">
        <f t="shared" si="138"/>
        <v>0.25396517499999999</v>
      </c>
      <c r="AM74" s="12">
        <f t="shared" si="139"/>
        <v>0.38602706599999997</v>
      </c>
      <c r="AN74" s="18">
        <f t="shared" si="140"/>
        <v>3.8602706599999998E-3</v>
      </c>
      <c r="AO74" s="8">
        <f t="shared" si="141"/>
        <v>3.8602706600000002E-2</v>
      </c>
      <c r="AP74" s="12">
        <f t="shared" si="142"/>
        <v>0.34356408873999994</v>
      </c>
      <c r="AQ74" s="12">
        <f t="shared" si="143"/>
        <v>1.1580811979999999</v>
      </c>
      <c r="AR74" s="18">
        <f t="shared" si="144"/>
        <v>8.7357925035799998E-3</v>
      </c>
      <c r="AS74" s="8">
        <f t="shared" si="145"/>
        <v>5.4700035252200005E-2</v>
      </c>
      <c r="AT74" s="8">
        <f t="shared" si="146"/>
        <v>6.5624601219999995E-2</v>
      </c>
      <c r="AU74" s="8">
        <f t="shared" si="147"/>
        <v>0.58405895085799986</v>
      </c>
      <c r="AV74" s="8">
        <f t="shared" si="148"/>
        <v>8.1065683859999993</v>
      </c>
      <c r="AW74" s="8">
        <f t="shared" si="149"/>
        <v>1.4850847256085998E-2</v>
      </c>
      <c r="AX74" s="8">
        <f t="shared" si="150"/>
        <v>9.2990059928739974E-2</v>
      </c>
      <c r="AY74" s="495">
        <f t="shared" ref="AY74:AY135" si="183">(AN74+AT74)/(AN74+AT74+AU74)</f>
        <v>0.10632014176018903</v>
      </c>
      <c r="AZ74" s="8">
        <f t="shared" si="151"/>
        <v>1.1202400000000001E-2</v>
      </c>
      <c r="BA74" s="6">
        <v>1.7</v>
      </c>
      <c r="BB74" s="6">
        <v>1.7</v>
      </c>
      <c r="BC74" s="6">
        <v>7</v>
      </c>
      <c r="BD74" s="9">
        <v>7.4999999999999997E-2</v>
      </c>
      <c r="BE74" s="9">
        <v>0.26</v>
      </c>
      <c r="BF74" s="9">
        <v>1.7000000000000001E-2</v>
      </c>
      <c r="BG74" s="9">
        <v>0.13</v>
      </c>
      <c r="BH74" s="28">
        <f t="shared" si="152"/>
        <v>2.3046392000000003E-3</v>
      </c>
      <c r="BI74" s="15">
        <f t="shared" si="153"/>
        <v>1.4430728000000002E-2</v>
      </c>
      <c r="BJ74" s="12">
        <v>0.8</v>
      </c>
      <c r="BK74" s="12">
        <v>1.3</v>
      </c>
      <c r="BL74" s="7">
        <v>25</v>
      </c>
      <c r="BM74" s="7">
        <v>30</v>
      </c>
      <c r="BN74" s="7">
        <v>55</v>
      </c>
      <c r="BO74" s="8">
        <f t="shared" si="154"/>
        <v>2.0317213999999999E-3</v>
      </c>
      <c r="BP74" s="8">
        <f t="shared" si="155"/>
        <v>2.64123782E-3</v>
      </c>
      <c r="BQ74" s="8">
        <f t="shared" si="156"/>
        <v>6.6030945500000001E-4</v>
      </c>
      <c r="BR74" s="8">
        <f t="shared" si="157"/>
        <v>7.9237134599999997E-4</v>
      </c>
      <c r="BS74" s="8">
        <f t="shared" si="158"/>
        <v>1.4526808010000001E-3</v>
      </c>
      <c r="BT74" s="18">
        <f t="shared" si="159"/>
        <v>1.6890715858899999E-4</v>
      </c>
      <c r="BU74" s="8">
        <f t="shared" si="160"/>
        <v>6.9992802230000001E-4</v>
      </c>
      <c r="BV74" s="8">
        <f t="shared" si="161"/>
        <v>1.3470312881999999E-3</v>
      </c>
      <c r="BW74" s="8">
        <f t="shared" si="162"/>
        <v>2.4695573617000001E-3</v>
      </c>
      <c r="BX74" s="18">
        <f t="shared" si="163"/>
        <v>2.8714216960130001E-4</v>
      </c>
      <c r="BY74" s="8">
        <f t="shared" si="164"/>
        <v>1.18987763791E-3</v>
      </c>
      <c r="BZ74" s="12">
        <f t="shared" si="165"/>
        <v>0.55000000000000004</v>
      </c>
      <c r="CA74" s="12">
        <f t="shared" ref="CA74:CA135" si="184">(BQ74+BY74)/(BQ74+BV74+BW74)</f>
        <v>0.41327433628318583</v>
      </c>
      <c r="CB74" s="6">
        <v>1.7</v>
      </c>
      <c r="CC74" s="6">
        <v>1.7</v>
      </c>
      <c r="CD74" s="15">
        <v>0.16</v>
      </c>
      <c r="CE74" s="9">
        <v>0.48</v>
      </c>
      <c r="CF74" s="9">
        <v>2.9000000000000001E-2</v>
      </c>
      <c r="CG74" s="11">
        <v>0.22</v>
      </c>
      <c r="CH74" s="28">
        <f t="shared" ref="CH74:CH105" si="185">$BJ74/100*$AF74*$BK74*($BM74*CD74+$BN74*CF74)/100</f>
        <v>4.4560359999999998E-5</v>
      </c>
      <c r="CI74" s="15">
        <f t="shared" si="166"/>
        <v>1.8465200000000002E-4</v>
      </c>
      <c r="CJ74" s="12">
        <v>0.6</v>
      </c>
      <c r="CK74" s="12">
        <v>1.3</v>
      </c>
      <c r="CL74" s="7">
        <v>3</v>
      </c>
      <c r="CM74" s="7">
        <v>27</v>
      </c>
      <c r="CN74" s="7">
        <v>70</v>
      </c>
      <c r="CO74" s="8">
        <f t="shared" si="167"/>
        <v>1.5237910500000001E-3</v>
      </c>
      <c r="CP74" s="8">
        <f t="shared" si="168"/>
        <v>1.9809283650000001E-3</v>
      </c>
      <c r="CQ74" s="18">
        <f t="shared" si="169"/>
        <v>5.9427850950000004E-5</v>
      </c>
      <c r="CR74" s="8">
        <f t="shared" si="170"/>
        <v>5.3485065855000003E-4</v>
      </c>
      <c r="CS74" s="8">
        <f t="shared" si="171"/>
        <v>1.3866498555E-3</v>
      </c>
      <c r="CT74" s="18">
        <f t="shared" si="172"/>
        <v>1.1445804092969999E-4</v>
      </c>
      <c r="CU74" s="8">
        <f t="shared" si="173"/>
        <v>4.9344925572149994E-4</v>
      </c>
      <c r="CV74" s="8">
        <f t="shared" si="174"/>
        <v>9.0924611953500001E-4</v>
      </c>
      <c r="CW74" s="8">
        <f t="shared" si="175"/>
        <v>2.3573047543500002E-3</v>
      </c>
      <c r="CX74" s="18">
        <f t="shared" si="176"/>
        <v>1.9457866958049E-4</v>
      </c>
      <c r="CY74" s="8">
        <f t="shared" si="177"/>
        <v>8.3886373472655002E-4</v>
      </c>
      <c r="CZ74" s="12">
        <f t="shared" si="178"/>
        <v>0.30000000000000004</v>
      </c>
      <c r="DA74" s="12">
        <f t="shared" ref="DA74:DA135" si="186">(CQ74+CY74)/(CQ74+CV74+CW74)</f>
        <v>0.27008338296605122</v>
      </c>
      <c r="DB74" s="6">
        <v>1.7</v>
      </c>
      <c r="DC74" s="6">
        <v>1.7</v>
      </c>
      <c r="DD74" s="9">
        <v>0.14399999999999999</v>
      </c>
      <c r="DE74" s="9">
        <v>0.43</v>
      </c>
      <c r="DF74" s="15">
        <v>2.7E-2</v>
      </c>
      <c r="DG74" s="13">
        <v>0.19</v>
      </c>
      <c r="DH74" s="28">
        <f t="shared" si="179"/>
        <v>3.0195828E-5</v>
      </c>
      <c r="DI74" s="29">
        <f t="shared" si="180"/>
        <v>1.3017966000000001E-4</v>
      </c>
    </row>
    <row r="75" spans="1:113" x14ac:dyDescent="0.25">
      <c r="A75" s="85">
        <v>67</v>
      </c>
      <c r="B75" s="35" t="s">
        <v>26</v>
      </c>
      <c r="C75" s="35" t="s">
        <v>28</v>
      </c>
      <c r="D75" s="19" t="s">
        <v>178</v>
      </c>
      <c r="E75" s="19" t="s">
        <v>52</v>
      </c>
      <c r="F75" s="9">
        <v>90</v>
      </c>
      <c r="G75" s="32" t="s">
        <v>110</v>
      </c>
      <c r="H75" s="19" t="s">
        <v>99</v>
      </c>
      <c r="I75" s="31" t="s">
        <v>99</v>
      </c>
      <c r="J75" s="32" t="s">
        <v>99</v>
      </c>
      <c r="K75" s="2" t="str">
        <f t="shared" si="123"/>
        <v>Statlig Landsbygd MLV 90 9-13 - -</v>
      </c>
      <c r="L75" s="2"/>
      <c r="M75" s="32" t="s">
        <v>179</v>
      </c>
      <c r="N75" s="53">
        <f>'Beräkna - Länk'!$C$26</f>
        <v>1</v>
      </c>
      <c r="O75" s="53">
        <f>'Beräkna - Länk'!$C$24/('Beräkna - Länk'!$C$27)^('Beräkna - Länk'!$C$25-2010)</f>
        <v>10385</v>
      </c>
      <c r="P75" s="13">
        <f t="shared" si="124"/>
        <v>3.7905249999999997</v>
      </c>
      <c r="Q75" s="13">
        <f t="shared" si="125"/>
        <v>0.27090882175000003</v>
      </c>
      <c r="R75" s="13">
        <f t="shared" si="126"/>
        <v>0.39864193320000002</v>
      </c>
      <c r="S75" s="28">
        <f t="shared" si="127"/>
        <v>2.0123935130250004E-3</v>
      </c>
      <c r="T75" s="15">
        <f t="shared" si="128"/>
        <v>3.7336860776250001E-2</v>
      </c>
      <c r="U75" s="13">
        <f t="shared" si="129"/>
        <v>0.35929267891072508</v>
      </c>
      <c r="V75" s="13">
        <f t="shared" si="130"/>
        <v>1.310333238009783</v>
      </c>
      <c r="W75" s="15">
        <f t="shared" si="131"/>
        <v>8.7751137534705769E-3</v>
      </c>
      <c r="X75" s="15">
        <f t="shared" si="132"/>
        <v>5.6490640106076753E-2</v>
      </c>
      <c r="Y75" s="15">
        <f t="shared" si="133"/>
        <v>6.3472663319625006E-2</v>
      </c>
      <c r="Z75" s="14">
        <f t="shared" si="134"/>
        <v>0.61079755414823267</v>
      </c>
      <c r="AA75" s="14">
        <f t="shared" si="135"/>
        <v>9.1723326660684812</v>
      </c>
      <c r="AB75" s="13">
        <f t="shared" si="136"/>
        <v>1.4917693380899983E-2</v>
      </c>
      <c r="AC75" s="14">
        <f t="shared" si="137"/>
        <v>9.603408818033049E-2</v>
      </c>
      <c r="AD75" s="13">
        <f t="shared" si="181"/>
        <v>9.6830904372463819E-2</v>
      </c>
      <c r="AE75" s="15">
        <f t="shared" si="182"/>
        <v>1.7275986000000004E-2</v>
      </c>
      <c r="AF75" s="8">
        <v>7.0000000000000007E-2</v>
      </c>
      <c r="AG75" s="8">
        <v>1.4751000000000001</v>
      </c>
      <c r="AH75" s="12">
        <v>0.3</v>
      </c>
      <c r="AI75" s="12">
        <v>9</v>
      </c>
      <c r="AJ75" s="7">
        <v>90.7</v>
      </c>
      <c r="AK75" s="12">
        <v>3.347826086956522</v>
      </c>
      <c r="AL75" s="12">
        <f t="shared" si="138"/>
        <v>0.26533675000000001</v>
      </c>
      <c r="AM75" s="12">
        <f t="shared" si="139"/>
        <v>0.39139823992500006</v>
      </c>
      <c r="AN75" s="18">
        <f t="shared" si="140"/>
        <v>1.1741947197750002E-3</v>
      </c>
      <c r="AO75" s="8">
        <f t="shared" si="141"/>
        <v>3.5225841593250005E-2</v>
      </c>
      <c r="AP75" s="12">
        <f t="shared" si="142"/>
        <v>0.35499820361197509</v>
      </c>
      <c r="AQ75" s="12">
        <f t="shared" si="143"/>
        <v>1.310333238009783</v>
      </c>
      <c r="AR75" s="18">
        <f t="shared" si="144"/>
        <v>8.3246491649648265E-3</v>
      </c>
      <c r="AS75" s="8">
        <f t="shared" si="145"/>
        <v>5.4603968451936755E-2</v>
      </c>
      <c r="AT75" s="8">
        <f t="shared" si="146"/>
        <v>5.9883930708525004E-2</v>
      </c>
      <c r="AU75" s="8">
        <f t="shared" si="147"/>
        <v>0.60349694614035765</v>
      </c>
      <c r="AV75" s="8">
        <f t="shared" si="148"/>
        <v>9.1723326660684812</v>
      </c>
      <c r="AW75" s="8">
        <f t="shared" si="149"/>
        <v>1.4151903580440207E-2</v>
      </c>
      <c r="AX75" s="8">
        <f t="shared" si="150"/>
        <v>9.2826746368292495E-2</v>
      </c>
      <c r="AY75" s="495">
        <f t="shared" si="183"/>
        <v>9.1878202485423152E-2</v>
      </c>
      <c r="AZ75" s="8">
        <f t="shared" si="151"/>
        <v>9.6029010000000022E-3</v>
      </c>
      <c r="BA75" s="6">
        <v>1.7</v>
      </c>
      <c r="BB75" s="6">
        <v>1.7</v>
      </c>
      <c r="BC75" s="6">
        <v>7</v>
      </c>
      <c r="BD75" s="9">
        <v>6.5000000000000002E-2</v>
      </c>
      <c r="BE75" s="9">
        <v>0.24</v>
      </c>
      <c r="BF75" s="9">
        <v>1.7000000000000001E-2</v>
      </c>
      <c r="BG75" s="9">
        <v>0.13</v>
      </c>
      <c r="BH75" s="28">
        <f t="shared" si="152"/>
        <v>2.1961731330000004E-3</v>
      </c>
      <c r="BI75" s="15">
        <f t="shared" si="153"/>
        <v>1.4405384070000003E-2</v>
      </c>
      <c r="BJ75" s="12">
        <v>1.5</v>
      </c>
      <c r="BK75" s="12">
        <v>1.3</v>
      </c>
      <c r="BL75" s="7">
        <v>15</v>
      </c>
      <c r="BM75" s="7">
        <v>30</v>
      </c>
      <c r="BN75" s="7">
        <v>55</v>
      </c>
      <c r="BO75" s="8">
        <f t="shared" si="154"/>
        <v>3.9800512499999999E-3</v>
      </c>
      <c r="BP75" s="8">
        <f t="shared" si="155"/>
        <v>5.1740666250000003E-3</v>
      </c>
      <c r="BQ75" s="8">
        <f t="shared" si="156"/>
        <v>7.7610999375000002E-4</v>
      </c>
      <c r="BR75" s="8">
        <f t="shared" si="157"/>
        <v>1.5522199875E-3</v>
      </c>
      <c r="BS75" s="8">
        <f t="shared" si="158"/>
        <v>2.8457366437500005E-3</v>
      </c>
      <c r="BT75" s="18">
        <f t="shared" si="159"/>
        <v>3.3088156066875008E-4</v>
      </c>
      <c r="BU75" s="8">
        <f t="shared" si="160"/>
        <v>1.3711276556250002E-3</v>
      </c>
      <c r="BV75" s="8">
        <f t="shared" si="161"/>
        <v>2.63877397875E-3</v>
      </c>
      <c r="BW75" s="8">
        <f t="shared" si="162"/>
        <v>4.8377522943750008E-3</v>
      </c>
      <c r="BX75" s="18">
        <f t="shared" si="163"/>
        <v>5.6249865313687502E-4</v>
      </c>
      <c r="BY75" s="8">
        <f t="shared" si="164"/>
        <v>2.3309170145625001E-3</v>
      </c>
      <c r="BZ75" s="12">
        <f t="shared" si="165"/>
        <v>0.44999999999999996</v>
      </c>
      <c r="CA75" s="12">
        <f t="shared" si="184"/>
        <v>0.37648902821316615</v>
      </c>
      <c r="CB75" s="6">
        <v>1.7</v>
      </c>
      <c r="CC75" s="6">
        <v>1.7</v>
      </c>
      <c r="CD75" s="15">
        <v>0.16</v>
      </c>
      <c r="CE75" s="9">
        <v>0.48</v>
      </c>
      <c r="CF75" s="9">
        <v>2.9000000000000001E-2</v>
      </c>
      <c r="CG75" s="11">
        <v>0.22</v>
      </c>
      <c r="CH75" s="28">
        <f t="shared" si="185"/>
        <v>8.7291750000000027E-5</v>
      </c>
      <c r="CI75" s="15">
        <f t="shared" si="166"/>
        <v>3.6172500000000008E-4</v>
      </c>
      <c r="CJ75" s="12">
        <v>0.6</v>
      </c>
      <c r="CK75" s="12">
        <v>1.3</v>
      </c>
      <c r="CL75" s="7">
        <v>3</v>
      </c>
      <c r="CM75" s="7">
        <v>27</v>
      </c>
      <c r="CN75" s="7">
        <v>70</v>
      </c>
      <c r="CO75" s="8">
        <f t="shared" si="167"/>
        <v>1.5920205000000002E-3</v>
      </c>
      <c r="CP75" s="8">
        <f t="shared" si="168"/>
        <v>2.0696266500000002E-3</v>
      </c>
      <c r="CQ75" s="18">
        <f t="shared" si="169"/>
        <v>6.208879950000001E-5</v>
      </c>
      <c r="CR75" s="8">
        <f t="shared" si="170"/>
        <v>5.587991955000001E-4</v>
      </c>
      <c r="CS75" s="8">
        <f t="shared" si="171"/>
        <v>1.448738655E-3</v>
      </c>
      <c r="CT75" s="18">
        <f t="shared" si="172"/>
        <v>1.1958302783700002E-4</v>
      </c>
      <c r="CU75" s="8">
        <f t="shared" si="173"/>
        <v>5.1554399851500021E-4</v>
      </c>
      <c r="CV75" s="8">
        <f t="shared" si="174"/>
        <v>9.4995863235000015E-4</v>
      </c>
      <c r="CW75" s="8">
        <f t="shared" si="175"/>
        <v>2.4628557134999999E-3</v>
      </c>
      <c r="CX75" s="18">
        <f t="shared" si="176"/>
        <v>2.032911473229E-4</v>
      </c>
      <c r="CY75" s="8">
        <f t="shared" si="177"/>
        <v>8.7642479747550002E-4</v>
      </c>
      <c r="CZ75" s="12">
        <f t="shared" si="178"/>
        <v>0.30000000000000004</v>
      </c>
      <c r="DA75" s="12">
        <f t="shared" si="186"/>
        <v>0.27008338296605122</v>
      </c>
      <c r="DB75" s="6">
        <v>1.7</v>
      </c>
      <c r="DC75" s="6">
        <v>1.7</v>
      </c>
      <c r="DD75" s="9">
        <v>0.14399999999999999</v>
      </c>
      <c r="DE75" s="9">
        <v>0.43</v>
      </c>
      <c r="DF75" s="15">
        <v>2.7E-2</v>
      </c>
      <c r="DG75" s="13">
        <v>0.19</v>
      </c>
      <c r="DH75" s="28">
        <f t="shared" si="179"/>
        <v>3.1547880000000009E-5</v>
      </c>
      <c r="DI75" s="29">
        <f t="shared" si="180"/>
        <v>1.3600860000000006E-4</v>
      </c>
    </row>
    <row r="76" spans="1:113" x14ac:dyDescent="0.25">
      <c r="A76" s="85">
        <v>68</v>
      </c>
      <c r="B76" s="35" t="s">
        <v>26</v>
      </c>
      <c r="C76" s="35" t="s">
        <v>28</v>
      </c>
      <c r="D76" s="19" t="s">
        <v>178</v>
      </c>
      <c r="E76" s="19" t="s">
        <v>52</v>
      </c>
      <c r="F76" s="9">
        <v>100</v>
      </c>
      <c r="G76" s="32" t="s">
        <v>110</v>
      </c>
      <c r="H76" s="19" t="s">
        <v>99</v>
      </c>
      <c r="I76" s="31" t="s">
        <v>99</v>
      </c>
      <c r="J76" s="32" t="s">
        <v>99</v>
      </c>
      <c r="K76" s="2" t="str">
        <f t="shared" si="123"/>
        <v>Statlig Landsbygd MLV 100 9-13 - -</v>
      </c>
      <c r="L76" s="2"/>
      <c r="M76" s="32" t="s">
        <v>179</v>
      </c>
      <c r="N76" s="53">
        <f>'Beräkna - Länk'!$C$26</f>
        <v>1</v>
      </c>
      <c r="O76" s="53">
        <f>'Beräkna - Länk'!$C$24/('Beräkna - Länk'!$C$27)^('Beräkna - Länk'!$C$25-2010)</f>
        <v>10385</v>
      </c>
      <c r="P76" s="13">
        <f t="shared" si="124"/>
        <v>3.7905249999999997</v>
      </c>
      <c r="Q76" s="13">
        <f t="shared" si="125"/>
        <v>0.22763675692875002</v>
      </c>
      <c r="R76" s="13">
        <f t="shared" si="126"/>
        <v>0.3352366559385625</v>
      </c>
      <c r="S76" s="28">
        <f t="shared" si="127"/>
        <v>1.6296681553973128E-3</v>
      </c>
      <c r="T76" s="15">
        <f t="shared" si="128"/>
        <v>3.3294839019558937E-2</v>
      </c>
      <c r="U76" s="13">
        <f t="shared" si="129"/>
        <v>0.30031214876360629</v>
      </c>
      <c r="V76" s="13">
        <f t="shared" si="130"/>
        <v>1.1086355145875626</v>
      </c>
      <c r="W76" s="15">
        <f t="shared" si="131"/>
        <v>7.71944225902937E-3</v>
      </c>
      <c r="X76" s="15">
        <f t="shared" si="132"/>
        <v>4.8099804333722761E-2</v>
      </c>
      <c r="Y76" s="15">
        <f t="shared" si="133"/>
        <v>5.6601226333250196E-2</v>
      </c>
      <c r="Z76" s="14">
        <f t="shared" si="134"/>
        <v>0.51053065289813071</v>
      </c>
      <c r="AA76" s="14">
        <f t="shared" si="135"/>
        <v>7.7604486021129384</v>
      </c>
      <c r="AB76" s="13">
        <f t="shared" si="136"/>
        <v>1.3123051840349927E-2</v>
      </c>
      <c r="AC76" s="14">
        <f t="shared" si="137"/>
        <v>8.1769667367328686E-2</v>
      </c>
      <c r="AD76" s="13">
        <f t="shared" si="181"/>
        <v>0.10238191163976214</v>
      </c>
      <c r="AE76" s="15">
        <f t="shared" si="182"/>
        <v>1.5362224095250001E-2</v>
      </c>
      <c r="AF76" s="8">
        <v>5.9225000000000007E-2</v>
      </c>
      <c r="AG76" s="8">
        <v>1.4751000000000001</v>
      </c>
      <c r="AH76" s="12">
        <v>0.3</v>
      </c>
      <c r="AI76" s="12">
        <v>9.6999999999999993</v>
      </c>
      <c r="AJ76" s="7">
        <v>90</v>
      </c>
      <c r="AK76" s="12">
        <v>3.347826086956522</v>
      </c>
      <c r="AL76" s="12">
        <f t="shared" si="138"/>
        <v>0.22449384312500001</v>
      </c>
      <c r="AM76" s="12">
        <f t="shared" si="139"/>
        <v>0.33115086799368754</v>
      </c>
      <c r="AN76" s="18">
        <f t="shared" si="140"/>
        <v>9.9345260398106257E-4</v>
      </c>
      <c r="AO76" s="8">
        <f t="shared" si="141"/>
        <v>3.2121634195387688E-2</v>
      </c>
      <c r="AP76" s="12">
        <f t="shared" si="142"/>
        <v>0.29803578119431878</v>
      </c>
      <c r="AQ76" s="12">
        <f t="shared" si="143"/>
        <v>1.1086355145875626</v>
      </c>
      <c r="AR76" s="18">
        <f t="shared" si="144"/>
        <v>7.4757308449574971E-3</v>
      </c>
      <c r="AS76" s="8">
        <f t="shared" si="145"/>
        <v>4.7096276446062249E-2</v>
      </c>
      <c r="AT76" s="8">
        <f t="shared" si="146"/>
        <v>5.460677813215907E-2</v>
      </c>
      <c r="AU76" s="8">
        <f t="shared" si="147"/>
        <v>0.50666082803034196</v>
      </c>
      <c r="AV76" s="8">
        <f t="shared" si="148"/>
        <v>7.7604486021129384</v>
      </c>
      <c r="AW76" s="8">
        <f t="shared" si="149"/>
        <v>1.2708742436427743E-2</v>
      </c>
      <c r="AX76" s="8">
        <f t="shared" si="150"/>
        <v>8.0063669958305814E-2</v>
      </c>
      <c r="AY76" s="495">
        <f t="shared" si="183"/>
        <v>9.8886860239118898E-2</v>
      </c>
      <c r="AZ76" s="8">
        <f t="shared" si="151"/>
        <v>8.7362797500000009E-3</v>
      </c>
      <c r="BA76" s="6">
        <v>1.7</v>
      </c>
      <c r="BB76" s="6">
        <v>1.7</v>
      </c>
      <c r="BC76" s="6">
        <v>7</v>
      </c>
      <c r="BD76" s="9">
        <v>7.4999999999999997E-2</v>
      </c>
      <c r="BE76" s="9">
        <v>0.26</v>
      </c>
      <c r="BF76" s="9">
        <v>1.7000000000000001E-2</v>
      </c>
      <c r="BG76" s="9">
        <v>0.13</v>
      </c>
      <c r="BH76" s="28">
        <f t="shared" si="152"/>
        <v>1.9722151535625006E-3</v>
      </c>
      <c r="BI76" s="15">
        <f t="shared" si="153"/>
        <v>1.2424737060450004E-2</v>
      </c>
      <c r="BJ76" s="12">
        <v>0.8</v>
      </c>
      <c r="BK76" s="12">
        <v>1.3</v>
      </c>
      <c r="BL76" s="7">
        <v>25</v>
      </c>
      <c r="BM76" s="7">
        <v>30</v>
      </c>
      <c r="BN76" s="7">
        <v>45</v>
      </c>
      <c r="BO76" s="8">
        <f t="shared" si="154"/>
        <v>1.7959507450000002E-3</v>
      </c>
      <c r="BP76" s="8">
        <f t="shared" si="155"/>
        <v>2.3347359685000004E-3</v>
      </c>
      <c r="BQ76" s="8">
        <f t="shared" si="156"/>
        <v>5.8368399212500009E-4</v>
      </c>
      <c r="BR76" s="8">
        <f t="shared" si="157"/>
        <v>7.0042079055000013E-4</v>
      </c>
      <c r="BS76" s="8">
        <f t="shared" si="158"/>
        <v>1.0506311858250001E-3</v>
      </c>
      <c r="BT76" s="18">
        <f t="shared" si="159"/>
        <v>1.42535630876925E-4</v>
      </c>
      <c r="BU76" s="8">
        <f t="shared" si="160"/>
        <v>5.6734084034550005E-4</v>
      </c>
      <c r="BV76" s="8">
        <f t="shared" si="161"/>
        <v>1.1907153439350002E-3</v>
      </c>
      <c r="BW76" s="8">
        <f t="shared" si="162"/>
        <v>1.7860730159025002E-3</v>
      </c>
      <c r="BX76" s="18">
        <f t="shared" si="163"/>
        <v>2.4231057249077256E-4</v>
      </c>
      <c r="BY76" s="8">
        <f t="shared" si="164"/>
        <v>9.6447942858735015E-4</v>
      </c>
      <c r="BZ76" s="12">
        <f t="shared" si="165"/>
        <v>0.55000000000000004</v>
      </c>
      <c r="CA76" s="12">
        <f t="shared" si="184"/>
        <v>0.43481967213114758</v>
      </c>
      <c r="CB76" s="6">
        <v>1.7</v>
      </c>
      <c r="CC76" s="6">
        <v>1.7</v>
      </c>
      <c r="CD76" s="15">
        <v>0.16</v>
      </c>
      <c r="CE76" s="9">
        <v>0.48</v>
      </c>
      <c r="CF76" s="9">
        <v>2.9000000000000001E-2</v>
      </c>
      <c r="CG76" s="11">
        <v>0.22</v>
      </c>
      <c r="CH76" s="28">
        <f t="shared" si="185"/>
        <v>3.7603137000000007E-5</v>
      </c>
      <c r="CI76" s="15">
        <f t="shared" si="166"/>
        <v>1.4967342000000002E-4</v>
      </c>
      <c r="CJ76" s="12">
        <v>0.6</v>
      </c>
      <c r="CK76" s="12">
        <v>1.3</v>
      </c>
      <c r="CL76" s="7">
        <v>3</v>
      </c>
      <c r="CM76" s="7">
        <v>27</v>
      </c>
      <c r="CN76" s="7">
        <v>70</v>
      </c>
      <c r="CO76" s="8">
        <f t="shared" si="167"/>
        <v>1.3469630587500002E-3</v>
      </c>
      <c r="CP76" s="8">
        <f t="shared" si="168"/>
        <v>1.7510519763750002E-3</v>
      </c>
      <c r="CQ76" s="18">
        <f t="shared" si="169"/>
        <v>5.253155929125E-5</v>
      </c>
      <c r="CR76" s="8">
        <f t="shared" si="170"/>
        <v>4.7278403362125006E-4</v>
      </c>
      <c r="CS76" s="8">
        <f t="shared" si="171"/>
        <v>1.2257363834625001E-3</v>
      </c>
      <c r="CT76" s="18">
        <f t="shared" si="172"/>
        <v>1.0117578319494749E-4</v>
      </c>
      <c r="CU76" s="8">
        <f t="shared" si="173"/>
        <v>4.3618704731501252E-4</v>
      </c>
      <c r="CV76" s="8">
        <f t="shared" si="174"/>
        <v>8.0373285715612509E-4</v>
      </c>
      <c r="CW76" s="8">
        <f t="shared" si="175"/>
        <v>2.0837518518862499E-3</v>
      </c>
      <c r="CX76" s="18">
        <f t="shared" si="176"/>
        <v>1.7199883143141073E-4</v>
      </c>
      <c r="CY76" s="8">
        <f t="shared" si="177"/>
        <v>7.4151798043552131E-4</v>
      </c>
      <c r="CZ76" s="12">
        <f t="shared" si="178"/>
        <v>0.30000000000000004</v>
      </c>
      <c r="DA76" s="12">
        <f t="shared" si="186"/>
        <v>0.27008338296605122</v>
      </c>
      <c r="DB76" s="6">
        <v>1.7</v>
      </c>
      <c r="DC76" s="6">
        <v>1.7</v>
      </c>
      <c r="DD76" s="9">
        <v>0.14399999999999999</v>
      </c>
      <c r="DE76" s="9">
        <v>0.43</v>
      </c>
      <c r="DF76" s="15">
        <v>2.7E-2</v>
      </c>
      <c r="DG76" s="13">
        <v>0.19</v>
      </c>
      <c r="DH76" s="28">
        <f t="shared" si="179"/>
        <v>2.66917599E-5</v>
      </c>
      <c r="DI76" s="29">
        <f t="shared" si="180"/>
        <v>1.1507299050000001E-4</v>
      </c>
    </row>
    <row r="77" spans="1:113" x14ac:dyDescent="0.25">
      <c r="A77" s="85">
        <v>69</v>
      </c>
      <c r="B77" s="35" t="s">
        <v>26</v>
      </c>
      <c r="C77" s="35" t="s">
        <v>28</v>
      </c>
      <c r="D77" s="19" t="s">
        <v>128</v>
      </c>
      <c r="E77" s="19" t="s">
        <v>52</v>
      </c>
      <c r="F77" s="9">
        <v>90</v>
      </c>
      <c r="G77" s="38" t="s">
        <v>29</v>
      </c>
      <c r="H77" s="19" t="s">
        <v>99</v>
      </c>
      <c r="I77" s="31" t="s">
        <v>99</v>
      </c>
      <c r="J77" s="32" t="s">
        <v>99</v>
      </c>
      <c r="K77" s="2" t="str">
        <f t="shared" si="123"/>
        <v>Statlig Landsbygd MML 90 13-14 - -</v>
      </c>
      <c r="L77" s="2"/>
      <c r="M77" s="32" t="s">
        <v>99</v>
      </c>
      <c r="N77" s="53">
        <f>'Beräkna - Länk'!$C$26</f>
        <v>1</v>
      </c>
      <c r="O77" s="53">
        <f>'Beräkna - Länk'!$C$24/('Beräkna - Länk'!$C$27)^('Beräkna - Länk'!$C$25-2010)</f>
        <v>10385</v>
      </c>
      <c r="P77" s="13">
        <f t="shared" si="124"/>
        <v>3.7905249999999997</v>
      </c>
      <c r="Q77" s="13">
        <f t="shared" si="125"/>
        <v>0.30657766199999997</v>
      </c>
      <c r="R77" s="13">
        <f t="shared" si="126"/>
        <v>0.49545194169999995</v>
      </c>
      <c r="S77" s="28">
        <f t="shared" si="127"/>
        <v>5.3666252949999991E-3</v>
      </c>
      <c r="T77" s="15">
        <f t="shared" si="128"/>
        <v>4.6493821544999987E-2</v>
      </c>
      <c r="U77" s="13">
        <f t="shared" si="129"/>
        <v>0.44359149485999999</v>
      </c>
      <c r="V77" s="13">
        <f t="shared" si="130"/>
        <v>1.4737561199999998</v>
      </c>
      <c r="W77" s="15">
        <f t="shared" si="131"/>
        <v>1.1542316924309999E-2</v>
      </c>
      <c r="X77" s="15">
        <f t="shared" si="132"/>
        <v>7.0661898121950006E-2</v>
      </c>
      <c r="Y77" s="15">
        <f t="shared" si="133"/>
        <v>7.9039496626499992E-2</v>
      </c>
      <c r="Z77" s="14">
        <f t="shared" si="134"/>
        <v>0.75410554126199991</v>
      </c>
      <c r="AA77" s="14">
        <f>AQ77*BC77</f>
        <v>10.316292839999999</v>
      </c>
      <c r="AB77" s="13">
        <f t="shared" si="136"/>
        <v>1.9621938771326997E-2</v>
      </c>
      <c r="AC77" s="14">
        <f t="shared" si="137"/>
        <v>0.12012522680731499</v>
      </c>
      <c r="AD77" s="13">
        <f t="shared" si="181"/>
        <v>0.1006618340895141</v>
      </c>
      <c r="AE77" s="15">
        <f t="shared" si="182"/>
        <v>2.2267659999999998E-2</v>
      </c>
      <c r="AF77" s="8">
        <v>0.08</v>
      </c>
      <c r="AG77" s="6">
        <v>1.62</v>
      </c>
      <c r="AH77" s="12">
        <v>0.9</v>
      </c>
      <c r="AI77" s="12">
        <v>9.1</v>
      </c>
      <c r="AJ77" s="7">
        <v>90</v>
      </c>
      <c r="AK77" s="12">
        <v>3</v>
      </c>
      <c r="AL77" s="12">
        <f t="shared" si="138"/>
        <v>0.30324199999999996</v>
      </c>
      <c r="AM77" s="12">
        <f t="shared" si="139"/>
        <v>0.49125203999999995</v>
      </c>
      <c r="AN77" s="18">
        <f t="shared" si="140"/>
        <v>4.4212683599999993E-3</v>
      </c>
      <c r="AO77" s="8">
        <f t="shared" si="141"/>
        <v>4.4703935639999991E-2</v>
      </c>
      <c r="AP77" s="12">
        <f t="shared" si="142"/>
        <v>0.44212683599999997</v>
      </c>
      <c r="AQ77" s="12">
        <f t="shared" si="143"/>
        <v>1.4737561199999998</v>
      </c>
      <c r="AR77" s="18">
        <f t="shared" si="144"/>
        <v>1.1266374285359999E-2</v>
      </c>
      <c r="AS77" s="8">
        <f t="shared" si="145"/>
        <v>6.9546551302800005E-2</v>
      </c>
      <c r="AT77" s="8">
        <f t="shared" si="146"/>
        <v>7.5996690587999988E-2</v>
      </c>
      <c r="AU77" s="8">
        <f t="shared" si="147"/>
        <v>0.75161562119999992</v>
      </c>
      <c r="AV77" s="8">
        <f t="shared" si="148"/>
        <v>10.316292839999999</v>
      </c>
      <c r="AW77" s="8">
        <f t="shared" si="149"/>
        <v>1.9152836285111996E-2</v>
      </c>
      <c r="AX77" s="8">
        <f t="shared" si="150"/>
        <v>0.11822913721475999</v>
      </c>
      <c r="AY77" s="495">
        <f t="shared" si="183"/>
        <v>9.6652299698884087E-2</v>
      </c>
      <c r="AZ77" s="8">
        <f>(AH77/100+AI77/100)*AG77*AF77</f>
        <v>1.2960000000000003E-2</v>
      </c>
      <c r="BA77" s="6">
        <v>1.7</v>
      </c>
      <c r="BB77" s="6">
        <v>1.7</v>
      </c>
      <c r="BC77" s="6">
        <v>7</v>
      </c>
      <c r="BD77" s="9">
        <v>7.3999999999999996E-2</v>
      </c>
      <c r="BE77" s="20">
        <v>0.27</v>
      </c>
      <c r="BF77" s="11">
        <v>1.7999999999999999E-2</v>
      </c>
      <c r="BG77" s="9">
        <v>0.13</v>
      </c>
      <c r="BH77" s="28">
        <f t="shared" si="152"/>
        <v>2.9722463999999997E-3</v>
      </c>
      <c r="BI77" s="15">
        <f t="shared" si="153"/>
        <v>1.8347472000000004E-2</v>
      </c>
      <c r="BJ77" s="12">
        <v>0.95</v>
      </c>
      <c r="BK77" s="12">
        <v>1.3</v>
      </c>
      <c r="BL77" s="7">
        <v>25</v>
      </c>
      <c r="BM77" s="7">
        <v>45</v>
      </c>
      <c r="BN77" s="7">
        <v>30</v>
      </c>
      <c r="BO77" s="8">
        <f t="shared" si="154"/>
        <v>2.8807989999999994E-3</v>
      </c>
      <c r="BP77" s="8">
        <f t="shared" si="155"/>
        <v>3.7450386999999994E-3</v>
      </c>
      <c r="BQ77" s="8">
        <f t="shared" si="156"/>
        <v>9.3625967499999985E-4</v>
      </c>
      <c r="BR77" s="8">
        <f t="shared" si="157"/>
        <v>1.6852674149999997E-3</v>
      </c>
      <c r="BS77" s="8">
        <f t="shared" si="158"/>
        <v>1.1235116099999997E-3</v>
      </c>
      <c r="BT77" s="18">
        <f t="shared" si="159"/>
        <v>2.5166660064000008E-4</v>
      </c>
      <c r="BU77" s="8">
        <f t="shared" si="160"/>
        <v>1.0055428909500001E-3</v>
      </c>
      <c r="BV77" s="8">
        <f t="shared" si="161"/>
        <v>2.8649546054999994E-3</v>
      </c>
      <c r="BW77" s="8">
        <f t="shared" si="162"/>
        <v>1.9099697369999995E-3</v>
      </c>
      <c r="BX77" s="18">
        <f t="shared" si="163"/>
        <v>4.2783322108799993E-4</v>
      </c>
      <c r="BY77" s="8">
        <f t="shared" si="164"/>
        <v>1.7094229146149996E-3</v>
      </c>
      <c r="BZ77" s="12">
        <f t="shared" si="165"/>
        <v>0.7</v>
      </c>
      <c r="CA77" s="12">
        <f t="shared" si="184"/>
        <v>0.46324590163934426</v>
      </c>
      <c r="CB77" s="6">
        <v>1.7</v>
      </c>
      <c r="CC77" s="6">
        <v>1.7</v>
      </c>
      <c r="CD77" s="15">
        <v>0.13</v>
      </c>
      <c r="CE77" s="9">
        <v>0.45</v>
      </c>
      <c r="CF77" s="9">
        <v>2.9000000000000001E-2</v>
      </c>
      <c r="CG77" s="11">
        <v>0.22</v>
      </c>
      <c r="CH77" s="28">
        <f t="shared" si="185"/>
        <v>6.6393600000000028E-5</v>
      </c>
      <c r="CI77" s="15">
        <f t="shared" si="166"/>
        <v>2.6527800000000003E-4</v>
      </c>
      <c r="CJ77" s="12">
        <v>0.15</v>
      </c>
      <c r="CK77" s="12">
        <v>1</v>
      </c>
      <c r="CL77" s="7">
        <v>2</v>
      </c>
      <c r="CM77" s="7">
        <v>23</v>
      </c>
      <c r="CN77" s="7">
        <v>75</v>
      </c>
      <c r="CO77" s="8">
        <f t="shared" si="167"/>
        <v>4.5486299999999996E-4</v>
      </c>
      <c r="CP77" s="8">
        <f t="shared" si="168"/>
        <v>4.5486299999999996E-4</v>
      </c>
      <c r="CQ77" s="18">
        <f t="shared" si="169"/>
        <v>9.097259999999999E-6</v>
      </c>
      <c r="CR77" s="8">
        <f t="shared" si="170"/>
        <v>1.0461849E-4</v>
      </c>
      <c r="CS77" s="8">
        <f t="shared" si="171"/>
        <v>3.4114724999999995E-4</v>
      </c>
      <c r="CT77" s="18">
        <f t="shared" si="172"/>
        <v>2.4276038309999995E-5</v>
      </c>
      <c r="CU77" s="8">
        <f t="shared" si="173"/>
        <v>1.0980392819999999E-4</v>
      </c>
      <c r="CV77" s="8">
        <f t="shared" si="174"/>
        <v>1.7785143300000001E-4</v>
      </c>
      <c r="CW77" s="8">
        <f t="shared" si="175"/>
        <v>5.7995032499999987E-4</v>
      </c>
      <c r="CX77" s="18">
        <f t="shared" si="176"/>
        <v>4.1269265126999999E-5</v>
      </c>
      <c r="CY77" s="8">
        <f t="shared" si="177"/>
        <v>1.8666667793999997E-4</v>
      </c>
      <c r="CZ77" s="12">
        <f t="shared" si="178"/>
        <v>0.25</v>
      </c>
      <c r="DA77" s="12">
        <f t="shared" si="186"/>
        <v>0.25526690391459078</v>
      </c>
      <c r="DB77" s="6">
        <v>1.7</v>
      </c>
      <c r="DC77" s="6">
        <v>1.7</v>
      </c>
      <c r="DD77" s="9">
        <v>0.14399999999999999</v>
      </c>
      <c r="DE77" s="9">
        <v>0.43</v>
      </c>
      <c r="DF77" s="15">
        <v>2.7E-2</v>
      </c>
      <c r="DG77" s="13">
        <v>0.19</v>
      </c>
      <c r="DH77" s="28">
        <f t="shared" si="179"/>
        <v>6.4043999999999992E-6</v>
      </c>
      <c r="DI77" s="29">
        <f t="shared" si="180"/>
        <v>2.8968000000000001E-5</v>
      </c>
    </row>
    <row r="78" spans="1:113" x14ac:dyDescent="0.25">
      <c r="A78" s="85">
        <v>70</v>
      </c>
      <c r="B78" s="35" t="s">
        <v>26</v>
      </c>
      <c r="C78" s="35" t="s">
        <v>28</v>
      </c>
      <c r="D78" s="19" t="s">
        <v>128</v>
      </c>
      <c r="E78" s="19" t="s">
        <v>52</v>
      </c>
      <c r="F78" s="9">
        <v>100</v>
      </c>
      <c r="G78" s="38" t="s">
        <v>29</v>
      </c>
      <c r="H78" s="19" t="s">
        <v>99</v>
      </c>
      <c r="I78" s="31" t="s">
        <v>99</v>
      </c>
      <c r="J78" s="32" t="s">
        <v>99</v>
      </c>
      <c r="K78" s="2" t="str">
        <f t="shared" si="123"/>
        <v>Statlig Landsbygd MML 100 13-14 - -</v>
      </c>
      <c r="L78" s="2"/>
      <c r="M78" s="32" t="s">
        <v>99</v>
      </c>
      <c r="N78" s="53">
        <f>'Beräkna - Länk'!$C$26</f>
        <v>1</v>
      </c>
      <c r="O78" s="53">
        <f>'Beräkna - Länk'!$C$24/('Beräkna - Länk'!$C$27)^('Beräkna - Länk'!$C$25-2010)</f>
        <v>10385</v>
      </c>
      <c r="P78" s="13">
        <f t="shared" si="124"/>
        <v>3.7905249999999997</v>
      </c>
      <c r="Q78" s="13">
        <f t="shared" si="125"/>
        <v>0.27208767502499992</v>
      </c>
      <c r="R78" s="13">
        <f t="shared" si="126"/>
        <v>0.42087468900874991</v>
      </c>
      <c r="S78" s="28">
        <f t="shared" si="127"/>
        <v>3.7590352135624988E-3</v>
      </c>
      <c r="T78" s="15">
        <f t="shared" si="128"/>
        <v>4.0383220431937497E-2</v>
      </c>
      <c r="U78" s="13">
        <f t="shared" si="129"/>
        <v>0.37673243336324996</v>
      </c>
      <c r="V78" s="13">
        <f t="shared" si="130"/>
        <v>1.2514418287499998</v>
      </c>
      <c r="W78" s="15">
        <f t="shared" si="131"/>
        <v>1.0306309734307498E-2</v>
      </c>
      <c r="X78" s="15">
        <f t="shared" si="132"/>
        <v>6.1091433908632503E-2</v>
      </c>
      <c r="Y78" s="15">
        <f t="shared" si="133"/>
        <v>6.8651474734293741E-2</v>
      </c>
      <c r="Z78" s="14">
        <f t="shared" si="134"/>
        <v>0.6404451367175249</v>
      </c>
      <c r="AA78" s="14">
        <f t="shared" si="135"/>
        <v>8.7600928012499981</v>
      </c>
      <c r="AB78" s="13">
        <f t="shared" si="136"/>
        <v>1.7520726548322745E-2</v>
      </c>
      <c r="AC78" s="14">
        <f t="shared" si="137"/>
        <v>0.10385543764467524</v>
      </c>
      <c r="AD78" s="13">
        <f t="shared" si="181"/>
        <v>0.10157808286513606</v>
      </c>
      <c r="AE78" s="15">
        <f t="shared" si="182"/>
        <v>1.9103029249999997E-2</v>
      </c>
      <c r="AF78" s="6">
        <v>7.0999999999999994E-2</v>
      </c>
      <c r="AG78" s="6">
        <v>1.55</v>
      </c>
      <c r="AH78" s="12">
        <v>0.7</v>
      </c>
      <c r="AI78" s="12">
        <v>9.3000000000000007</v>
      </c>
      <c r="AJ78" s="7">
        <v>90</v>
      </c>
      <c r="AK78" s="12">
        <v>3</v>
      </c>
      <c r="AL78" s="12">
        <f t="shared" si="138"/>
        <v>0.26912727499999994</v>
      </c>
      <c r="AM78" s="12">
        <f t="shared" si="139"/>
        <v>0.41714727624999992</v>
      </c>
      <c r="AN78" s="18">
        <f t="shared" si="140"/>
        <v>2.9200309337499993E-3</v>
      </c>
      <c r="AO78" s="8">
        <f t="shared" si="141"/>
        <v>3.8794696691249998E-2</v>
      </c>
      <c r="AP78" s="12">
        <f t="shared" si="142"/>
        <v>0.37543254862499992</v>
      </c>
      <c r="AQ78" s="12">
        <f t="shared" si="143"/>
        <v>1.2514418287499998</v>
      </c>
      <c r="AR78" s="18">
        <f t="shared" si="144"/>
        <v>1.0016540397314999E-2</v>
      </c>
      <c r="AS78" s="8">
        <f t="shared" si="145"/>
        <v>6.0056693361712501E-2</v>
      </c>
      <c r="AT78" s="8">
        <f t="shared" si="146"/>
        <v>6.5950984375124991E-2</v>
      </c>
      <c r="AU78" s="8">
        <f t="shared" si="147"/>
        <v>0.63823533266249988</v>
      </c>
      <c r="AV78" s="8">
        <f t="shared" si="148"/>
        <v>8.7600928012499981</v>
      </c>
      <c r="AW78" s="8">
        <f t="shared" si="149"/>
        <v>1.7028118675435494E-2</v>
      </c>
      <c r="AX78" s="8">
        <f t="shared" si="150"/>
        <v>0.10209637871491123</v>
      </c>
      <c r="AY78" s="495">
        <f t="shared" si="183"/>
        <v>9.7398383576190198E-2</v>
      </c>
      <c r="AZ78" s="8">
        <f t="shared" si="151"/>
        <v>1.1005000000000001E-2</v>
      </c>
      <c r="BA78" s="6">
        <v>1.7</v>
      </c>
      <c r="BB78" s="6">
        <v>1.7</v>
      </c>
      <c r="BC78" s="6">
        <v>7</v>
      </c>
      <c r="BD78" s="9">
        <v>8.4000000000000005E-2</v>
      </c>
      <c r="BE78" s="20">
        <v>0.28999999999999998</v>
      </c>
      <c r="BF78" s="11">
        <v>1.7999999999999999E-2</v>
      </c>
      <c r="BG78" s="9">
        <v>0.13</v>
      </c>
      <c r="BH78" s="28">
        <f t="shared" si="152"/>
        <v>2.6425206E-3</v>
      </c>
      <c r="BI78" s="15">
        <f t="shared" si="153"/>
        <v>1.5843898500000002E-2</v>
      </c>
      <c r="BJ78" s="12">
        <v>0.95</v>
      </c>
      <c r="BK78" s="12">
        <v>1.3</v>
      </c>
      <c r="BL78" s="7">
        <v>25</v>
      </c>
      <c r="BM78" s="7">
        <v>45</v>
      </c>
      <c r="BN78" s="7">
        <v>30</v>
      </c>
      <c r="BO78" s="8">
        <f t="shared" si="154"/>
        <v>2.5567091124999992E-3</v>
      </c>
      <c r="BP78" s="8">
        <f t="shared" si="155"/>
        <v>3.3237218462499993E-3</v>
      </c>
      <c r="BQ78" s="8">
        <f t="shared" si="156"/>
        <v>8.3093046156249982E-4</v>
      </c>
      <c r="BR78" s="8">
        <f t="shared" si="157"/>
        <v>1.4956748308124997E-3</v>
      </c>
      <c r="BS78" s="8">
        <f t="shared" si="158"/>
        <v>9.9711655387499983E-4</v>
      </c>
      <c r="BT78" s="18">
        <f t="shared" si="159"/>
        <v>2.6822435299237498E-4</v>
      </c>
      <c r="BU78" s="8">
        <f t="shared" si="160"/>
        <v>9.3728956064249966E-4</v>
      </c>
      <c r="BV78" s="8">
        <f t="shared" si="161"/>
        <v>2.5426472123812496E-3</v>
      </c>
      <c r="BW78" s="8">
        <f t="shared" si="162"/>
        <v>1.6950981415874997E-3</v>
      </c>
      <c r="BX78" s="18">
        <f t="shared" si="163"/>
        <v>4.5598140008703744E-4</v>
      </c>
      <c r="BY78" s="8">
        <f t="shared" si="164"/>
        <v>1.5933922530922497E-3</v>
      </c>
      <c r="BZ78" s="12">
        <f t="shared" si="165"/>
        <v>0.7</v>
      </c>
      <c r="CA78" s="12">
        <f t="shared" si="184"/>
        <v>0.4782950819672131</v>
      </c>
      <c r="CB78" s="6">
        <v>1.7</v>
      </c>
      <c r="CC78" s="6">
        <v>1.7</v>
      </c>
      <c r="CD78" s="15">
        <v>0.16</v>
      </c>
      <c r="CE78" s="9">
        <v>0.48</v>
      </c>
      <c r="CF78" s="9">
        <v>2.9000000000000001E-2</v>
      </c>
      <c r="CG78" s="11">
        <v>0.22</v>
      </c>
      <c r="CH78" s="28">
        <f t="shared" si="185"/>
        <v>7.0761795000000004E-5</v>
      </c>
      <c r="CI78" s="15">
        <f t="shared" si="166"/>
        <v>2.4727169999999994E-4</v>
      </c>
      <c r="CJ78" s="12">
        <v>0.15</v>
      </c>
      <c r="CK78" s="12">
        <v>1</v>
      </c>
      <c r="CL78" s="7">
        <v>2</v>
      </c>
      <c r="CM78" s="7">
        <v>23</v>
      </c>
      <c r="CN78" s="7">
        <v>75</v>
      </c>
      <c r="CO78" s="8">
        <f t="shared" si="167"/>
        <v>4.0369091249999994E-4</v>
      </c>
      <c r="CP78" s="8">
        <f t="shared" si="168"/>
        <v>4.0369091249999994E-4</v>
      </c>
      <c r="CQ78" s="18">
        <f t="shared" si="169"/>
        <v>8.0738182499999988E-6</v>
      </c>
      <c r="CR78" s="8">
        <f t="shared" si="170"/>
        <v>9.2848909874999986E-5</v>
      </c>
      <c r="CS78" s="8">
        <f t="shared" si="171"/>
        <v>3.0276818437499994E-4</v>
      </c>
      <c r="CT78" s="18">
        <f t="shared" si="172"/>
        <v>2.1544984000124996E-5</v>
      </c>
      <c r="CU78" s="8">
        <f t="shared" si="173"/>
        <v>9.7450986277499988E-5</v>
      </c>
      <c r="CV78" s="8">
        <f t="shared" si="174"/>
        <v>1.5784314678749997E-4</v>
      </c>
      <c r="CW78" s="8">
        <f t="shared" si="175"/>
        <v>5.1470591343749986E-4</v>
      </c>
      <c r="CX78" s="18">
        <f t="shared" si="176"/>
        <v>3.6626472800212492E-5</v>
      </c>
      <c r="CY78" s="8">
        <f t="shared" si="177"/>
        <v>1.6566667667174996E-4</v>
      </c>
      <c r="CZ78" s="12">
        <f t="shared" si="178"/>
        <v>0.25</v>
      </c>
      <c r="DA78" s="12">
        <f t="shared" si="186"/>
        <v>0.25526690391459073</v>
      </c>
      <c r="DB78" s="6">
        <v>1.7</v>
      </c>
      <c r="DC78" s="6">
        <v>1.7</v>
      </c>
      <c r="DD78" s="9">
        <v>0.14399999999999999</v>
      </c>
      <c r="DE78" s="9">
        <v>0.43</v>
      </c>
      <c r="DF78" s="15">
        <v>2.7E-2</v>
      </c>
      <c r="DG78" s="13">
        <v>0.19</v>
      </c>
      <c r="DH78" s="28">
        <f t="shared" si="179"/>
        <v>5.6839049999999994E-6</v>
      </c>
      <c r="DI78" s="29">
        <f t="shared" si="180"/>
        <v>2.5709099999999998E-5</v>
      </c>
    </row>
    <row r="79" spans="1:113" x14ac:dyDescent="0.25">
      <c r="A79" s="85">
        <v>71</v>
      </c>
      <c r="B79" s="35" t="s">
        <v>26</v>
      </c>
      <c r="C79" s="35" t="s">
        <v>28</v>
      </c>
      <c r="D79" s="19" t="s">
        <v>128</v>
      </c>
      <c r="E79" s="19" t="s">
        <v>52</v>
      </c>
      <c r="F79" s="9">
        <v>110</v>
      </c>
      <c r="G79" s="38" t="s">
        <v>29</v>
      </c>
      <c r="H79" s="19" t="s">
        <v>99</v>
      </c>
      <c r="I79" s="31" t="s">
        <v>99</v>
      </c>
      <c r="J79" s="32" t="s">
        <v>99</v>
      </c>
      <c r="K79" s="2" t="str">
        <f t="shared" si="123"/>
        <v>Statlig Landsbygd MML 110 13-14 - -</v>
      </c>
      <c r="L79" s="2"/>
      <c r="M79" s="32" t="s">
        <v>99</v>
      </c>
      <c r="N79" s="53">
        <f>'Beräkna - Länk'!$C$26</f>
        <v>1</v>
      </c>
      <c r="O79" s="53">
        <f>'Beräkna - Länk'!$C$24/('Beräkna - Länk'!$C$27)^('Beräkna - Länk'!$C$25-2010)</f>
        <v>10385</v>
      </c>
      <c r="P79" s="13">
        <f t="shared" si="124"/>
        <v>3.7905249999999997</v>
      </c>
      <c r="Q79" s="13">
        <f t="shared" si="125"/>
        <v>0.19544325952499997</v>
      </c>
      <c r="R79" s="13">
        <f t="shared" si="126"/>
        <v>0.28298676108374998</v>
      </c>
      <c r="S79" s="28">
        <f t="shared" si="127"/>
        <v>6.2088515210624992E-3</v>
      </c>
      <c r="T79" s="15">
        <f t="shared" si="128"/>
        <v>3.4778171114437491E-2</v>
      </c>
      <c r="U79" s="13">
        <f t="shared" si="129"/>
        <v>0.24199973844824993</v>
      </c>
      <c r="V79" s="13">
        <f t="shared" si="130"/>
        <v>0.84092797124999985</v>
      </c>
      <c r="W79" s="15">
        <f t="shared" si="131"/>
        <v>7.3728504866924982E-3</v>
      </c>
      <c r="X79" s="15">
        <f t="shared" si="132"/>
        <v>4.1836611198269993E-2</v>
      </c>
      <c r="Y79" s="15">
        <f t="shared" si="133"/>
        <v>5.9122890894543742E-2</v>
      </c>
      <c r="Z79" s="14">
        <f t="shared" si="134"/>
        <v>0.41139955536202488</v>
      </c>
      <c r="AA79" s="14">
        <f t="shared" si="135"/>
        <v>5.8864957987499986</v>
      </c>
      <c r="AB79" s="13">
        <f t="shared" si="136"/>
        <v>1.2533845827377248E-2</v>
      </c>
      <c r="AC79" s="14">
        <f t="shared" si="137"/>
        <v>7.1122239037058999E-2</v>
      </c>
      <c r="AD79" s="13">
        <f t="shared" si="181"/>
        <v>0.13704101811683422</v>
      </c>
      <c r="AE79" s="15">
        <f t="shared" si="182"/>
        <v>1.7235539250000001E-2</v>
      </c>
      <c r="AF79" s="6">
        <v>5.0999999999999997E-2</v>
      </c>
      <c r="AG79" s="6">
        <v>1.45</v>
      </c>
      <c r="AH79" s="12">
        <v>2</v>
      </c>
      <c r="AI79" s="12">
        <v>12</v>
      </c>
      <c r="AJ79" s="7">
        <v>86</v>
      </c>
      <c r="AK79" s="12">
        <v>3</v>
      </c>
      <c r="AL79" s="12">
        <f t="shared" si="138"/>
        <v>0.19331677499999997</v>
      </c>
      <c r="AM79" s="12">
        <f t="shared" si="139"/>
        <v>0.28030932374999995</v>
      </c>
      <c r="AN79" s="18">
        <f t="shared" si="140"/>
        <v>5.6061864749999994E-3</v>
      </c>
      <c r="AO79" s="8">
        <f t="shared" si="141"/>
        <v>3.3637118849999995E-2</v>
      </c>
      <c r="AP79" s="12">
        <f t="shared" si="142"/>
        <v>0.24106601842499994</v>
      </c>
      <c r="AQ79" s="12">
        <f t="shared" si="143"/>
        <v>0.84092797124999985</v>
      </c>
      <c r="AR79" s="18">
        <f t="shared" si="144"/>
        <v>7.1647063150499981E-3</v>
      </c>
      <c r="AS79" s="8">
        <f t="shared" si="145"/>
        <v>4.1093346861749994E-2</v>
      </c>
      <c r="AT79" s="8">
        <f t="shared" si="146"/>
        <v>5.7183102044999989E-2</v>
      </c>
      <c r="AU79" s="8">
        <f t="shared" si="147"/>
        <v>0.40981223132249989</v>
      </c>
      <c r="AV79" s="8">
        <f t="shared" si="148"/>
        <v>5.8864957987499986</v>
      </c>
      <c r="AW79" s="8">
        <f t="shared" si="149"/>
        <v>1.2180000735584997E-2</v>
      </c>
      <c r="AX79" s="8">
        <f t="shared" si="150"/>
        <v>6.9858689664974979E-2</v>
      </c>
      <c r="AY79" s="495">
        <f t="shared" si="183"/>
        <v>0.13285883748517202</v>
      </c>
      <c r="AZ79" s="8">
        <f t="shared" si="151"/>
        <v>1.0352999999999999E-2</v>
      </c>
      <c r="BA79" s="6">
        <v>1.7</v>
      </c>
      <c r="BB79" s="6">
        <v>1.7</v>
      </c>
      <c r="BC79" s="6">
        <v>7</v>
      </c>
      <c r="BD79" s="9">
        <v>8.4000000000000005E-2</v>
      </c>
      <c r="BE79" s="20">
        <v>0.28999999999999998</v>
      </c>
      <c r="BF79" s="11">
        <v>1.7999999999999999E-2</v>
      </c>
      <c r="BG79" s="9">
        <v>0.13</v>
      </c>
      <c r="BH79" s="28">
        <f t="shared" si="152"/>
        <v>1.8901619999999997E-3</v>
      </c>
      <c r="BI79" s="15">
        <f t="shared" si="153"/>
        <v>1.084107E-2</v>
      </c>
      <c r="BJ79" s="12">
        <v>0.95</v>
      </c>
      <c r="BK79" s="12">
        <v>1.3</v>
      </c>
      <c r="BL79" s="7">
        <v>25</v>
      </c>
      <c r="BM79" s="7">
        <v>45</v>
      </c>
      <c r="BN79" s="7">
        <v>30</v>
      </c>
      <c r="BO79" s="8">
        <f t="shared" si="154"/>
        <v>1.8365093624999997E-3</v>
      </c>
      <c r="BP79" s="8">
        <f t="shared" si="155"/>
        <v>2.3874621712499998E-3</v>
      </c>
      <c r="BQ79" s="8">
        <f t="shared" si="156"/>
        <v>5.9686554281249994E-4</v>
      </c>
      <c r="BR79" s="8">
        <f t="shared" si="157"/>
        <v>1.0743579770624999E-3</v>
      </c>
      <c r="BS79" s="8">
        <f t="shared" si="158"/>
        <v>7.1623865137499995E-4</v>
      </c>
      <c r="BT79" s="18">
        <f t="shared" si="159"/>
        <v>1.9266819721987499E-4</v>
      </c>
      <c r="BU79" s="8">
        <f t="shared" si="160"/>
        <v>6.7326433229249986E-4</v>
      </c>
      <c r="BV79" s="8">
        <f t="shared" si="161"/>
        <v>1.8264085610062498E-3</v>
      </c>
      <c r="BW79" s="8">
        <f t="shared" si="162"/>
        <v>1.2176057073374998E-3</v>
      </c>
      <c r="BX79" s="18">
        <f t="shared" si="163"/>
        <v>3.2753593527378751E-4</v>
      </c>
      <c r="BY79" s="8">
        <f t="shared" si="164"/>
        <v>1.1445493648972497E-3</v>
      </c>
      <c r="BZ79" s="12">
        <f t="shared" si="165"/>
        <v>0.7</v>
      </c>
      <c r="CA79" s="12">
        <f t="shared" si="184"/>
        <v>0.47829508196721304</v>
      </c>
      <c r="CB79" s="6">
        <v>1.7</v>
      </c>
      <c r="CC79" s="6">
        <v>1.7</v>
      </c>
      <c r="CD79" s="15">
        <v>0.16</v>
      </c>
      <c r="CE79" s="9">
        <v>0.48</v>
      </c>
      <c r="CF79" s="9">
        <v>2.9000000000000001E-2</v>
      </c>
      <c r="CG79" s="11">
        <v>0.22</v>
      </c>
      <c r="CH79" s="28">
        <f t="shared" si="185"/>
        <v>5.0828894999999997E-5</v>
      </c>
      <c r="CI79" s="15">
        <f t="shared" si="166"/>
        <v>1.7761769999999997E-4</v>
      </c>
      <c r="CJ79" s="12">
        <v>0.15</v>
      </c>
      <c r="CK79" s="12">
        <v>1</v>
      </c>
      <c r="CL79" s="7">
        <v>2</v>
      </c>
      <c r="CM79" s="7">
        <v>23</v>
      </c>
      <c r="CN79" s="7">
        <v>75</v>
      </c>
      <c r="CO79" s="8">
        <f t="shared" si="167"/>
        <v>2.8997516249999993E-4</v>
      </c>
      <c r="CP79" s="8">
        <f t="shared" si="168"/>
        <v>2.8997516249999993E-4</v>
      </c>
      <c r="CQ79" s="18">
        <f t="shared" si="169"/>
        <v>5.799503249999999E-6</v>
      </c>
      <c r="CR79" s="8">
        <f t="shared" si="170"/>
        <v>6.6694287374999985E-5</v>
      </c>
      <c r="CS79" s="8">
        <f t="shared" si="171"/>
        <v>2.1748137187499995E-4</v>
      </c>
      <c r="CT79" s="18">
        <f t="shared" si="172"/>
        <v>1.5475974422625E-5</v>
      </c>
      <c r="CU79" s="8">
        <f t="shared" si="173"/>
        <v>7.0000004227500004E-5</v>
      </c>
      <c r="CV79" s="8">
        <f t="shared" si="174"/>
        <v>1.1338028853749997E-4</v>
      </c>
      <c r="CW79" s="8">
        <f t="shared" si="175"/>
        <v>3.6971833218749989E-4</v>
      </c>
      <c r="CX79" s="18">
        <f t="shared" si="176"/>
        <v>2.6309156518462492E-5</v>
      </c>
      <c r="CY79" s="8">
        <f t="shared" si="177"/>
        <v>1.1900000718674997E-4</v>
      </c>
      <c r="CZ79" s="12">
        <f t="shared" si="178"/>
        <v>0.25</v>
      </c>
      <c r="DA79" s="12">
        <f t="shared" si="186"/>
        <v>0.25526690391459078</v>
      </c>
      <c r="DB79" s="6">
        <v>1.7</v>
      </c>
      <c r="DC79" s="6">
        <v>1.7</v>
      </c>
      <c r="DD79" s="9">
        <v>0.14399999999999999</v>
      </c>
      <c r="DE79" s="9">
        <v>0.43</v>
      </c>
      <c r="DF79" s="15">
        <v>2.7E-2</v>
      </c>
      <c r="DG79" s="13">
        <v>0.19</v>
      </c>
      <c r="DH79" s="28">
        <f t="shared" si="179"/>
        <v>4.0828050000000005E-6</v>
      </c>
      <c r="DI79" s="29">
        <f t="shared" si="180"/>
        <v>1.8467100000000001E-5</v>
      </c>
    </row>
    <row r="80" spans="1:113" x14ac:dyDescent="0.25">
      <c r="A80" s="85">
        <v>72</v>
      </c>
      <c r="B80" s="35" t="s">
        <v>26</v>
      </c>
      <c r="C80" s="35" t="s">
        <v>28</v>
      </c>
      <c r="D80" s="31" t="s">
        <v>31</v>
      </c>
      <c r="E80" s="19" t="s">
        <v>52</v>
      </c>
      <c r="F80" s="9">
        <v>80</v>
      </c>
      <c r="G80" s="38" t="s">
        <v>30</v>
      </c>
      <c r="H80" s="19" t="s">
        <v>99</v>
      </c>
      <c r="I80" s="31" t="s">
        <v>99</v>
      </c>
      <c r="J80" s="32" t="s">
        <v>99</v>
      </c>
      <c r="K80" s="2" t="str">
        <f t="shared" si="123"/>
        <v>Statlig Landsbygd Målad 2+1 80 12,5-13 - -</v>
      </c>
      <c r="L80" s="2"/>
      <c r="M80" s="32" t="s">
        <v>99</v>
      </c>
      <c r="N80" s="53">
        <f>'Beräkna - Länk'!$C$26</f>
        <v>1</v>
      </c>
      <c r="O80" s="53">
        <f>'Beräkna - Länk'!$C$24/('Beräkna - Länk'!$C$27)^('Beräkna - Länk'!$C$25-2010)</f>
        <v>10385</v>
      </c>
      <c r="P80" s="13">
        <f t="shared" si="124"/>
        <v>3.7905249999999997</v>
      </c>
      <c r="Q80" s="13">
        <f t="shared" si="125"/>
        <v>0.34933478399999995</v>
      </c>
      <c r="R80" s="13">
        <f t="shared" si="126"/>
        <v>0.60168140482499988</v>
      </c>
      <c r="S80" s="28">
        <f t="shared" si="127"/>
        <v>1.3098007516499999E-2</v>
      </c>
      <c r="T80" s="15">
        <f t="shared" si="128"/>
        <v>6.2217070865999993E-2</v>
      </c>
      <c r="U80" s="13">
        <f t="shared" si="129"/>
        <v>0.52636632644250003</v>
      </c>
      <c r="V80" s="13">
        <f t="shared" si="130"/>
        <v>1.0976412768749999</v>
      </c>
      <c r="W80" s="15">
        <f t="shared" si="131"/>
        <v>1.4399966657461495E-2</v>
      </c>
      <c r="X80" s="15">
        <f t="shared" si="132"/>
        <v>8.6942052134055009E-2</v>
      </c>
      <c r="Y80" s="15">
        <f t="shared" si="133"/>
        <v>0.10576902047219999</v>
      </c>
      <c r="Z80" s="14">
        <f t="shared" si="134"/>
        <v>0.89482275495224994</v>
      </c>
      <c r="AA80" s="14">
        <f t="shared" si="135"/>
        <v>7.6834889381249996</v>
      </c>
      <c r="AB80" s="13">
        <f t="shared" si="136"/>
        <v>2.4479943317684549E-2</v>
      </c>
      <c r="AC80" s="14">
        <f t="shared" si="137"/>
        <v>0.1478014886278935</v>
      </c>
      <c r="AD80" s="13">
        <f t="shared" si="181"/>
        <v>0.11726174021783971</v>
      </c>
      <c r="AE80" s="15">
        <f t="shared" si="182"/>
        <v>3.1358988000000004E-2</v>
      </c>
      <c r="AF80" s="8">
        <v>0.09</v>
      </c>
      <c r="AG80" s="12">
        <v>1.7324999999999999</v>
      </c>
      <c r="AH80" s="12">
        <v>2</v>
      </c>
      <c r="AI80" s="12">
        <v>10</v>
      </c>
      <c r="AJ80" s="7">
        <v>88</v>
      </c>
      <c r="AK80" s="12">
        <v>1.8571428571428572</v>
      </c>
      <c r="AL80" s="12">
        <f t="shared" si="138"/>
        <v>0.34114724999999996</v>
      </c>
      <c r="AM80" s="12">
        <f t="shared" si="139"/>
        <v>0.59103761062499993</v>
      </c>
      <c r="AN80" s="18">
        <f t="shared" si="140"/>
        <v>1.1820752212499999E-2</v>
      </c>
      <c r="AO80" s="8">
        <f t="shared" si="141"/>
        <v>5.9103761062499996E-2</v>
      </c>
      <c r="AP80" s="12">
        <f t="shared" si="142"/>
        <v>0.52011309735</v>
      </c>
      <c r="AQ80" s="12">
        <f t="shared" si="143"/>
        <v>1.0976412768749999</v>
      </c>
      <c r="AR80" s="18">
        <f t="shared" si="144"/>
        <v>1.3735714070924995E-2</v>
      </c>
      <c r="AS80" s="8">
        <f t="shared" si="145"/>
        <v>8.4163755753000002E-2</v>
      </c>
      <c r="AT80" s="8">
        <f t="shared" si="146"/>
        <v>0.10047639380624999</v>
      </c>
      <c r="AU80" s="8">
        <f t="shared" si="147"/>
        <v>0.88419226549499996</v>
      </c>
      <c r="AV80" s="8">
        <f t="shared" si="148"/>
        <v>7.6834889381249996</v>
      </c>
      <c r="AW80" s="8">
        <f t="shared" si="149"/>
        <v>2.3350713920572499E-2</v>
      </c>
      <c r="AX80" s="8">
        <f t="shared" si="150"/>
        <v>0.14307838478009999</v>
      </c>
      <c r="AY80" s="495">
        <f t="shared" si="183"/>
        <v>0.11269276393831554</v>
      </c>
      <c r="AZ80" s="8">
        <f t="shared" si="151"/>
        <v>1.8710999999999998E-2</v>
      </c>
      <c r="BA80" s="6">
        <v>1.7</v>
      </c>
      <c r="BB80" s="6">
        <v>1.7</v>
      </c>
      <c r="BC80" s="6">
        <v>7</v>
      </c>
      <c r="BD80" s="6">
        <f>(BD52+BD71)/2</f>
        <v>7.400000000000001E-2</v>
      </c>
      <c r="BE80" s="6">
        <v>0.28000000000000003</v>
      </c>
      <c r="BF80" s="54">
        <v>1.7999999999999999E-2</v>
      </c>
      <c r="BG80" s="6">
        <v>0.13</v>
      </c>
      <c r="BH80" s="18">
        <f t="shared" si="152"/>
        <v>3.6236969999999991E-3</v>
      </c>
      <c r="BI80" s="8">
        <f t="shared" si="153"/>
        <v>2.2203720000000003E-2</v>
      </c>
      <c r="BJ80" s="12">
        <v>1.8</v>
      </c>
      <c r="BK80" s="12">
        <v>1.3</v>
      </c>
      <c r="BL80" s="7">
        <v>15</v>
      </c>
      <c r="BM80" s="7">
        <v>30</v>
      </c>
      <c r="BN80" s="7">
        <v>55</v>
      </c>
      <c r="BO80" s="8">
        <f t="shared" si="154"/>
        <v>6.1406504999999998E-3</v>
      </c>
      <c r="BP80" s="8">
        <f t="shared" si="155"/>
        <v>7.9828456500000006E-3</v>
      </c>
      <c r="BQ80" s="8">
        <f t="shared" si="156"/>
        <v>1.1974268475E-3</v>
      </c>
      <c r="BR80" s="8">
        <f t="shared" si="157"/>
        <v>2.394853695E-3</v>
      </c>
      <c r="BS80" s="8">
        <f t="shared" si="158"/>
        <v>4.390565107500001E-3</v>
      </c>
      <c r="BT80" s="18">
        <f t="shared" si="159"/>
        <v>5.1050297931749995E-4</v>
      </c>
      <c r="BU80" s="8">
        <f t="shared" si="160"/>
        <v>2.1154540972499998E-3</v>
      </c>
      <c r="BV80" s="8">
        <f t="shared" si="161"/>
        <v>4.0712512815000001E-3</v>
      </c>
      <c r="BW80" s="8">
        <f t="shared" si="162"/>
        <v>7.4639606827500019E-3</v>
      </c>
      <c r="BX80" s="18">
        <f t="shared" si="163"/>
        <v>8.6785506483975016E-4</v>
      </c>
      <c r="BY80" s="8">
        <f t="shared" si="164"/>
        <v>3.5962719653250003E-3</v>
      </c>
      <c r="BZ80" s="12">
        <f t="shared" si="165"/>
        <v>0.44999999999999996</v>
      </c>
      <c r="CA80" s="12">
        <f t="shared" si="184"/>
        <v>0.37648902821316615</v>
      </c>
      <c r="CB80" s="6">
        <v>1.7</v>
      </c>
      <c r="CC80" s="6">
        <v>1.7</v>
      </c>
      <c r="CD80" s="15">
        <v>0.16</v>
      </c>
      <c r="CE80" s="9">
        <v>0.48</v>
      </c>
      <c r="CF80" s="9">
        <v>2.9000000000000001E-2</v>
      </c>
      <c r="CG80" s="11">
        <v>0.22</v>
      </c>
      <c r="CH80" s="28">
        <f t="shared" si="185"/>
        <v>1.346787E-4</v>
      </c>
      <c r="CI80" s="15">
        <f t="shared" si="166"/>
        <v>5.5809000000000002E-4</v>
      </c>
      <c r="CJ80" s="12">
        <v>0.6</v>
      </c>
      <c r="CK80" s="12">
        <v>1.3</v>
      </c>
      <c r="CL80" s="7">
        <v>3</v>
      </c>
      <c r="CM80" s="7">
        <v>27</v>
      </c>
      <c r="CN80" s="7">
        <v>70</v>
      </c>
      <c r="CO80" s="8">
        <f t="shared" si="167"/>
        <v>2.0468834999999999E-3</v>
      </c>
      <c r="CP80" s="8">
        <f t="shared" si="168"/>
        <v>2.6609485500000002E-3</v>
      </c>
      <c r="CQ80" s="18">
        <f t="shared" si="169"/>
        <v>7.9828456500000001E-5</v>
      </c>
      <c r="CR80" s="8">
        <f t="shared" si="170"/>
        <v>7.1845610850000013E-4</v>
      </c>
      <c r="CS80" s="8">
        <f t="shared" si="171"/>
        <v>1.862663985E-3</v>
      </c>
      <c r="CT80" s="18">
        <f t="shared" si="172"/>
        <v>1.5374960721899997E-4</v>
      </c>
      <c r="CU80" s="8">
        <f t="shared" si="173"/>
        <v>6.6284228380499998E-4</v>
      </c>
      <c r="CV80" s="8">
        <f t="shared" si="174"/>
        <v>1.2213753844500003E-3</v>
      </c>
      <c r="CW80" s="8">
        <f t="shared" si="175"/>
        <v>3.1665287745000002E-3</v>
      </c>
      <c r="CX80" s="18">
        <f t="shared" si="176"/>
        <v>2.6137433227230004E-4</v>
      </c>
      <c r="CY80" s="8">
        <f t="shared" si="177"/>
        <v>1.1268318824685002E-3</v>
      </c>
      <c r="CZ80" s="12">
        <f t="shared" si="178"/>
        <v>0.30000000000000004</v>
      </c>
      <c r="DA80" s="12">
        <f t="shared" si="186"/>
        <v>0.27008338296605128</v>
      </c>
      <c r="DB80" s="6">
        <v>1.7</v>
      </c>
      <c r="DC80" s="6">
        <v>1.7</v>
      </c>
      <c r="DD80" s="9">
        <v>0.14399999999999999</v>
      </c>
      <c r="DE80" s="9">
        <v>0.43</v>
      </c>
      <c r="DF80" s="15">
        <v>2.7E-2</v>
      </c>
      <c r="DG80" s="13">
        <v>0.19</v>
      </c>
      <c r="DH80" s="28">
        <f t="shared" si="179"/>
        <v>4.0561559999999999E-5</v>
      </c>
      <c r="DI80" s="29">
        <f t="shared" si="180"/>
        <v>1.7486819999999999E-4</v>
      </c>
    </row>
    <row r="81" spans="1:113" x14ac:dyDescent="0.25">
      <c r="A81" s="85">
        <v>73</v>
      </c>
      <c r="B81" s="35" t="s">
        <v>26</v>
      </c>
      <c r="C81" s="35" t="s">
        <v>28</v>
      </c>
      <c r="D81" s="31" t="s">
        <v>31</v>
      </c>
      <c r="E81" s="19" t="s">
        <v>52</v>
      </c>
      <c r="F81" s="9">
        <v>90</v>
      </c>
      <c r="G81" s="38" t="s">
        <v>30</v>
      </c>
      <c r="H81" s="19" t="s">
        <v>99</v>
      </c>
      <c r="I81" s="31" t="s">
        <v>99</v>
      </c>
      <c r="J81" s="32" t="s">
        <v>99</v>
      </c>
      <c r="K81" s="2" t="str">
        <f t="shared" si="123"/>
        <v>Statlig Landsbygd Målad 2+1 90 12,5-13 - -</v>
      </c>
      <c r="L81" s="2"/>
      <c r="M81" s="32" t="s">
        <v>99</v>
      </c>
      <c r="N81" s="53">
        <f>'Beräkna - Länk'!$C$26</f>
        <v>1</v>
      </c>
      <c r="O81" s="53">
        <f>'Beräkna - Länk'!$C$24/('Beräkna - Länk'!$C$27)^('Beräkna - Länk'!$C$25-2010)</f>
        <v>10385</v>
      </c>
      <c r="P81" s="13">
        <f t="shared" si="124"/>
        <v>3.7905249999999997</v>
      </c>
      <c r="Q81" s="13">
        <f t="shared" si="125"/>
        <v>0.30186982995</v>
      </c>
      <c r="R81" s="13">
        <f t="shared" si="126"/>
        <v>0.4706331002100001</v>
      </c>
      <c r="S81" s="28">
        <f t="shared" si="127"/>
        <v>1.4810839629300002E-2</v>
      </c>
      <c r="T81" s="15">
        <f t="shared" si="128"/>
        <v>5.7859665271200011E-2</v>
      </c>
      <c r="U81" s="13">
        <f t="shared" si="129"/>
        <v>0.39796259530950007</v>
      </c>
      <c r="V81" s="13">
        <f t="shared" si="130"/>
        <v>0.85904289022500013</v>
      </c>
      <c r="W81" s="15">
        <f t="shared" si="131"/>
        <v>1.196422162025805E-2</v>
      </c>
      <c r="X81" s="15">
        <f t="shared" si="132"/>
        <v>6.9312485398513507E-2</v>
      </c>
      <c r="Y81" s="15">
        <f t="shared" si="133"/>
        <v>9.8361430961040011E-2</v>
      </c>
      <c r="Z81" s="14">
        <f t="shared" si="134"/>
        <v>0.67653641202615011</v>
      </c>
      <c r="AA81" s="14">
        <f t="shared" si="135"/>
        <v>6.013300231575001</v>
      </c>
      <c r="AB81" s="13">
        <f t="shared" si="136"/>
        <v>2.0339176754438686E-2</v>
      </c>
      <c r="AC81" s="14">
        <f t="shared" si="137"/>
        <v>0.11783122517747296</v>
      </c>
      <c r="AD81" s="13">
        <f t="shared" si="181"/>
        <v>0.14330888475909084</v>
      </c>
      <c r="AE81" s="15">
        <f t="shared" si="182"/>
        <v>2.9856621600000008E-2</v>
      </c>
      <c r="AF81" s="8">
        <v>7.8000000000000014E-2</v>
      </c>
      <c r="AG81" s="8">
        <v>1.5645</v>
      </c>
      <c r="AH81" s="12">
        <v>3</v>
      </c>
      <c r="AI81" s="12">
        <v>12</v>
      </c>
      <c r="AJ81" s="7">
        <v>85</v>
      </c>
      <c r="AK81" s="12">
        <v>1.8571428571428572</v>
      </c>
      <c r="AL81" s="12">
        <f t="shared" si="138"/>
        <v>0.29566095000000003</v>
      </c>
      <c r="AM81" s="12">
        <f t="shared" si="139"/>
        <v>0.46256155627500006</v>
      </c>
      <c r="AN81" s="18">
        <f t="shared" si="140"/>
        <v>1.3876846688250002E-2</v>
      </c>
      <c r="AO81" s="8">
        <f t="shared" si="141"/>
        <v>5.5507386753000008E-2</v>
      </c>
      <c r="AP81" s="12">
        <f t="shared" si="142"/>
        <v>0.39317732283375006</v>
      </c>
      <c r="AQ81" s="12">
        <f t="shared" si="143"/>
        <v>0.85904289022500013</v>
      </c>
      <c r="AR81" s="18">
        <f t="shared" si="144"/>
        <v>1.1462275364494501E-2</v>
      </c>
      <c r="AS81" s="8">
        <f t="shared" si="145"/>
        <v>6.7210194126757508E-2</v>
      </c>
      <c r="AT81" s="8">
        <f t="shared" si="146"/>
        <v>9.4362557480100015E-2</v>
      </c>
      <c r="AU81" s="8">
        <f t="shared" si="147"/>
        <v>0.66840144881737507</v>
      </c>
      <c r="AV81" s="8">
        <f t="shared" si="148"/>
        <v>6.013300231575001</v>
      </c>
      <c r="AW81" s="8">
        <f t="shared" si="149"/>
        <v>1.9485868119640651E-2</v>
      </c>
      <c r="AX81" s="8">
        <f t="shared" si="150"/>
        <v>0.11425733001548777</v>
      </c>
      <c r="AY81" s="495">
        <f t="shared" si="183"/>
        <v>0.13936867182846932</v>
      </c>
      <c r="AZ81" s="8">
        <f t="shared" si="151"/>
        <v>1.8304650000000002E-2</v>
      </c>
      <c r="BA81" s="6">
        <v>1.7</v>
      </c>
      <c r="BB81" s="6">
        <v>1.7</v>
      </c>
      <c r="BC81" s="6">
        <v>7</v>
      </c>
      <c r="BD81" s="6">
        <f>(BD53+BD72)/2</f>
        <v>7.9000000000000001E-2</v>
      </c>
      <c r="BE81" s="6">
        <v>0.28999999999999998</v>
      </c>
      <c r="BF81" s="54">
        <v>1.7999999999999999E-2</v>
      </c>
      <c r="BG81" s="6">
        <v>0.13</v>
      </c>
      <c r="BH81" s="18">
        <f t="shared" si="152"/>
        <v>3.0239281800000005E-3</v>
      </c>
      <c r="BI81" s="8">
        <f t="shared" si="153"/>
        <v>1.7731104300000005E-2</v>
      </c>
      <c r="BJ81" s="12">
        <v>1.5</v>
      </c>
      <c r="BK81" s="12">
        <v>1.3</v>
      </c>
      <c r="BL81" s="7">
        <v>15</v>
      </c>
      <c r="BM81" s="7">
        <v>30</v>
      </c>
      <c r="BN81" s="7">
        <v>55</v>
      </c>
      <c r="BO81" s="8">
        <f t="shared" si="154"/>
        <v>4.4349142500000006E-3</v>
      </c>
      <c r="BP81" s="8">
        <f t="shared" si="155"/>
        <v>5.7653885250000007E-3</v>
      </c>
      <c r="BQ81" s="8">
        <f t="shared" si="156"/>
        <v>8.6480827875000008E-4</v>
      </c>
      <c r="BR81" s="8">
        <f t="shared" si="157"/>
        <v>1.7296165575000002E-3</v>
      </c>
      <c r="BS81" s="8">
        <f t="shared" si="158"/>
        <v>3.1709636887500008E-3</v>
      </c>
      <c r="BT81" s="18">
        <f t="shared" si="159"/>
        <v>3.6869659617375002E-4</v>
      </c>
      <c r="BU81" s="8">
        <f t="shared" si="160"/>
        <v>1.5278279591250002E-3</v>
      </c>
      <c r="BV81" s="8">
        <f t="shared" si="161"/>
        <v>2.9403481477500003E-3</v>
      </c>
      <c r="BW81" s="8">
        <f t="shared" si="162"/>
        <v>5.3906382708750009E-3</v>
      </c>
      <c r="BX81" s="18">
        <f t="shared" si="163"/>
        <v>6.2678421349537505E-4</v>
      </c>
      <c r="BY81" s="8">
        <f t="shared" si="164"/>
        <v>2.5973075305125003E-3</v>
      </c>
      <c r="BZ81" s="12">
        <f t="shared" si="165"/>
        <v>0.44999999999999996</v>
      </c>
      <c r="CA81" s="12">
        <f t="shared" si="184"/>
        <v>0.3764890282131661</v>
      </c>
      <c r="CB81" s="6">
        <v>1.7</v>
      </c>
      <c r="CC81" s="6">
        <v>1.7</v>
      </c>
      <c r="CD81" s="15">
        <v>0.16</v>
      </c>
      <c r="CE81" s="9">
        <v>0.48</v>
      </c>
      <c r="CF81" s="9">
        <v>2.9000000000000001E-2</v>
      </c>
      <c r="CG81" s="11">
        <v>0.22</v>
      </c>
      <c r="CH81" s="28">
        <f t="shared" si="185"/>
        <v>9.7267950000000015E-5</v>
      </c>
      <c r="CI81" s="15">
        <f t="shared" si="166"/>
        <v>4.0306500000000009E-4</v>
      </c>
      <c r="CJ81" s="12">
        <v>0.6</v>
      </c>
      <c r="CK81" s="12">
        <v>1.3</v>
      </c>
      <c r="CL81" s="7">
        <v>3</v>
      </c>
      <c r="CM81" s="7">
        <v>27</v>
      </c>
      <c r="CN81" s="7">
        <v>70</v>
      </c>
      <c r="CO81" s="8">
        <f t="shared" si="167"/>
        <v>1.7739657000000002E-3</v>
      </c>
      <c r="CP81" s="8">
        <f t="shared" si="168"/>
        <v>2.3061554100000004E-3</v>
      </c>
      <c r="CQ81" s="18">
        <f t="shared" si="169"/>
        <v>6.9184662300000006E-5</v>
      </c>
      <c r="CR81" s="8">
        <f t="shared" si="170"/>
        <v>6.2266196070000018E-4</v>
      </c>
      <c r="CS81" s="8">
        <f t="shared" si="171"/>
        <v>1.6143087870000002E-3</v>
      </c>
      <c r="CT81" s="18">
        <f t="shared" si="172"/>
        <v>1.3324965958980001E-4</v>
      </c>
      <c r="CU81" s="8">
        <f t="shared" si="173"/>
        <v>5.7446331263100007E-4</v>
      </c>
      <c r="CV81" s="8">
        <f t="shared" si="174"/>
        <v>1.0585253331900004E-3</v>
      </c>
      <c r="CW81" s="8">
        <f t="shared" si="175"/>
        <v>2.7443249379000001E-3</v>
      </c>
      <c r="CX81" s="18">
        <f t="shared" si="176"/>
        <v>2.2652442130266005E-4</v>
      </c>
      <c r="CY81" s="8">
        <f t="shared" si="177"/>
        <v>9.765876314727002E-4</v>
      </c>
      <c r="CZ81" s="12">
        <f t="shared" si="178"/>
        <v>0.30000000000000004</v>
      </c>
      <c r="DA81" s="12">
        <f t="shared" si="186"/>
        <v>0.27008338296605122</v>
      </c>
      <c r="DB81" s="6">
        <v>1.7</v>
      </c>
      <c r="DC81" s="6">
        <v>1.7</v>
      </c>
      <c r="DD81" s="9">
        <v>0.14399999999999999</v>
      </c>
      <c r="DE81" s="9">
        <v>0.43</v>
      </c>
      <c r="DF81" s="15">
        <v>2.7E-2</v>
      </c>
      <c r="DG81" s="13">
        <v>0.19</v>
      </c>
      <c r="DH81" s="28">
        <f t="shared" si="179"/>
        <v>3.5153352000000003E-5</v>
      </c>
      <c r="DI81" s="29">
        <f t="shared" si="180"/>
        <v>1.5155244000000003E-4</v>
      </c>
    </row>
    <row r="82" spans="1:113" x14ac:dyDescent="0.25">
      <c r="A82" s="85">
        <v>74</v>
      </c>
      <c r="B82" s="35" t="s">
        <v>26</v>
      </c>
      <c r="C82" s="35" t="s">
        <v>28</v>
      </c>
      <c r="D82" s="31" t="s">
        <v>31</v>
      </c>
      <c r="E82" s="19" t="s">
        <v>52</v>
      </c>
      <c r="F82" s="9">
        <v>100</v>
      </c>
      <c r="G82" s="38" t="s">
        <v>30</v>
      </c>
      <c r="H82" s="19" t="s">
        <v>99</v>
      </c>
      <c r="I82" s="31" t="s">
        <v>99</v>
      </c>
      <c r="J82" s="32" t="s">
        <v>99</v>
      </c>
      <c r="K82" s="2" t="str">
        <f t="shared" si="123"/>
        <v>Statlig Landsbygd Målad 2+1 100 12,5-13 - -</v>
      </c>
      <c r="L82" s="2"/>
      <c r="M82" s="32" t="s">
        <v>99</v>
      </c>
      <c r="N82" s="53">
        <f>'Beräkna - Länk'!$C$26</f>
        <v>1</v>
      </c>
      <c r="O82" s="53">
        <f>'Beräkna - Länk'!$C$24/('Beräkna - Länk'!$C$27)^('Beräkna - Länk'!$C$25-2010)</f>
        <v>10385</v>
      </c>
      <c r="P82" s="13">
        <f t="shared" si="124"/>
        <v>3.7905249999999997</v>
      </c>
      <c r="Q82" s="13">
        <f t="shared" si="125"/>
        <v>0.29817217281250002</v>
      </c>
      <c r="R82" s="13">
        <f t="shared" si="126"/>
        <v>0.46532484899999993</v>
      </c>
      <c r="S82" s="28">
        <f t="shared" si="127"/>
        <v>1.2417916259156251E-2</v>
      </c>
      <c r="T82" s="15">
        <f t="shared" si="128"/>
        <v>6.5993286634124987E-2</v>
      </c>
      <c r="U82" s="13">
        <f t="shared" si="129"/>
        <v>0.38691364610671874</v>
      </c>
      <c r="V82" s="13">
        <f t="shared" si="130"/>
        <v>0.85353620503124994</v>
      </c>
      <c r="W82" s="15">
        <f t="shared" si="131"/>
        <v>1.2654815959932748E-2</v>
      </c>
      <c r="X82" s="15">
        <f t="shared" si="132"/>
        <v>7.0598226825644053E-2</v>
      </c>
      <c r="Y82" s="15">
        <f t="shared" si="133"/>
        <v>0.11218858727801248</v>
      </c>
      <c r="Z82" s="14">
        <f t="shared" si="134"/>
        <v>0.65775319838142177</v>
      </c>
      <c r="AA82" s="14">
        <f t="shared" si="135"/>
        <v>5.9747534352187497</v>
      </c>
      <c r="AB82" s="13">
        <f t="shared" si="136"/>
        <v>2.1513187131885669E-2</v>
      </c>
      <c r="AC82" s="14">
        <f t="shared" si="137"/>
        <v>0.12001698560359489</v>
      </c>
      <c r="AD82" s="13">
        <f t="shared" si="181"/>
        <v>0.15927009434611042</v>
      </c>
      <c r="AE82" s="15">
        <f t="shared" si="182"/>
        <v>3.2873151749999996E-2</v>
      </c>
      <c r="AF82" s="18">
        <v>7.7499999999999999E-2</v>
      </c>
      <c r="AG82" s="8">
        <v>1.5645</v>
      </c>
      <c r="AH82" s="12">
        <v>2.5</v>
      </c>
      <c r="AI82" s="12">
        <v>14</v>
      </c>
      <c r="AJ82" s="7">
        <v>83.5</v>
      </c>
      <c r="AK82" s="12">
        <v>1.8571428571428572</v>
      </c>
      <c r="AL82" s="12">
        <f t="shared" si="138"/>
        <v>0.29376568749999998</v>
      </c>
      <c r="AM82" s="12">
        <f t="shared" si="139"/>
        <v>0.45959641809374996</v>
      </c>
      <c r="AN82" s="18">
        <f t="shared" si="140"/>
        <v>1.148991045234375E-2</v>
      </c>
      <c r="AO82" s="8">
        <f t="shared" si="141"/>
        <v>6.4343498533124988E-2</v>
      </c>
      <c r="AP82" s="12">
        <f t="shared" si="142"/>
        <v>0.38376300910828121</v>
      </c>
      <c r="AQ82" s="12">
        <f t="shared" si="143"/>
        <v>0.85353620503124994</v>
      </c>
      <c r="AR82" s="18">
        <f t="shared" si="144"/>
        <v>1.231258804073156E-2</v>
      </c>
      <c r="AS82" s="8">
        <f t="shared" si="145"/>
        <v>6.9192240744014061E-2</v>
      </c>
      <c r="AT82" s="8">
        <f t="shared" si="146"/>
        <v>0.10938394750631247</v>
      </c>
      <c r="AU82" s="8">
        <f t="shared" si="147"/>
        <v>0.65239711548407808</v>
      </c>
      <c r="AV82" s="8">
        <f t="shared" si="148"/>
        <v>5.9747534352187497</v>
      </c>
      <c r="AW82" s="8">
        <f t="shared" si="149"/>
        <v>2.093139966924365E-2</v>
      </c>
      <c r="AX82" s="8">
        <f t="shared" si="150"/>
        <v>0.1176268092648239</v>
      </c>
      <c r="AY82" s="495">
        <f t="shared" si="183"/>
        <v>0.15631500742942048</v>
      </c>
      <c r="AZ82" s="8">
        <f t="shared" si="151"/>
        <v>2.0006043750000001E-2</v>
      </c>
      <c r="BA82" s="6">
        <v>1.7</v>
      </c>
      <c r="BB82" s="6">
        <v>1.7</v>
      </c>
      <c r="BC82" s="6">
        <v>7</v>
      </c>
      <c r="BD82" s="6">
        <f>(BD54+BD73)/2</f>
        <v>8.3999999999999991E-2</v>
      </c>
      <c r="BE82" s="12">
        <v>0.3</v>
      </c>
      <c r="BF82" s="54">
        <v>1.7999999999999999E-2</v>
      </c>
      <c r="BG82" s="6">
        <v>0.13</v>
      </c>
      <c r="BH82" s="18">
        <f t="shared" si="152"/>
        <v>3.2482540124999996E-3</v>
      </c>
      <c r="BI82" s="8">
        <f t="shared" si="153"/>
        <v>1.8253999312500001E-2</v>
      </c>
      <c r="BJ82" s="12">
        <v>0.9</v>
      </c>
      <c r="BK82" s="12">
        <v>1.3</v>
      </c>
      <c r="BL82" s="7">
        <v>25</v>
      </c>
      <c r="BM82" s="7">
        <v>30</v>
      </c>
      <c r="BN82" s="7">
        <v>45</v>
      </c>
      <c r="BO82" s="8">
        <f t="shared" si="154"/>
        <v>2.6438911875000001E-3</v>
      </c>
      <c r="BP82" s="8">
        <f t="shared" si="155"/>
        <v>3.4370585437500001E-3</v>
      </c>
      <c r="BQ82" s="8">
        <f t="shared" si="156"/>
        <v>8.5926463593750003E-4</v>
      </c>
      <c r="BR82" s="8">
        <f t="shared" si="157"/>
        <v>1.031117563125E-3</v>
      </c>
      <c r="BS82" s="8">
        <f t="shared" si="158"/>
        <v>1.5466763446875E-3</v>
      </c>
      <c r="BT82" s="18">
        <f t="shared" si="159"/>
        <v>2.0983242409593751E-4</v>
      </c>
      <c r="BU82" s="8">
        <f t="shared" si="160"/>
        <v>8.352052261312499E-4</v>
      </c>
      <c r="BV82" s="8">
        <f t="shared" si="161"/>
        <v>1.7528998573124999E-3</v>
      </c>
      <c r="BW82" s="8">
        <f t="shared" si="162"/>
        <v>2.6293497859687497E-3</v>
      </c>
      <c r="BX82" s="18">
        <f t="shared" si="163"/>
        <v>3.5671512096309372E-4</v>
      </c>
      <c r="BY82" s="8">
        <f t="shared" si="164"/>
        <v>1.4198488844231248E-3</v>
      </c>
      <c r="BZ82" s="12">
        <f t="shared" si="165"/>
        <v>0.55000000000000004</v>
      </c>
      <c r="CA82" s="12">
        <f t="shared" si="184"/>
        <v>0.43481967213114753</v>
      </c>
      <c r="CB82" s="6">
        <v>1.7</v>
      </c>
      <c r="CC82" s="6">
        <v>1.7</v>
      </c>
      <c r="CD82" s="15">
        <v>0.16</v>
      </c>
      <c r="CE82" s="9">
        <v>0.48</v>
      </c>
      <c r="CF82" s="9">
        <v>2.9000000000000001E-2</v>
      </c>
      <c r="CG82" s="11">
        <v>0.22</v>
      </c>
      <c r="CH82" s="28">
        <f t="shared" si="185"/>
        <v>5.5357087500000008E-5</v>
      </c>
      <c r="CI82" s="15">
        <f t="shared" si="166"/>
        <v>2.2034025E-4</v>
      </c>
      <c r="CJ82" s="12">
        <v>0.6</v>
      </c>
      <c r="CK82" s="12">
        <v>1.3</v>
      </c>
      <c r="CL82" s="7">
        <v>3</v>
      </c>
      <c r="CM82" s="7">
        <v>27</v>
      </c>
      <c r="CN82" s="7">
        <v>70</v>
      </c>
      <c r="CO82" s="8">
        <f t="shared" si="167"/>
        <v>1.7625941249999999E-3</v>
      </c>
      <c r="CP82" s="8">
        <f t="shared" si="168"/>
        <v>2.2913723624999999E-3</v>
      </c>
      <c r="CQ82" s="18">
        <f t="shared" si="169"/>
        <v>6.8741170874999993E-5</v>
      </c>
      <c r="CR82" s="8">
        <f t="shared" si="170"/>
        <v>6.1867053787500006E-4</v>
      </c>
      <c r="CS82" s="8">
        <f t="shared" si="171"/>
        <v>1.6039606537499999E-3</v>
      </c>
      <c r="CT82" s="18">
        <f t="shared" si="172"/>
        <v>1.3239549510524998E-4</v>
      </c>
      <c r="CU82" s="8">
        <f t="shared" si="173"/>
        <v>5.7078085549874997E-4</v>
      </c>
      <c r="CV82" s="8">
        <f t="shared" si="174"/>
        <v>1.0517399143875001E-3</v>
      </c>
      <c r="CW82" s="8">
        <f t="shared" si="175"/>
        <v>2.7267331113749998E-3</v>
      </c>
      <c r="CX82" s="18">
        <f t="shared" si="176"/>
        <v>2.25072341678925E-4</v>
      </c>
      <c r="CY82" s="8">
        <f t="shared" si="177"/>
        <v>9.7032745434787507E-4</v>
      </c>
      <c r="CZ82" s="12">
        <f t="shared" si="178"/>
        <v>0.30000000000000004</v>
      </c>
      <c r="DA82" s="12">
        <f t="shared" si="186"/>
        <v>0.27008338296605122</v>
      </c>
      <c r="DB82" s="6">
        <v>1.7</v>
      </c>
      <c r="DC82" s="6">
        <v>1.7</v>
      </c>
      <c r="DD82" s="9">
        <v>0.14399999999999999</v>
      </c>
      <c r="DE82" s="9">
        <v>0.43</v>
      </c>
      <c r="DF82" s="15">
        <v>2.7E-2</v>
      </c>
      <c r="DG82" s="13">
        <v>0.19</v>
      </c>
      <c r="DH82" s="28">
        <f t="shared" si="179"/>
        <v>3.4928009999999996E-5</v>
      </c>
      <c r="DI82" s="29">
        <f t="shared" si="180"/>
        <v>1.5058095000000001E-4</v>
      </c>
    </row>
    <row r="83" spans="1:113" x14ac:dyDescent="0.25">
      <c r="A83" s="85">
        <v>75</v>
      </c>
      <c r="B83" s="35" t="s">
        <v>26</v>
      </c>
      <c r="C83" s="35" t="s">
        <v>28</v>
      </c>
      <c r="D83" s="31" t="s">
        <v>31</v>
      </c>
      <c r="E83" s="19" t="s">
        <v>52</v>
      </c>
      <c r="F83" s="9">
        <v>80</v>
      </c>
      <c r="G83" s="32" t="s">
        <v>112</v>
      </c>
      <c r="H83" s="19" t="s">
        <v>99</v>
      </c>
      <c r="I83" s="31" t="s">
        <v>99</v>
      </c>
      <c r="J83" s="32" t="s">
        <v>99</v>
      </c>
      <c r="K83" s="2" t="str">
        <f t="shared" si="123"/>
        <v>Statlig Landsbygd Målad 2+1 80 6,7-13 - -</v>
      </c>
      <c r="L83" s="2"/>
      <c r="M83" s="49" t="s">
        <v>50</v>
      </c>
      <c r="N83" s="53">
        <f>'Beräkna - Länk'!$C$26</f>
        <v>1</v>
      </c>
      <c r="O83" s="53">
        <f>'Beräkna - Länk'!$C$24/('Beräkna - Länk'!$C$27)^('Beräkna - Länk'!$C$25-2010)</f>
        <v>10385</v>
      </c>
      <c r="P83" s="13">
        <f t="shared" si="124"/>
        <v>3.7905249999999997</v>
      </c>
      <c r="Q83" s="13">
        <f t="shared" si="125"/>
        <v>0.4192017408</v>
      </c>
      <c r="R83" s="13">
        <f t="shared" si="126"/>
        <v>0.72201768578999992</v>
      </c>
      <c r="S83" s="28">
        <f t="shared" si="127"/>
        <v>1.2880628488799997E-2</v>
      </c>
      <c r="T83" s="15">
        <f t="shared" si="128"/>
        <v>8.1043691233949985E-2</v>
      </c>
      <c r="U83" s="13">
        <f t="shared" si="129"/>
        <v>0.62809336606724997</v>
      </c>
      <c r="V83" s="13">
        <f t="shared" si="130"/>
        <v>1.3171695322499999</v>
      </c>
      <c r="W83" s="15">
        <f t="shared" si="131"/>
        <v>1.7688485185417799E-2</v>
      </c>
      <c r="X83" s="15">
        <f t="shared" si="132"/>
        <v>0.10565675095910848</v>
      </c>
      <c r="Y83" s="15">
        <f t="shared" si="133"/>
        <v>0.137774275097715</v>
      </c>
      <c r="Z83" s="14">
        <f t="shared" si="134"/>
        <v>1.0677587223143248</v>
      </c>
      <c r="AA83" s="14">
        <f t="shared" si="135"/>
        <v>9.2201867257499988</v>
      </c>
      <c r="AB83" s="13">
        <f t="shared" si="136"/>
        <v>3.0070424815210259E-2</v>
      </c>
      <c r="AC83" s="14">
        <f t="shared" si="137"/>
        <v>0.17961647663048447</v>
      </c>
      <c r="AD83" s="13">
        <f t="shared" si="181"/>
        <v>0.12364840673472247</v>
      </c>
      <c r="AE83" s="15">
        <f t="shared" si="182"/>
        <v>3.9745128600000006E-2</v>
      </c>
      <c r="AF83" s="6">
        <v>0.108</v>
      </c>
      <c r="AG83" s="12">
        <v>1.7324999999999999</v>
      </c>
      <c r="AH83" s="12">
        <v>1.6</v>
      </c>
      <c r="AI83" s="12">
        <v>10.9</v>
      </c>
      <c r="AJ83" s="7">
        <v>87.5</v>
      </c>
      <c r="AK83" s="12">
        <v>1.8571428571428572</v>
      </c>
      <c r="AL83" s="12">
        <f t="shared" si="138"/>
        <v>0.40937669999999998</v>
      </c>
      <c r="AM83" s="12">
        <f t="shared" si="139"/>
        <v>0.7092451327499999</v>
      </c>
      <c r="AN83" s="18">
        <f t="shared" si="140"/>
        <v>1.1347922123999998E-2</v>
      </c>
      <c r="AO83" s="8">
        <f t="shared" si="141"/>
        <v>7.7307719469749986E-2</v>
      </c>
      <c r="AP83" s="12">
        <f t="shared" si="142"/>
        <v>0.62058949115624995</v>
      </c>
      <c r="AQ83" s="12">
        <f t="shared" si="143"/>
        <v>1.3171695322499999</v>
      </c>
      <c r="AR83" s="18">
        <f t="shared" si="144"/>
        <v>1.6891382081574001E-2</v>
      </c>
      <c r="AS83" s="8">
        <f t="shared" si="145"/>
        <v>0.10232279530184249</v>
      </c>
      <c r="AT83" s="8">
        <f t="shared" si="146"/>
        <v>0.13142312309857498</v>
      </c>
      <c r="AU83" s="8">
        <f t="shared" si="147"/>
        <v>1.0550021349656249</v>
      </c>
      <c r="AV83" s="8">
        <f t="shared" si="148"/>
        <v>9.2201867257499988</v>
      </c>
      <c r="AW83" s="8">
        <f t="shared" si="149"/>
        <v>2.8715349538675796E-2</v>
      </c>
      <c r="AX83" s="8">
        <f t="shared" si="150"/>
        <v>0.17394875201313226</v>
      </c>
      <c r="AY83" s="495">
        <f t="shared" si="183"/>
        <v>0.11919706300331595</v>
      </c>
      <c r="AZ83" s="8">
        <f t="shared" si="151"/>
        <v>2.338875E-2</v>
      </c>
      <c r="BA83" s="6">
        <v>1.7</v>
      </c>
      <c r="BB83" s="6">
        <v>1.7</v>
      </c>
      <c r="BC83" s="6">
        <v>7</v>
      </c>
      <c r="BD83" s="6">
        <v>7.400000000000001E-2</v>
      </c>
      <c r="BE83" s="6">
        <v>0.28000000000000003</v>
      </c>
      <c r="BF83" s="54">
        <v>1.7999999999999999E-2</v>
      </c>
      <c r="BG83" s="6">
        <v>0.13</v>
      </c>
      <c r="BH83" s="18">
        <f t="shared" si="152"/>
        <v>4.4562117600000003E-3</v>
      </c>
      <c r="BI83" s="8">
        <f t="shared" si="153"/>
        <v>2.6994359699999998E-2</v>
      </c>
      <c r="BJ83" s="12">
        <v>1.8</v>
      </c>
      <c r="BK83" s="12">
        <v>1.3</v>
      </c>
      <c r="BL83" s="7">
        <v>15</v>
      </c>
      <c r="BM83" s="7">
        <v>30</v>
      </c>
      <c r="BN83" s="7">
        <v>55</v>
      </c>
      <c r="BO83" s="8">
        <f t="shared" si="154"/>
        <v>7.3687806000000003E-3</v>
      </c>
      <c r="BP83" s="8">
        <f t="shared" si="155"/>
        <v>9.57941478E-3</v>
      </c>
      <c r="BQ83" s="8">
        <f t="shared" si="156"/>
        <v>1.436912217E-3</v>
      </c>
      <c r="BR83" s="8">
        <f t="shared" si="157"/>
        <v>2.8738244340000001E-3</v>
      </c>
      <c r="BS83" s="8">
        <f t="shared" si="158"/>
        <v>5.2686781290000005E-3</v>
      </c>
      <c r="BT83" s="18">
        <f t="shared" si="159"/>
        <v>6.1260357518099992E-4</v>
      </c>
      <c r="BU83" s="8">
        <f t="shared" si="160"/>
        <v>2.5385449167E-3</v>
      </c>
      <c r="BV83" s="8">
        <f t="shared" si="161"/>
        <v>4.8855015378000003E-3</v>
      </c>
      <c r="BW83" s="8">
        <f t="shared" si="162"/>
        <v>8.9567528193000012E-3</v>
      </c>
      <c r="BX83" s="18">
        <f t="shared" si="163"/>
        <v>1.0414260778077002E-3</v>
      </c>
      <c r="BY83" s="8">
        <f t="shared" si="164"/>
        <v>4.3155263583900001E-3</v>
      </c>
      <c r="BZ83" s="12">
        <f t="shared" si="165"/>
        <v>0.44999999999999996</v>
      </c>
      <c r="CA83" s="12">
        <f t="shared" si="184"/>
        <v>0.3764890282131661</v>
      </c>
      <c r="CB83" s="6">
        <v>1.7</v>
      </c>
      <c r="CC83" s="6">
        <v>1.7</v>
      </c>
      <c r="CD83" s="15">
        <v>0.16</v>
      </c>
      <c r="CE83" s="9">
        <v>0.48</v>
      </c>
      <c r="CF83" s="9">
        <v>2.9000000000000001E-2</v>
      </c>
      <c r="CG83" s="11">
        <v>0.22</v>
      </c>
      <c r="CH83" s="28">
        <f t="shared" si="185"/>
        <v>1.6161444000000001E-4</v>
      </c>
      <c r="CI83" s="15">
        <f t="shared" si="166"/>
        <v>6.6970800000000009E-4</v>
      </c>
      <c r="CJ83" s="12">
        <v>0.6</v>
      </c>
      <c r="CK83" s="12">
        <v>1.3</v>
      </c>
      <c r="CL83" s="7">
        <v>3</v>
      </c>
      <c r="CM83" s="7">
        <v>27</v>
      </c>
      <c r="CN83" s="7">
        <v>70</v>
      </c>
      <c r="CO83" s="8">
        <f t="shared" si="167"/>
        <v>2.4562602000000001E-3</v>
      </c>
      <c r="CP83" s="8">
        <f t="shared" si="168"/>
        <v>3.1931382600000001E-3</v>
      </c>
      <c r="CQ83" s="18">
        <f t="shared" si="169"/>
        <v>9.5794147800000006E-5</v>
      </c>
      <c r="CR83" s="8">
        <f t="shared" si="170"/>
        <v>8.6214733020000011E-4</v>
      </c>
      <c r="CS83" s="8">
        <f t="shared" si="171"/>
        <v>2.235196782E-3</v>
      </c>
      <c r="CT83" s="18">
        <f t="shared" si="172"/>
        <v>1.8449952866279998E-4</v>
      </c>
      <c r="CU83" s="8">
        <f t="shared" si="173"/>
        <v>7.954107405660001E-4</v>
      </c>
      <c r="CV83" s="8">
        <f t="shared" si="174"/>
        <v>1.4656504613400003E-3</v>
      </c>
      <c r="CW83" s="8">
        <f t="shared" si="175"/>
        <v>3.7998345293999997E-3</v>
      </c>
      <c r="CX83" s="18">
        <f t="shared" si="176"/>
        <v>3.1364919872676003E-4</v>
      </c>
      <c r="CY83" s="8">
        <f t="shared" si="177"/>
        <v>1.3521982589622E-3</v>
      </c>
      <c r="CZ83" s="12">
        <f t="shared" si="178"/>
        <v>0.30000000000000004</v>
      </c>
      <c r="DA83" s="12">
        <f t="shared" si="186"/>
        <v>0.27008338296605122</v>
      </c>
      <c r="DB83" s="6">
        <v>1.7</v>
      </c>
      <c r="DC83" s="6">
        <v>1.7</v>
      </c>
      <c r="DD83" s="9">
        <v>0.14399999999999999</v>
      </c>
      <c r="DE83" s="9">
        <v>0.43</v>
      </c>
      <c r="DF83" s="15">
        <v>2.7E-2</v>
      </c>
      <c r="DG83" s="13">
        <v>0.19</v>
      </c>
      <c r="DH83" s="28">
        <f t="shared" si="179"/>
        <v>4.8673871999999998E-5</v>
      </c>
      <c r="DI83" s="29">
        <f t="shared" si="180"/>
        <v>2.0984184000000003E-4</v>
      </c>
    </row>
    <row r="84" spans="1:113" x14ac:dyDescent="0.25">
      <c r="A84" s="85">
        <v>76</v>
      </c>
      <c r="B84" s="35" t="s">
        <v>26</v>
      </c>
      <c r="C84" s="35" t="s">
        <v>28</v>
      </c>
      <c r="D84" s="31" t="s">
        <v>31</v>
      </c>
      <c r="E84" s="19" t="s">
        <v>52</v>
      </c>
      <c r="F84" s="9">
        <v>80</v>
      </c>
      <c r="G84" s="32" t="s">
        <v>113</v>
      </c>
      <c r="H84" s="19" t="s">
        <v>99</v>
      </c>
      <c r="I84" s="31" t="s">
        <v>99</v>
      </c>
      <c r="J84" s="32" t="s">
        <v>99</v>
      </c>
      <c r="K84" s="2" t="str">
        <f t="shared" si="123"/>
        <v>Statlig Landsbygd Målad 2+1 80 8-13 - -</v>
      </c>
      <c r="L84" s="2"/>
      <c r="M84" s="49" t="s">
        <v>51</v>
      </c>
      <c r="N84" s="53">
        <f>'Beräkna - Länk'!$C$26</f>
        <v>1</v>
      </c>
      <c r="O84" s="53">
        <f>'Beräkna - Länk'!$C$24/('Beräkna - Länk'!$C$27)^('Beräkna - Länk'!$C$25-2010)</f>
        <v>10385</v>
      </c>
      <c r="P84" s="13">
        <f t="shared" si="124"/>
        <v>3.7905249999999997</v>
      </c>
      <c r="Q84" s="13">
        <f t="shared" si="125"/>
        <v>0.37728156672000002</v>
      </c>
      <c r="R84" s="13">
        <f t="shared" si="126"/>
        <v>0.64981591721099996</v>
      </c>
      <c r="S84" s="28">
        <f t="shared" si="127"/>
        <v>1.2869206878869999E-2</v>
      </c>
      <c r="T84" s="15">
        <f t="shared" si="128"/>
        <v>6.8471077774229991E-2</v>
      </c>
      <c r="U84" s="13">
        <f t="shared" si="129"/>
        <v>0.56847563255790001</v>
      </c>
      <c r="V84" s="13">
        <f t="shared" si="130"/>
        <v>1.1854525790249999</v>
      </c>
      <c r="W84" s="15">
        <f t="shared" si="131"/>
        <v>1.5646435441740721E-2</v>
      </c>
      <c r="X84" s="15">
        <f t="shared" si="132"/>
        <v>9.4254875851685418E-2</v>
      </c>
      <c r="Y84" s="15">
        <f t="shared" si="133"/>
        <v>0.11640083221619098</v>
      </c>
      <c r="Z84" s="14">
        <f t="shared" si="134"/>
        <v>0.96640857534842994</v>
      </c>
      <c r="AA84" s="14">
        <f t="shared" si="135"/>
        <v>8.2981680531749991</v>
      </c>
      <c r="AB84" s="13">
        <f t="shared" si="136"/>
        <v>2.659894025095922E-2</v>
      </c>
      <c r="AC84" s="14">
        <f t="shared" si="137"/>
        <v>0.16023328894786515</v>
      </c>
      <c r="AD84" s="13">
        <f t="shared" si="181"/>
        <v>0.11798171232968607</v>
      </c>
      <c r="AE84" s="15">
        <f t="shared" si="182"/>
        <v>3.410346563999999E-2</v>
      </c>
      <c r="AF84" s="6">
        <v>9.7200000000000009E-2</v>
      </c>
      <c r="AG84" s="12">
        <v>1.7324999999999999</v>
      </c>
      <c r="AH84" s="12">
        <v>1.8</v>
      </c>
      <c r="AI84" s="12">
        <v>10.199999999999999</v>
      </c>
      <c r="AJ84" s="7">
        <v>88</v>
      </c>
      <c r="AK84" s="12">
        <v>1.8571428571428572</v>
      </c>
      <c r="AL84" s="12">
        <f t="shared" si="138"/>
        <v>0.36843903</v>
      </c>
      <c r="AM84" s="12">
        <f t="shared" si="139"/>
        <v>0.63832061947499996</v>
      </c>
      <c r="AN84" s="18">
        <f t="shared" si="140"/>
        <v>1.1489771150549999E-2</v>
      </c>
      <c r="AO84" s="8">
        <f t="shared" si="141"/>
        <v>6.5108703186449984E-2</v>
      </c>
      <c r="AP84" s="12">
        <f t="shared" si="142"/>
        <v>0.56172214513800001</v>
      </c>
      <c r="AQ84" s="12">
        <f t="shared" si="143"/>
        <v>1.1854525790249999</v>
      </c>
      <c r="AR84" s="18">
        <f t="shared" si="144"/>
        <v>1.49290426482813E-2</v>
      </c>
      <c r="AS84" s="8">
        <f t="shared" si="145"/>
        <v>9.1254315760146018E-2</v>
      </c>
      <c r="AT84" s="8">
        <f t="shared" si="146"/>
        <v>0.11068479541696497</v>
      </c>
      <c r="AU84" s="8">
        <f t="shared" si="147"/>
        <v>0.95492764673459996</v>
      </c>
      <c r="AV84" s="8">
        <f t="shared" si="148"/>
        <v>8.2981680531749991</v>
      </c>
      <c r="AW84" s="8">
        <f t="shared" si="149"/>
        <v>2.5379372502078203E-2</v>
      </c>
      <c r="AX84" s="8">
        <f t="shared" si="150"/>
        <v>0.15513233679224819</v>
      </c>
      <c r="AY84" s="495">
        <f t="shared" si="183"/>
        <v>0.11342894393741849</v>
      </c>
      <c r="AZ84" s="8">
        <f t="shared" si="151"/>
        <v>2.0207879999999998E-2</v>
      </c>
      <c r="BA84" s="6">
        <v>1.7</v>
      </c>
      <c r="BB84" s="6">
        <v>1.7</v>
      </c>
      <c r="BC84" s="6">
        <v>7</v>
      </c>
      <c r="BD84" s="6">
        <v>7.400000000000001E-2</v>
      </c>
      <c r="BE84" s="6">
        <v>0.28000000000000003</v>
      </c>
      <c r="BF84" s="54">
        <v>1.7999999999999999E-2</v>
      </c>
      <c r="BG84" s="6">
        <v>0.13</v>
      </c>
      <c r="BH84" s="18">
        <f t="shared" si="152"/>
        <v>3.9385158120000003E-3</v>
      </c>
      <c r="BI84" s="8">
        <f t="shared" si="153"/>
        <v>2.4074321040000006E-2</v>
      </c>
      <c r="BJ84" s="12">
        <v>1.8</v>
      </c>
      <c r="BK84" s="12">
        <v>1.3</v>
      </c>
      <c r="BL84" s="7">
        <v>15</v>
      </c>
      <c r="BM84" s="7">
        <v>30</v>
      </c>
      <c r="BN84" s="7">
        <v>55</v>
      </c>
      <c r="BO84" s="8">
        <f t="shared" si="154"/>
        <v>6.6319025400000007E-3</v>
      </c>
      <c r="BP84" s="8">
        <f t="shared" si="155"/>
        <v>8.6214733020000007E-3</v>
      </c>
      <c r="BQ84" s="8">
        <f t="shared" si="156"/>
        <v>1.2932209953000001E-3</v>
      </c>
      <c r="BR84" s="8">
        <f t="shared" si="157"/>
        <v>2.5864419906000001E-3</v>
      </c>
      <c r="BS84" s="8">
        <f t="shared" si="158"/>
        <v>4.7418103161000012E-3</v>
      </c>
      <c r="BT84" s="18">
        <f t="shared" si="159"/>
        <v>5.513432176629E-4</v>
      </c>
      <c r="BU84" s="8">
        <f t="shared" si="160"/>
        <v>2.2846904250300006E-3</v>
      </c>
      <c r="BV84" s="8">
        <f t="shared" si="161"/>
        <v>4.3969513840200003E-3</v>
      </c>
      <c r="BW84" s="8">
        <f t="shared" si="162"/>
        <v>8.0610775373700025E-3</v>
      </c>
      <c r="BX84" s="18">
        <f t="shared" si="163"/>
        <v>9.3728347002693016E-4</v>
      </c>
      <c r="BY84" s="8">
        <f t="shared" si="164"/>
        <v>3.8839737225510006E-3</v>
      </c>
      <c r="BZ84" s="12">
        <f t="shared" si="165"/>
        <v>0.44999999999999996</v>
      </c>
      <c r="CA84" s="12">
        <f t="shared" si="184"/>
        <v>0.3764890282131661</v>
      </c>
      <c r="CB84" s="6">
        <v>1.7</v>
      </c>
      <c r="CC84" s="6">
        <v>1.7</v>
      </c>
      <c r="CD84" s="15">
        <v>0.16</v>
      </c>
      <c r="CE84" s="9">
        <v>0.48</v>
      </c>
      <c r="CF84" s="9">
        <v>2.9000000000000001E-2</v>
      </c>
      <c r="CG84" s="11">
        <v>0.22</v>
      </c>
      <c r="CH84" s="28">
        <f t="shared" si="185"/>
        <v>1.4545299600000002E-4</v>
      </c>
      <c r="CI84" s="15">
        <f t="shared" si="166"/>
        <v>6.0273720000000018E-4</v>
      </c>
      <c r="CJ84" s="12">
        <v>0.6</v>
      </c>
      <c r="CK84" s="12">
        <v>1.3</v>
      </c>
      <c r="CL84" s="7">
        <v>3</v>
      </c>
      <c r="CM84" s="7">
        <v>27</v>
      </c>
      <c r="CN84" s="7">
        <v>70</v>
      </c>
      <c r="CO84" s="8">
        <f t="shared" si="167"/>
        <v>2.2106341800000001E-3</v>
      </c>
      <c r="CP84" s="8">
        <f t="shared" si="168"/>
        <v>2.8738244340000001E-3</v>
      </c>
      <c r="CQ84" s="18">
        <f t="shared" si="169"/>
        <v>8.6214733020000003E-5</v>
      </c>
      <c r="CR84" s="8">
        <f t="shared" si="170"/>
        <v>7.7593259718000012E-4</v>
      </c>
      <c r="CS84" s="8">
        <f t="shared" si="171"/>
        <v>2.0116771037999998E-3</v>
      </c>
      <c r="CT84" s="18">
        <f t="shared" si="172"/>
        <v>1.6604957579652001E-4</v>
      </c>
      <c r="CU84" s="8">
        <f t="shared" si="173"/>
        <v>7.1586966650940013E-4</v>
      </c>
      <c r="CV84" s="8">
        <f t="shared" si="174"/>
        <v>1.3190854152060002E-3</v>
      </c>
      <c r="CW84" s="8">
        <f t="shared" si="175"/>
        <v>3.4198510764599996E-3</v>
      </c>
      <c r="CX84" s="18">
        <f t="shared" si="176"/>
        <v>2.8228427885408403E-4</v>
      </c>
      <c r="CY84" s="8">
        <f t="shared" si="177"/>
        <v>1.2169784330659798E-3</v>
      </c>
      <c r="CZ84" s="12">
        <f t="shared" si="178"/>
        <v>0.30000000000000004</v>
      </c>
      <c r="DA84" s="12">
        <f t="shared" si="186"/>
        <v>0.27008338296605122</v>
      </c>
      <c r="DB84" s="6">
        <v>1.7</v>
      </c>
      <c r="DC84" s="6">
        <v>1.7</v>
      </c>
      <c r="DD84" s="9">
        <v>0.14399999999999999</v>
      </c>
      <c r="DE84" s="9">
        <v>0.43</v>
      </c>
      <c r="DF84" s="15">
        <v>2.7E-2</v>
      </c>
      <c r="DG84" s="13">
        <v>0.19</v>
      </c>
      <c r="DH84" s="28">
        <f t="shared" si="179"/>
        <v>4.3806484800000004E-5</v>
      </c>
      <c r="DI84" s="29">
        <f t="shared" si="180"/>
        <v>1.8885765600000005E-4</v>
      </c>
    </row>
    <row r="85" spans="1:113" x14ac:dyDescent="0.25">
      <c r="A85" s="85">
        <v>77</v>
      </c>
      <c r="B85" s="35" t="s">
        <v>26</v>
      </c>
      <c r="C85" s="35" t="s">
        <v>28</v>
      </c>
      <c r="D85" s="31" t="s">
        <v>31</v>
      </c>
      <c r="E85" s="19" t="s">
        <v>52</v>
      </c>
      <c r="F85" s="9">
        <v>90</v>
      </c>
      <c r="G85" s="32" t="s">
        <v>112</v>
      </c>
      <c r="H85" s="19" t="s">
        <v>99</v>
      </c>
      <c r="I85" s="31" t="s">
        <v>99</v>
      </c>
      <c r="J85" s="32" t="s">
        <v>99</v>
      </c>
      <c r="K85" s="2" t="str">
        <f t="shared" si="123"/>
        <v>Statlig Landsbygd Målad 2+1 90 6,7-13 - -</v>
      </c>
      <c r="L85" s="2"/>
      <c r="M85" s="49" t="s">
        <v>50</v>
      </c>
      <c r="N85" s="53">
        <f>'Beräkna - Länk'!$C$26</f>
        <v>1</v>
      </c>
      <c r="O85" s="53">
        <f>'Beräkna - Länk'!$C$24/('Beräkna - Länk'!$C$27)^('Beräkna - Länk'!$C$25-2010)</f>
        <v>10385</v>
      </c>
      <c r="P85" s="13">
        <f t="shared" si="124"/>
        <v>3.7905249999999997</v>
      </c>
      <c r="Q85" s="13">
        <f t="shared" si="125"/>
        <v>0.36224379594</v>
      </c>
      <c r="R85" s="13">
        <f t="shared" si="126"/>
        <v>0.56475972025200005</v>
      </c>
      <c r="S85" s="28">
        <f t="shared" si="127"/>
        <v>1.499763821751E-2</v>
      </c>
      <c r="T85" s="15">
        <f t="shared" si="128"/>
        <v>7.4982337000740001E-2</v>
      </c>
      <c r="U85" s="13">
        <f t="shared" si="129"/>
        <v>0.47477974503374998</v>
      </c>
      <c r="V85" s="13">
        <f t="shared" si="130"/>
        <v>1.0308514682700001</v>
      </c>
      <c r="W85" s="15">
        <f t="shared" si="131"/>
        <v>1.474561765158066E-2</v>
      </c>
      <c r="X85" s="15">
        <f t="shared" si="132"/>
        <v>8.442389868015869E-2</v>
      </c>
      <c r="Y85" s="15">
        <f t="shared" si="133"/>
        <v>0.127469972901258</v>
      </c>
      <c r="Z85" s="14">
        <f t="shared" si="134"/>
        <v>0.80712556655737488</v>
      </c>
      <c r="AA85" s="14">
        <f t="shared" si="135"/>
        <v>7.2159602778900007</v>
      </c>
      <c r="AB85" s="13">
        <f t="shared" si="136"/>
        <v>2.5067550007687119E-2</v>
      </c>
      <c r="AC85" s="14">
        <f t="shared" si="137"/>
        <v>0.14352062775626981</v>
      </c>
      <c r="AD85" s="13">
        <f t="shared" si="181"/>
        <v>0.15003015445774015</v>
      </c>
      <c r="AE85" s="15">
        <f t="shared" si="182"/>
        <v>3.7585192320000002E-2</v>
      </c>
      <c r="AF85" s="18">
        <v>9.3600000000000017E-2</v>
      </c>
      <c r="AG85" s="8">
        <v>1.5645</v>
      </c>
      <c r="AH85" s="12">
        <v>2.5</v>
      </c>
      <c r="AI85" s="12">
        <v>13</v>
      </c>
      <c r="AJ85" s="7">
        <v>84.5</v>
      </c>
      <c r="AK85" s="12">
        <v>1.8571428571428572</v>
      </c>
      <c r="AL85" s="12">
        <f t="shared" si="138"/>
        <v>0.35479314000000001</v>
      </c>
      <c r="AM85" s="12">
        <f t="shared" si="139"/>
        <v>0.55507386752999999</v>
      </c>
      <c r="AN85" s="18">
        <f t="shared" si="140"/>
        <v>1.387684668825E-2</v>
      </c>
      <c r="AO85" s="8">
        <f t="shared" si="141"/>
        <v>7.2159602778900003E-2</v>
      </c>
      <c r="AP85" s="12">
        <f t="shared" si="142"/>
        <v>0.46903741806284999</v>
      </c>
      <c r="AQ85" s="12">
        <f t="shared" si="143"/>
        <v>1.0308514682700001</v>
      </c>
      <c r="AR85" s="18">
        <f t="shared" si="144"/>
        <v>1.41432821446644E-2</v>
      </c>
      <c r="AS85" s="8">
        <f t="shared" si="145"/>
        <v>8.19011491540515E-2</v>
      </c>
      <c r="AT85" s="8">
        <f t="shared" si="146"/>
        <v>0.12267132472413</v>
      </c>
      <c r="AU85" s="8">
        <f t="shared" si="147"/>
        <v>0.79736361070684492</v>
      </c>
      <c r="AV85" s="8">
        <f t="shared" si="148"/>
        <v>7.2159602778900007</v>
      </c>
      <c r="AW85" s="8">
        <f t="shared" si="149"/>
        <v>2.4043579645929479E-2</v>
      </c>
      <c r="AX85" s="8">
        <f t="shared" si="150"/>
        <v>0.13923195356188753</v>
      </c>
      <c r="AY85" s="495">
        <f t="shared" si="183"/>
        <v>0.14621099554234773</v>
      </c>
      <c r="AZ85" s="8">
        <f t="shared" si="151"/>
        <v>2.2697766000000005E-2</v>
      </c>
      <c r="BA85" s="6">
        <v>1.7</v>
      </c>
      <c r="BB85" s="6">
        <v>1.7</v>
      </c>
      <c r="BC85" s="6">
        <v>7</v>
      </c>
      <c r="BD85" s="6">
        <v>7.9000000000000001E-2</v>
      </c>
      <c r="BE85" s="6">
        <v>0.28999999999999998</v>
      </c>
      <c r="BF85" s="54">
        <v>1.7999999999999999E-2</v>
      </c>
      <c r="BG85" s="6">
        <v>0.13</v>
      </c>
      <c r="BH85" s="18">
        <f t="shared" si="152"/>
        <v>3.7312198560000005E-3</v>
      </c>
      <c r="BI85" s="8">
        <f t="shared" si="153"/>
        <v>2.1606808860000003E-2</v>
      </c>
      <c r="BJ85" s="12">
        <v>1.5</v>
      </c>
      <c r="BK85" s="12">
        <v>1.3</v>
      </c>
      <c r="BL85" s="7">
        <v>15</v>
      </c>
      <c r="BM85" s="7">
        <v>30</v>
      </c>
      <c r="BN85" s="7">
        <v>55</v>
      </c>
      <c r="BO85" s="8">
        <f t="shared" si="154"/>
        <v>5.3218970999999995E-3</v>
      </c>
      <c r="BP85" s="8">
        <f t="shared" si="155"/>
        <v>6.9184662299999998E-3</v>
      </c>
      <c r="BQ85" s="8">
        <f t="shared" si="156"/>
        <v>1.0377699345E-3</v>
      </c>
      <c r="BR85" s="8">
        <f t="shared" si="157"/>
        <v>2.0755398689999999E-3</v>
      </c>
      <c r="BS85" s="8">
        <f t="shared" si="158"/>
        <v>3.8051564265000003E-3</v>
      </c>
      <c r="BT85" s="18">
        <f t="shared" si="159"/>
        <v>4.4243591540850006E-4</v>
      </c>
      <c r="BU85" s="8">
        <f t="shared" si="160"/>
        <v>1.8333935509500003E-3</v>
      </c>
      <c r="BV85" s="8">
        <f t="shared" si="161"/>
        <v>3.5284177772999998E-3</v>
      </c>
      <c r="BW85" s="8">
        <f t="shared" si="162"/>
        <v>6.4687659250500006E-3</v>
      </c>
      <c r="BX85" s="18">
        <f t="shared" si="163"/>
        <v>7.5214105619445003E-4</v>
      </c>
      <c r="BY85" s="8">
        <f t="shared" si="164"/>
        <v>3.1167690366150002E-3</v>
      </c>
      <c r="BZ85" s="12">
        <f t="shared" si="165"/>
        <v>0.44999999999999996</v>
      </c>
      <c r="CA85" s="12">
        <f t="shared" si="184"/>
        <v>0.37648902821316615</v>
      </c>
      <c r="CB85" s="6">
        <v>1.7</v>
      </c>
      <c r="CC85" s="6">
        <v>1.7</v>
      </c>
      <c r="CD85" s="15">
        <v>0.16</v>
      </c>
      <c r="CE85" s="9">
        <v>0.48</v>
      </c>
      <c r="CF85" s="9">
        <v>2.9000000000000001E-2</v>
      </c>
      <c r="CG85" s="11">
        <v>0.22</v>
      </c>
      <c r="CH85" s="28">
        <f t="shared" si="185"/>
        <v>1.1672154000000002E-4</v>
      </c>
      <c r="CI85" s="15">
        <f t="shared" si="166"/>
        <v>4.8367800000000008E-4</v>
      </c>
      <c r="CJ85" s="12">
        <v>0.6</v>
      </c>
      <c r="CK85" s="12">
        <v>1.3</v>
      </c>
      <c r="CL85" s="7">
        <v>3</v>
      </c>
      <c r="CM85" s="7">
        <v>27</v>
      </c>
      <c r="CN85" s="7">
        <v>70</v>
      </c>
      <c r="CO85" s="8">
        <f t="shared" si="167"/>
        <v>2.1287588400000002E-3</v>
      </c>
      <c r="CP85" s="8">
        <f t="shared" si="168"/>
        <v>2.7673864920000004E-3</v>
      </c>
      <c r="CQ85" s="18">
        <f t="shared" si="169"/>
        <v>8.3021594760000002E-5</v>
      </c>
      <c r="CR85" s="8">
        <f t="shared" si="170"/>
        <v>7.4719435284000013E-4</v>
      </c>
      <c r="CS85" s="8">
        <f t="shared" si="171"/>
        <v>1.9371705444000001E-3</v>
      </c>
      <c r="CT85" s="18">
        <f t="shared" si="172"/>
        <v>1.5989959150776E-4</v>
      </c>
      <c r="CU85" s="8">
        <f t="shared" si="173"/>
        <v>6.8935597515720011E-4</v>
      </c>
      <c r="CV85" s="8">
        <f t="shared" si="174"/>
        <v>1.2702303998280001E-3</v>
      </c>
      <c r="CW85" s="8">
        <f t="shared" si="175"/>
        <v>3.2931899254800001E-3</v>
      </c>
      <c r="CX85" s="18">
        <f t="shared" si="176"/>
        <v>2.7182930556319201E-4</v>
      </c>
      <c r="CY85" s="8">
        <f t="shared" si="177"/>
        <v>1.17190515776724E-3</v>
      </c>
      <c r="CZ85" s="12">
        <f t="shared" si="178"/>
        <v>0.30000000000000004</v>
      </c>
      <c r="DA85" s="12">
        <f t="shared" si="186"/>
        <v>0.27008338296605122</v>
      </c>
      <c r="DB85" s="6">
        <v>1.7</v>
      </c>
      <c r="DC85" s="6">
        <v>1.7</v>
      </c>
      <c r="DD85" s="9">
        <v>0.14399999999999999</v>
      </c>
      <c r="DE85" s="9">
        <v>0.43</v>
      </c>
      <c r="DF85" s="15">
        <v>2.7E-2</v>
      </c>
      <c r="DG85" s="13">
        <v>0.19</v>
      </c>
      <c r="DH85" s="28">
        <f t="shared" si="179"/>
        <v>4.2184022400000001E-5</v>
      </c>
      <c r="DI85" s="29">
        <f t="shared" si="180"/>
        <v>1.8186292800000003E-4</v>
      </c>
    </row>
    <row r="86" spans="1:113" x14ac:dyDescent="0.25">
      <c r="A86" s="85">
        <v>78</v>
      </c>
      <c r="B86" s="35" t="s">
        <v>26</v>
      </c>
      <c r="C86" s="35" t="s">
        <v>28</v>
      </c>
      <c r="D86" s="31" t="s">
        <v>31</v>
      </c>
      <c r="E86" s="19" t="s">
        <v>52</v>
      </c>
      <c r="F86" s="9">
        <v>90</v>
      </c>
      <c r="G86" s="32" t="s">
        <v>113</v>
      </c>
      <c r="H86" s="19" t="s">
        <v>99</v>
      </c>
      <c r="I86" s="31" t="s">
        <v>99</v>
      </c>
      <c r="J86" s="32" t="s">
        <v>99</v>
      </c>
      <c r="K86" s="2" t="str">
        <f t="shared" si="123"/>
        <v>Statlig Landsbygd Målad 2+1 90 8-13 - -</v>
      </c>
      <c r="L86" s="2"/>
      <c r="M86" s="49" t="s">
        <v>51</v>
      </c>
      <c r="N86" s="53">
        <f>'Beräkna - Länk'!$C$26</f>
        <v>1</v>
      </c>
      <c r="O86" s="53">
        <f>'Beräkna - Länk'!$C$24/('Beräkna - Länk'!$C$27)^('Beräkna - Länk'!$C$25-2010)</f>
        <v>10385</v>
      </c>
      <c r="P86" s="13">
        <f t="shared" si="124"/>
        <v>3.7905249999999997</v>
      </c>
      <c r="Q86" s="13">
        <f t="shared" si="125"/>
        <v>0.32601941634600007</v>
      </c>
      <c r="R86" s="13">
        <f t="shared" si="126"/>
        <v>0.50828374822680011</v>
      </c>
      <c r="S86" s="28">
        <f t="shared" si="127"/>
        <v>1.4996573838090003E-2</v>
      </c>
      <c r="T86" s="15">
        <f t="shared" si="128"/>
        <v>6.3487571454450012E-2</v>
      </c>
      <c r="U86" s="13">
        <f t="shared" si="129"/>
        <v>0.42979960293426017</v>
      </c>
      <c r="V86" s="13">
        <f t="shared" si="130"/>
        <v>0.9277663214430002</v>
      </c>
      <c r="W86" s="15">
        <f t="shared" si="131"/>
        <v>1.3000290853841462E-2</v>
      </c>
      <c r="X86" s="15">
        <f t="shared" si="132"/>
        <v>7.5147232789245275E-2</v>
      </c>
      <c r="Y86" s="15">
        <f t="shared" si="133"/>
        <v>0.10792887147256501</v>
      </c>
      <c r="Z86" s="14">
        <f t="shared" si="134"/>
        <v>0.73065932498824226</v>
      </c>
      <c r="AA86" s="14">
        <f t="shared" si="135"/>
        <v>6.4943642501010013</v>
      </c>
      <c r="AB86" s="13">
        <f t="shared" si="136"/>
        <v>2.2100494451530488E-2</v>
      </c>
      <c r="AC86" s="14">
        <f t="shared" si="137"/>
        <v>0.12775029574171698</v>
      </c>
      <c r="AD86" s="13">
        <f t="shared" si="181"/>
        <v>0.14401082304644514</v>
      </c>
      <c r="AE86" s="15">
        <f t="shared" si="182"/>
        <v>3.2429662200000008E-2</v>
      </c>
      <c r="AF86" s="18">
        <v>8.4240000000000023E-2</v>
      </c>
      <c r="AG86" s="8">
        <v>1.5645</v>
      </c>
      <c r="AH86" s="12">
        <v>2.8</v>
      </c>
      <c r="AI86" s="12">
        <v>12.2</v>
      </c>
      <c r="AJ86" s="7">
        <v>85</v>
      </c>
      <c r="AK86" s="12">
        <v>1.8571428571428572</v>
      </c>
      <c r="AL86" s="12">
        <f t="shared" si="138"/>
        <v>0.31931382600000008</v>
      </c>
      <c r="AM86" s="12">
        <f t="shared" si="139"/>
        <v>0.49956648077700011</v>
      </c>
      <c r="AN86" s="18">
        <f t="shared" si="140"/>
        <v>1.3987861461756002E-2</v>
      </c>
      <c r="AO86" s="8">
        <f t="shared" si="141"/>
        <v>6.0947110654794009E-2</v>
      </c>
      <c r="AP86" s="12">
        <f t="shared" si="142"/>
        <v>0.42463150866045013</v>
      </c>
      <c r="AQ86" s="12">
        <f t="shared" si="143"/>
        <v>0.9277663214430002</v>
      </c>
      <c r="AR86" s="18">
        <f t="shared" si="144"/>
        <v>1.2458188897616828E-2</v>
      </c>
      <c r="AS86" s="8">
        <f t="shared" si="145"/>
        <v>7.2876758215748794E-2</v>
      </c>
      <c r="AT86" s="8">
        <f t="shared" si="146"/>
        <v>0.10361008811314981</v>
      </c>
      <c r="AU86" s="8">
        <f t="shared" si="147"/>
        <v>0.7218735647227652</v>
      </c>
      <c r="AV86" s="8">
        <f t="shared" si="148"/>
        <v>6.4943642501010013</v>
      </c>
      <c r="AW86" s="8">
        <f t="shared" si="149"/>
        <v>2.1178921125948609E-2</v>
      </c>
      <c r="AX86" s="8">
        <f t="shared" si="150"/>
        <v>0.12389048896677293</v>
      </c>
      <c r="AY86" s="495">
        <f t="shared" si="183"/>
        <v>0.14008569388240893</v>
      </c>
      <c r="AZ86" s="8">
        <f t="shared" si="151"/>
        <v>1.9769022000000004E-2</v>
      </c>
      <c r="BA86" s="6">
        <v>1.7</v>
      </c>
      <c r="BB86" s="6">
        <v>1.7</v>
      </c>
      <c r="BC86" s="6">
        <v>7</v>
      </c>
      <c r="BD86" s="6">
        <v>7.9000000000000001E-2</v>
      </c>
      <c r="BE86" s="6">
        <v>0.28999999999999998</v>
      </c>
      <c r="BF86" s="54">
        <v>1.7999999999999999E-2</v>
      </c>
      <c r="BG86" s="6">
        <v>0.13</v>
      </c>
      <c r="BH86" s="18">
        <f t="shared" si="152"/>
        <v>3.2866658042400008E-3</v>
      </c>
      <c r="BI86" s="8">
        <f t="shared" si="153"/>
        <v>1.922603286240001E-2</v>
      </c>
      <c r="BJ86" s="12">
        <v>1.5</v>
      </c>
      <c r="BK86" s="12">
        <v>1.3</v>
      </c>
      <c r="BL86" s="7">
        <v>15</v>
      </c>
      <c r="BM86" s="7">
        <v>30</v>
      </c>
      <c r="BN86" s="7">
        <v>55</v>
      </c>
      <c r="BO86" s="8">
        <f t="shared" si="154"/>
        <v>4.7897073900000009E-3</v>
      </c>
      <c r="BP86" s="8">
        <f t="shared" si="155"/>
        <v>6.2266196070000016E-3</v>
      </c>
      <c r="BQ86" s="8">
        <f t="shared" si="156"/>
        <v>9.3399294105000021E-4</v>
      </c>
      <c r="BR86" s="8">
        <f t="shared" si="157"/>
        <v>1.8679858821000004E-3</v>
      </c>
      <c r="BS86" s="8">
        <f t="shared" si="158"/>
        <v>3.424640783850001E-3</v>
      </c>
      <c r="BT86" s="18">
        <f t="shared" si="159"/>
        <v>3.981923238676501E-4</v>
      </c>
      <c r="BU86" s="8">
        <f t="shared" si="160"/>
        <v>1.6500541958550006E-3</v>
      </c>
      <c r="BV86" s="8">
        <f t="shared" si="161"/>
        <v>3.1755759995700005E-3</v>
      </c>
      <c r="BW86" s="8">
        <f t="shared" si="162"/>
        <v>5.8218893325450013E-3</v>
      </c>
      <c r="BX86" s="18">
        <f t="shared" si="163"/>
        <v>6.7692695057500511E-4</v>
      </c>
      <c r="BY86" s="8">
        <f t="shared" si="164"/>
        <v>2.8050921329535006E-3</v>
      </c>
      <c r="BZ86" s="12">
        <f t="shared" si="165"/>
        <v>0.44999999999999996</v>
      </c>
      <c r="CA86" s="12">
        <f t="shared" si="184"/>
        <v>0.37648902821316615</v>
      </c>
      <c r="CB86" s="6">
        <v>1.7</v>
      </c>
      <c r="CC86" s="6">
        <v>1.7</v>
      </c>
      <c r="CD86" s="15">
        <v>0.16</v>
      </c>
      <c r="CE86" s="9">
        <v>0.48</v>
      </c>
      <c r="CF86" s="9">
        <v>2.9000000000000001E-2</v>
      </c>
      <c r="CG86" s="11">
        <v>0.22</v>
      </c>
      <c r="CH86" s="28">
        <f t="shared" si="185"/>
        <v>1.0504938600000003E-4</v>
      </c>
      <c r="CI86" s="15">
        <f t="shared" si="166"/>
        <v>4.3531020000000018E-4</v>
      </c>
      <c r="CJ86" s="12">
        <v>0.6</v>
      </c>
      <c r="CK86" s="12">
        <v>1.3</v>
      </c>
      <c r="CL86" s="7">
        <v>3</v>
      </c>
      <c r="CM86" s="7">
        <v>27</v>
      </c>
      <c r="CN86" s="7">
        <v>70</v>
      </c>
      <c r="CO86" s="8">
        <f t="shared" si="167"/>
        <v>1.9158829560000006E-3</v>
      </c>
      <c r="CP86" s="8">
        <f t="shared" si="168"/>
        <v>2.4906478428000007E-3</v>
      </c>
      <c r="CQ86" s="18">
        <f t="shared" si="169"/>
        <v>7.4719435284000021E-5</v>
      </c>
      <c r="CR86" s="8">
        <f t="shared" si="170"/>
        <v>6.724749175560002E-4</v>
      </c>
      <c r="CS86" s="8">
        <f t="shared" si="171"/>
        <v>1.7434534899600004E-3</v>
      </c>
      <c r="CT86" s="18">
        <f t="shared" si="172"/>
        <v>1.43909632356984E-4</v>
      </c>
      <c r="CU86" s="8">
        <f t="shared" si="173"/>
        <v>6.2042037764148026E-4</v>
      </c>
      <c r="CV86" s="8">
        <f t="shared" si="174"/>
        <v>1.1432073598452003E-3</v>
      </c>
      <c r="CW86" s="8">
        <f t="shared" si="175"/>
        <v>2.9638709329320007E-3</v>
      </c>
      <c r="CX86" s="18">
        <f t="shared" si="176"/>
        <v>2.4464637500687283E-4</v>
      </c>
      <c r="CY86" s="8">
        <f t="shared" si="177"/>
        <v>1.0547146419905163E-3</v>
      </c>
      <c r="CZ86" s="12">
        <f t="shared" si="178"/>
        <v>0.30000000000000004</v>
      </c>
      <c r="DA86" s="12">
        <f t="shared" si="186"/>
        <v>0.27008338296605122</v>
      </c>
      <c r="DB86" s="6">
        <v>1.7</v>
      </c>
      <c r="DC86" s="6">
        <v>1.7</v>
      </c>
      <c r="DD86" s="9">
        <v>0.14399999999999999</v>
      </c>
      <c r="DE86" s="9">
        <v>0.43</v>
      </c>
      <c r="DF86" s="15">
        <v>2.7E-2</v>
      </c>
      <c r="DG86" s="13">
        <v>0.19</v>
      </c>
      <c r="DH86" s="28">
        <f t="shared" si="179"/>
        <v>3.7965620160000007E-5</v>
      </c>
      <c r="DI86" s="29">
        <f t="shared" si="180"/>
        <v>1.6367663520000007E-4</v>
      </c>
    </row>
    <row r="87" spans="1:113" x14ac:dyDescent="0.25">
      <c r="A87" s="85">
        <v>79</v>
      </c>
      <c r="B87" s="35" t="s">
        <v>26</v>
      </c>
      <c r="C87" s="35" t="s">
        <v>28</v>
      </c>
      <c r="D87" s="31" t="s">
        <v>31</v>
      </c>
      <c r="E87" s="19" t="s">
        <v>52</v>
      </c>
      <c r="F87" s="9">
        <v>100</v>
      </c>
      <c r="G87" s="32" t="s">
        <v>112</v>
      </c>
      <c r="H87" s="19" t="s">
        <v>99</v>
      </c>
      <c r="I87" s="31" t="s">
        <v>99</v>
      </c>
      <c r="J87" s="32" t="s">
        <v>99</v>
      </c>
      <c r="K87" s="2" t="str">
        <f t="shared" si="123"/>
        <v>Statlig Landsbygd Målad 2+1 100 6,7-13 - -</v>
      </c>
      <c r="L87" s="2"/>
      <c r="M87" s="49" t="s">
        <v>50</v>
      </c>
      <c r="N87" s="53">
        <f>'Beräkna - Länk'!$C$26</f>
        <v>1</v>
      </c>
      <c r="O87" s="53">
        <f>'Beräkna - Länk'!$C$24/('Beräkna - Länk'!$C$27)^('Beräkna - Länk'!$C$25-2010)</f>
        <v>10385</v>
      </c>
      <c r="P87" s="13">
        <f t="shared" si="124"/>
        <v>3.7905249999999997</v>
      </c>
      <c r="Q87" s="13">
        <f t="shared" si="125"/>
        <v>0.35780660737499997</v>
      </c>
      <c r="R87" s="13">
        <f t="shared" si="126"/>
        <v>0.55838981879999994</v>
      </c>
      <c r="S87" s="28">
        <f t="shared" si="127"/>
        <v>1.6556046616125E-2</v>
      </c>
      <c r="T87" s="15">
        <f t="shared" si="128"/>
        <v>8.0294975364375007E-2</v>
      </c>
      <c r="U87" s="13">
        <f t="shared" si="129"/>
        <v>0.46153879681949994</v>
      </c>
      <c r="V87" s="13">
        <f t="shared" si="130"/>
        <v>1.0242434460375001</v>
      </c>
      <c r="W87" s="15">
        <f t="shared" si="131"/>
        <v>1.5228797376652871E-2</v>
      </c>
      <c r="X87" s="15">
        <f t="shared" si="132"/>
        <v>8.4690296405687246E-2</v>
      </c>
      <c r="Y87" s="15">
        <f t="shared" si="133"/>
        <v>0.13650145811943751</v>
      </c>
      <c r="Z87" s="14">
        <f t="shared" si="134"/>
        <v>0.78461595459314981</v>
      </c>
      <c r="AA87" s="14">
        <f t="shared" si="135"/>
        <v>7.1697041222625</v>
      </c>
      <c r="AB87" s="13">
        <f t="shared" si="136"/>
        <v>2.5888955540309885E-2</v>
      </c>
      <c r="AC87" s="14">
        <f t="shared" si="137"/>
        <v>0.14397350388966829</v>
      </c>
      <c r="AD87" s="13">
        <f t="shared" si="181"/>
        <v>0.16323113682362039</v>
      </c>
      <c r="AE87" s="15">
        <f t="shared" si="182"/>
        <v>4.0378972500000006E-2</v>
      </c>
      <c r="AF87" s="18">
        <v>9.2999999999999999E-2</v>
      </c>
      <c r="AG87" s="8">
        <v>1.5645</v>
      </c>
      <c r="AH87" s="12">
        <v>2.8</v>
      </c>
      <c r="AI87" s="12">
        <v>14.2</v>
      </c>
      <c r="AJ87" s="7">
        <v>83</v>
      </c>
      <c r="AK87" s="12">
        <v>1.8571428571428572</v>
      </c>
      <c r="AL87" s="12">
        <f t="shared" si="138"/>
        <v>0.35251882499999998</v>
      </c>
      <c r="AM87" s="12">
        <f t="shared" si="139"/>
        <v>0.55151570171249997</v>
      </c>
      <c r="AN87" s="18">
        <f t="shared" si="140"/>
        <v>1.544243964795E-2</v>
      </c>
      <c r="AO87" s="8">
        <f t="shared" si="141"/>
        <v>7.8315229643174999E-2</v>
      </c>
      <c r="AP87" s="12">
        <f t="shared" si="142"/>
        <v>0.45775803242137497</v>
      </c>
      <c r="AQ87" s="12">
        <f t="shared" si="143"/>
        <v>1.0242434460375001</v>
      </c>
      <c r="AR87" s="18">
        <f t="shared" si="144"/>
        <v>1.4818123873611446E-2</v>
      </c>
      <c r="AS87" s="8">
        <f t="shared" si="145"/>
        <v>8.3003113107731244E-2</v>
      </c>
      <c r="AT87" s="8">
        <f t="shared" si="146"/>
        <v>0.13313589039339749</v>
      </c>
      <c r="AU87" s="8">
        <f t="shared" si="147"/>
        <v>0.77818865511633739</v>
      </c>
      <c r="AV87" s="8">
        <f t="shared" si="148"/>
        <v>7.1697041222625</v>
      </c>
      <c r="AW87" s="8">
        <f t="shared" si="149"/>
        <v>2.5190810585139459E-2</v>
      </c>
      <c r="AX87" s="8">
        <f t="shared" si="150"/>
        <v>0.14110529228314311</v>
      </c>
      <c r="AY87" s="495">
        <f t="shared" si="183"/>
        <v>0.16031897167341111</v>
      </c>
      <c r="AZ87" s="8">
        <f t="shared" si="151"/>
        <v>2.4734744999999995E-2</v>
      </c>
      <c r="BA87" s="6">
        <v>1.7</v>
      </c>
      <c r="BB87" s="6">
        <v>1.7</v>
      </c>
      <c r="BC87" s="6">
        <v>7</v>
      </c>
      <c r="BD87" s="6">
        <v>8.3999999999999991E-2</v>
      </c>
      <c r="BE87" s="12">
        <v>0.3</v>
      </c>
      <c r="BF87" s="54">
        <v>1.7999999999999999E-2</v>
      </c>
      <c r="BG87" s="6">
        <v>0.13</v>
      </c>
      <c r="BH87" s="18">
        <f t="shared" si="152"/>
        <v>3.9092536979999995E-3</v>
      </c>
      <c r="BI87" s="8">
        <f t="shared" si="153"/>
        <v>2.1897524250000001E-2</v>
      </c>
      <c r="BJ87" s="12">
        <v>0.9</v>
      </c>
      <c r="BK87" s="12">
        <v>1.3</v>
      </c>
      <c r="BL87" s="7">
        <v>25</v>
      </c>
      <c r="BM87" s="7">
        <v>30</v>
      </c>
      <c r="BN87" s="7">
        <v>45</v>
      </c>
      <c r="BO87" s="8">
        <f t="shared" si="154"/>
        <v>3.1726694250000004E-3</v>
      </c>
      <c r="BP87" s="8">
        <f t="shared" si="155"/>
        <v>4.1244702525000008E-3</v>
      </c>
      <c r="BQ87" s="8">
        <f t="shared" si="156"/>
        <v>1.0311175631250002E-3</v>
      </c>
      <c r="BR87" s="8">
        <f t="shared" si="157"/>
        <v>1.2373410757500001E-3</v>
      </c>
      <c r="BS87" s="8">
        <f t="shared" si="158"/>
        <v>1.8560116136250005E-3</v>
      </c>
      <c r="BT87" s="18">
        <f t="shared" si="159"/>
        <v>2.5179890891512504E-4</v>
      </c>
      <c r="BU87" s="8">
        <f t="shared" si="160"/>
        <v>1.0022462713574999E-3</v>
      </c>
      <c r="BV87" s="8">
        <f t="shared" si="161"/>
        <v>2.1034798287750001E-3</v>
      </c>
      <c r="BW87" s="8">
        <f t="shared" si="162"/>
        <v>3.1552197431625006E-3</v>
      </c>
      <c r="BX87" s="18">
        <f t="shared" si="163"/>
        <v>4.2805814515571258E-4</v>
      </c>
      <c r="BY87" s="8">
        <f t="shared" si="164"/>
        <v>1.7038186613077503E-3</v>
      </c>
      <c r="BZ87" s="12">
        <f t="shared" si="165"/>
        <v>0.55000000000000004</v>
      </c>
      <c r="CA87" s="12">
        <f t="shared" si="184"/>
        <v>0.43481967213114758</v>
      </c>
      <c r="CB87" s="6">
        <v>1.7</v>
      </c>
      <c r="CC87" s="6">
        <v>1.7</v>
      </c>
      <c r="CD87" s="15">
        <v>0.16</v>
      </c>
      <c r="CE87" s="9">
        <v>0.48</v>
      </c>
      <c r="CF87" s="9">
        <v>2.9000000000000001E-2</v>
      </c>
      <c r="CG87" s="11">
        <v>0.22</v>
      </c>
      <c r="CH87" s="28">
        <f t="shared" si="185"/>
        <v>6.642850500000001E-5</v>
      </c>
      <c r="CI87" s="15">
        <f t="shared" si="166"/>
        <v>2.6440829999999999E-4</v>
      </c>
      <c r="CJ87" s="12">
        <v>0.6</v>
      </c>
      <c r="CK87" s="12">
        <v>1.3</v>
      </c>
      <c r="CL87" s="7">
        <v>3</v>
      </c>
      <c r="CM87" s="7">
        <v>27</v>
      </c>
      <c r="CN87" s="7">
        <v>70</v>
      </c>
      <c r="CO87" s="8">
        <f t="shared" si="167"/>
        <v>2.1151129499999998E-3</v>
      </c>
      <c r="CP87" s="8">
        <f t="shared" si="168"/>
        <v>2.7496468349999998E-3</v>
      </c>
      <c r="CQ87" s="18">
        <f t="shared" si="169"/>
        <v>8.2489405049999986E-5</v>
      </c>
      <c r="CR87" s="8">
        <f t="shared" si="170"/>
        <v>7.4240464544999998E-4</v>
      </c>
      <c r="CS87" s="8">
        <f t="shared" si="171"/>
        <v>1.9247527844999997E-3</v>
      </c>
      <c r="CT87" s="18">
        <f t="shared" si="172"/>
        <v>1.5887459412630001E-4</v>
      </c>
      <c r="CU87" s="8">
        <f t="shared" si="173"/>
        <v>6.8493702659850003E-4</v>
      </c>
      <c r="CV87" s="8">
        <f t="shared" si="174"/>
        <v>1.262087897265E-3</v>
      </c>
      <c r="CW87" s="8">
        <f t="shared" si="175"/>
        <v>3.2720797336499995E-3</v>
      </c>
      <c r="CX87" s="18">
        <f t="shared" si="176"/>
        <v>2.7008681001470999E-4</v>
      </c>
      <c r="CY87" s="8">
        <f t="shared" si="177"/>
        <v>1.1643929452174499E-3</v>
      </c>
      <c r="CZ87" s="12">
        <f t="shared" si="178"/>
        <v>0.30000000000000004</v>
      </c>
      <c r="DA87" s="12">
        <f t="shared" si="186"/>
        <v>0.27008338296605122</v>
      </c>
      <c r="DB87" s="6">
        <v>1.7</v>
      </c>
      <c r="DC87" s="6">
        <v>1.7</v>
      </c>
      <c r="DD87" s="9">
        <v>0.14399999999999999</v>
      </c>
      <c r="DE87" s="9">
        <v>0.43</v>
      </c>
      <c r="DF87" s="15">
        <v>2.7E-2</v>
      </c>
      <c r="DG87" s="13">
        <v>0.19</v>
      </c>
      <c r="DH87" s="28">
        <f t="shared" si="179"/>
        <v>4.1913612000000004E-5</v>
      </c>
      <c r="DI87" s="29">
        <f t="shared" si="180"/>
        <v>1.8069714000000002E-4</v>
      </c>
    </row>
    <row r="88" spans="1:113" x14ac:dyDescent="0.25">
      <c r="A88" s="85">
        <v>80</v>
      </c>
      <c r="B88" s="35" t="s">
        <v>26</v>
      </c>
      <c r="C88" s="35" t="s">
        <v>28</v>
      </c>
      <c r="D88" s="31" t="s">
        <v>31</v>
      </c>
      <c r="E88" s="19" t="s">
        <v>52</v>
      </c>
      <c r="F88" s="9">
        <v>100</v>
      </c>
      <c r="G88" s="32" t="s">
        <v>113</v>
      </c>
      <c r="H88" s="19" t="s">
        <v>99</v>
      </c>
      <c r="I88" s="31" t="s">
        <v>99</v>
      </c>
      <c r="J88" s="32" t="s">
        <v>99</v>
      </c>
      <c r="K88" s="2" t="str">
        <f t="shared" si="123"/>
        <v>Statlig Landsbygd Målad 2+1 100 8-13 - -</v>
      </c>
      <c r="L88" s="2"/>
      <c r="M88" s="49" t="s">
        <v>51</v>
      </c>
      <c r="N88" s="53">
        <f>'Beräkna - Länk'!$C$26</f>
        <v>1</v>
      </c>
      <c r="O88" s="53">
        <f>'Beräkna - Länk'!$C$24/('Beräkna - Länk'!$C$27)^('Beräkna - Länk'!$C$25-2010)</f>
        <v>10385</v>
      </c>
      <c r="P88" s="13">
        <f t="shared" si="124"/>
        <v>3.7905249999999997</v>
      </c>
      <c r="Q88" s="13">
        <f t="shared" si="125"/>
        <v>0.3220259466375</v>
      </c>
      <c r="R88" s="13">
        <f t="shared" si="126"/>
        <v>0.50255083692000013</v>
      </c>
      <c r="S88" s="28">
        <f t="shared" si="127"/>
        <v>1.3411349559888751E-2</v>
      </c>
      <c r="T88" s="15">
        <f t="shared" si="128"/>
        <v>7.1272749564855006E-2</v>
      </c>
      <c r="U88" s="13">
        <f t="shared" si="129"/>
        <v>0.41786673779525635</v>
      </c>
      <c r="V88" s="13">
        <f t="shared" si="130"/>
        <v>0.92181910143375023</v>
      </c>
      <c r="W88" s="15">
        <f t="shared" si="131"/>
        <v>1.3667201236727371E-2</v>
      </c>
      <c r="X88" s="15">
        <f t="shared" si="132"/>
        <v>7.6246084971695591E-2</v>
      </c>
      <c r="Y88" s="15">
        <f t="shared" si="133"/>
        <v>0.1211636742602535</v>
      </c>
      <c r="Z88" s="14">
        <f t="shared" si="134"/>
        <v>0.71037345425193588</v>
      </c>
      <c r="AA88" s="14">
        <f t="shared" si="135"/>
        <v>6.4527337100362514</v>
      </c>
      <c r="AB88" s="13">
        <f t="shared" si="136"/>
        <v>2.323424210243653E-2</v>
      </c>
      <c r="AC88" s="14">
        <f t="shared" si="137"/>
        <v>0.12961834445188253</v>
      </c>
      <c r="AD88" s="13">
        <f t="shared" si="181"/>
        <v>0.15927009434611036</v>
      </c>
      <c r="AE88" s="15">
        <f t="shared" si="182"/>
        <v>3.5503003890000003E-2</v>
      </c>
      <c r="AF88" s="18">
        <v>8.3700000000000011E-2</v>
      </c>
      <c r="AG88" s="8">
        <v>1.5645</v>
      </c>
      <c r="AH88" s="12">
        <v>2.5</v>
      </c>
      <c r="AI88" s="12">
        <v>14</v>
      </c>
      <c r="AJ88" s="7">
        <v>83.5</v>
      </c>
      <c r="AK88" s="12">
        <v>1.8571428571428572</v>
      </c>
      <c r="AL88" s="12">
        <f t="shared" si="138"/>
        <v>0.31726694250000004</v>
      </c>
      <c r="AM88" s="12">
        <f t="shared" si="139"/>
        <v>0.49636413154125009</v>
      </c>
      <c r="AN88" s="18">
        <f t="shared" si="140"/>
        <v>1.2409103288531252E-2</v>
      </c>
      <c r="AO88" s="8">
        <f t="shared" si="141"/>
        <v>6.9490978415775007E-2</v>
      </c>
      <c r="AP88" s="12">
        <f t="shared" si="142"/>
        <v>0.41446404983694385</v>
      </c>
      <c r="AQ88" s="12">
        <f t="shared" si="143"/>
        <v>0.92181910143375023</v>
      </c>
      <c r="AR88" s="18">
        <f t="shared" si="144"/>
        <v>1.3297595083990088E-2</v>
      </c>
      <c r="AS88" s="8">
        <f t="shared" si="145"/>
        <v>7.4727620003535195E-2</v>
      </c>
      <c r="AT88" s="8">
        <f t="shared" si="146"/>
        <v>0.1181346633068175</v>
      </c>
      <c r="AU88" s="8">
        <f t="shared" si="147"/>
        <v>0.70458888472280456</v>
      </c>
      <c r="AV88" s="8">
        <f t="shared" si="148"/>
        <v>6.4527337100362514</v>
      </c>
      <c r="AW88" s="8">
        <f t="shared" si="149"/>
        <v>2.2605911642783152E-2</v>
      </c>
      <c r="AX88" s="8">
        <f t="shared" si="150"/>
        <v>0.12703695400600984</v>
      </c>
      <c r="AY88" s="495">
        <f t="shared" si="183"/>
        <v>0.15631500742942048</v>
      </c>
      <c r="AZ88" s="8">
        <f t="shared" si="151"/>
        <v>2.1606527250000004E-2</v>
      </c>
      <c r="BA88" s="6">
        <v>1.7</v>
      </c>
      <c r="BB88" s="6">
        <v>1.7</v>
      </c>
      <c r="BC88" s="6">
        <v>7</v>
      </c>
      <c r="BD88" s="6">
        <v>8.3999999999999991E-2</v>
      </c>
      <c r="BE88" s="12">
        <v>0.3</v>
      </c>
      <c r="BF88" s="54">
        <v>1.7999999999999999E-2</v>
      </c>
      <c r="BG88" s="6">
        <v>0.13</v>
      </c>
      <c r="BH88" s="18">
        <f t="shared" si="152"/>
        <v>3.5081143335000003E-3</v>
      </c>
      <c r="BI88" s="8">
        <f t="shared" si="153"/>
        <v>1.9714319257500005E-2</v>
      </c>
      <c r="BJ88" s="12">
        <v>0.9</v>
      </c>
      <c r="BK88" s="12">
        <v>1.3</v>
      </c>
      <c r="BL88" s="7">
        <v>25</v>
      </c>
      <c r="BM88" s="7">
        <v>30</v>
      </c>
      <c r="BN88" s="7">
        <v>45</v>
      </c>
      <c r="BO88" s="8">
        <f t="shared" si="154"/>
        <v>2.8554024825000008E-3</v>
      </c>
      <c r="BP88" s="8">
        <f t="shared" si="155"/>
        <v>3.712023227250001E-3</v>
      </c>
      <c r="BQ88" s="8">
        <f t="shared" si="156"/>
        <v>9.2800580681250025E-4</v>
      </c>
      <c r="BR88" s="8">
        <f t="shared" si="157"/>
        <v>1.1136069681750003E-3</v>
      </c>
      <c r="BS88" s="8">
        <f t="shared" si="158"/>
        <v>1.6704104522625004E-3</v>
      </c>
      <c r="BT88" s="18">
        <f t="shared" si="159"/>
        <v>2.2661901802361258E-4</v>
      </c>
      <c r="BU88" s="8">
        <f t="shared" si="160"/>
        <v>9.0202164422174998E-4</v>
      </c>
      <c r="BV88" s="8">
        <f t="shared" si="161"/>
        <v>1.8931318458975004E-3</v>
      </c>
      <c r="BW88" s="8">
        <f t="shared" si="162"/>
        <v>2.8396977688462505E-3</v>
      </c>
      <c r="BX88" s="18">
        <f t="shared" si="163"/>
        <v>3.8525233064014134E-4</v>
      </c>
      <c r="BY88" s="8">
        <f t="shared" si="164"/>
        <v>1.5334367951769753E-3</v>
      </c>
      <c r="BZ88" s="12">
        <f t="shared" si="165"/>
        <v>0.55000000000000004</v>
      </c>
      <c r="CA88" s="12">
        <f t="shared" si="184"/>
        <v>0.43481967213114753</v>
      </c>
      <c r="CB88" s="6">
        <v>1.7</v>
      </c>
      <c r="CC88" s="6">
        <v>1.7</v>
      </c>
      <c r="CD88" s="15">
        <v>0.16</v>
      </c>
      <c r="CE88" s="9">
        <v>0.48</v>
      </c>
      <c r="CF88" s="9">
        <v>2.9000000000000001E-2</v>
      </c>
      <c r="CG88" s="11">
        <v>0.22</v>
      </c>
      <c r="CH88" s="28">
        <f t="shared" si="185"/>
        <v>5.9785654500000025E-5</v>
      </c>
      <c r="CI88" s="15">
        <f t="shared" si="166"/>
        <v>2.3796747000000003E-4</v>
      </c>
      <c r="CJ88" s="12">
        <v>0.6</v>
      </c>
      <c r="CK88" s="12">
        <v>1.3</v>
      </c>
      <c r="CL88" s="7">
        <v>3</v>
      </c>
      <c r="CM88" s="7">
        <v>27</v>
      </c>
      <c r="CN88" s="7">
        <v>70</v>
      </c>
      <c r="CO88" s="8">
        <f t="shared" si="167"/>
        <v>1.9036016550000002E-3</v>
      </c>
      <c r="CP88" s="8">
        <f t="shared" si="168"/>
        <v>2.4746821515000002E-3</v>
      </c>
      <c r="CQ88" s="18">
        <f t="shared" si="169"/>
        <v>7.4240464545000009E-5</v>
      </c>
      <c r="CR88" s="8">
        <f t="shared" si="170"/>
        <v>6.6816418090500014E-4</v>
      </c>
      <c r="CS88" s="8">
        <f t="shared" si="171"/>
        <v>1.73227750605E-3</v>
      </c>
      <c r="CT88" s="18">
        <f t="shared" si="172"/>
        <v>1.4298713471367001E-4</v>
      </c>
      <c r="CU88" s="8">
        <f t="shared" si="173"/>
        <v>6.1644332393865004E-4</v>
      </c>
      <c r="CV88" s="8">
        <f t="shared" si="174"/>
        <v>1.1358791075385003E-3</v>
      </c>
      <c r="CW88" s="8">
        <f t="shared" si="175"/>
        <v>2.9448717602849998E-3</v>
      </c>
      <c r="CX88" s="18">
        <f t="shared" si="176"/>
        <v>2.4307812901323904E-4</v>
      </c>
      <c r="CY88" s="8">
        <f t="shared" si="177"/>
        <v>1.0479536506957051E-3</v>
      </c>
      <c r="CZ88" s="12">
        <f t="shared" si="178"/>
        <v>0.30000000000000004</v>
      </c>
      <c r="DA88" s="12">
        <f t="shared" si="186"/>
        <v>0.27008338296605128</v>
      </c>
      <c r="DB88" s="6">
        <v>1.7</v>
      </c>
      <c r="DC88" s="6">
        <v>1.7</v>
      </c>
      <c r="DD88" s="9">
        <v>0.14399999999999999</v>
      </c>
      <c r="DE88" s="9">
        <v>0.43</v>
      </c>
      <c r="DF88" s="15">
        <v>2.7E-2</v>
      </c>
      <c r="DG88" s="13">
        <v>0.19</v>
      </c>
      <c r="DH88" s="28">
        <f t="shared" si="179"/>
        <v>3.7722250800000006E-5</v>
      </c>
      <c r="DI88" s="29">
        <f t="shared" si="180"/>
        <v>1.6262742600000002E-4</v>
      </c>
    </row>
    <row r="89" spans="1:113" x14ac:dyDescent="0.25">
      <c r="A89" s="85">
        <v>81</v>
      </c>
      <c r="B89" s="35" t="s">
        <v>26</v>
      </c>
      <c r="C89" s="35" t="s">
        <v>28</v>
      </c>
      <c r="D89" s="19" t="s">
        <v>172</v>
      </c>
      <c r="E89" s="33">
        <v>4</v>
      </c>
      <c r="F89" s="9">
        <v>50</v>
      </c>
      <c r="G89" s="32" t="s">
        <v>99</v>
      </c>
      <c r="H89" s="19" t="s">
        <v>99</v>
      </c>
      <c r="I89" s="31" t="s">
        <v>99</v>
      </c>
      <c r="J89" s="32" t="s">
        <v>99</v>
      </c>
      <c r="K89" s="2" t="str">
        <f t="shared" si="123"/>
        <v>Statlig Landsbygd MV 50 - - -</v>
      </c>
      <c r="L89" s="2"/>
      <c r="M89" s="50" t="s">
        <v>79</v>
      </c>
      <c r="N89" s="53">
        <f>'Beräkna - Länk'!$C$26</f>
        <v>1</v>
      </c>
      <c r="O89" s="53">
        <f>'Beräkna - Länk'!$C$24/('Beräkna - Länk'!$C$27)^('Beräkna - Länk'!$C$25-2010)</f>
        <v>10385</v>
      </c>
      <c r="P89" s="13">
        <f t="shared" si="124"/>
        <v>3.7905249999999997</v>
      </c>
      <c r="Q89" s="13">
        <f t="shared" si="125"/>
        <v>1.1439804449999997</v>
      </c>
      <c r="R89" s="13">
        <f t="shared" si="126"/>
        <v>1.7129856290624996</v>
      </c>
      <c r="S89" s="28">
        <f t="shared" si="127"/>
        <v>3.8180063062499994E-3</v>
      </c>
      <c r="T89" s="15">
        <f t="shared" si="128"/>
        <v>7.5043866318749999E-2</v>
      </c>
      <c r="U89" s="13">
        <f t="shared" si="129"/>
        <v>1.6341237564374995</v>
      </c>
      <c r="V89" s="13">
        <f t="shared" si="130"/>
        <v>5.1172087499999996</v>
      </c>
      <c r="W89" s="15">
        <f t="shared" si="131"/>
        <v>3.0449109170324996E-2</v>
      </c>
      <c r="X89" s="15">
        <f t="shared" si="132"/>
        <v>0.21189363578043743</v>
      </c>
      <c r="Y89" s="15">
        <f t="shared" si="133"/>
        <v>0.12757457274187498</v>
      </c>
      <c r="Z89" s="14">
        <f t="shared" si="134"/>
        <v>2.7780103859437495</v>
      </c>
      <c r="AA89" s="14">
        <f t="shared" si="135"/>
        <v>35.820461249999994</v>
      </c>
      <c r="AB89" s="13">
        <f t="shared" si="136"/>
        <v>5.1763485589552488E-2</v>
      </c>
      <c r="AC89" s="14">
        <f t="shared" si="137"/>
        <v>0.3602191808267437</v>
      </c>
      <c r="AD89" s="13">
        <f t="shared" si="181"/>
        <v>4.5161354624690828E-2</v>
      </c>
      <c r="AE89" s="15">
        <f t="shared" si="182"/>
        <v>3.4663424999999998E-2</v>
      </c>
      <c r="AF89" s="8">
        <v>0.3</v>
      </c>
      <c r="AG89" s="12">
        <v>1.5</v>
      </c>
      <c r="AH89" s="12">
        <v>0.2</v>
      </c>
      <c r="AI89" s="12">
        <v>4.3</v>
      </c>
      <c r="AJ89" s="7">
        <v>95.5</v>
      </c>
      <c r="AK89" s="12">
        <v>3</v>
      </c>
      <c r="AL89" s="12">
        <f t="shared" si="138"/>
        <v>1.1371574999999998</v>
      </c>
      <c r="AM89" s="12">
        <f t="shared" si="139"/>
        <v>1.7057362499999997</v>
      </c>
      <c r="AN89" s="18">
        <f t="shared" si="140"/>
        <v>3.4114724999999998E-3</v>
      </c>
      <c r="AO89" s="8">
        <f t="shared" si="141"/>
        <v>7.3346658749999988E-2</v>
      </c>
      <c r="AP89" s="12">
        <f t="shared" si="142"/>
        <v>1.6289781187499996</v>
      </c>
      <c r="AQ89" s="12">
        <f t="shared" si="143"/>
        <v>5.1172087499999996</v>
      </c>
      <c r="AR89" s="18">
        <f t="shared" si="144"/>
        <v>3.0097716131249997E-2</v>
      </c>
      <c r="AS89" s="8">
        <f t="shared" si="145"/>
        <v>0.21014670599999993</v>
      </c>
      <c r="AT89" s="8">
        <f t="shared" si="146"/>
        <v>0.12468931987499998</v>
      </c>
      <c r="AU89" s="8">
        <f t="shared" si="147"/>
        <v>2.7692628018749992</v>
      </c>
      <c r="AV89" s="8">
        <f t="shared" si="148"/>
        <v>35.820461249999994</v>
      </c>
      <c r="AW89" s="8">
        <f t="shared" si="149"/>
        <v>5.116611742312499E-2</v>
      </c>
      <c r="AX89" s="8">
        <f t="shared" si="150"/>
        <v>0.35724940019999984</v>
      </c>
      <c r="AY89" s="495">
        <f t="shared" si="183"/>
        <v>4.4212881196279294E-2</v>
      </c>
      <c r="AZ89" s="8">
        <f t="shared" si="151"/>
        <v>2.0250000000000001E-2</v>
      </c>
      <c r="BA89" s="6">
        <v>1.7</v>
      </c>
      <c r="BB89" s="6">
        <v>1.7</v>
      </c>
      <c r="BC89" s="6">
        <v>7</v>
      </c>
      <c r="BD89" s="6">
        <v>5.5E-2</v>
      </c>
      <c r="BE89" s="12">
        <v>0.2</v>
      </c>
      <c r="BF89" s="6">
        <v>1.6E-2</v>
      </c>
      <c r="BG89" s="6">
        <v>0.12</v>
      </c>
      <c r="BH89" s="18">
        <f t="shared" si="152"/>
        <v>7.9402499999999994E-3</v>
      </c>
      <c r="BI89" s="8">
        <f t="shared" si="153"/>
        <v>5.5439999999999989E-2</v>
      </c>
      <c r="BJ89" s="12">
        <v>0.25</v>
      </c>
      <c r="BK89" s="12">
        <v>1.1499999999999999</v>
      </c>
      <c r="BL89" s="7">
        <v>10</v>
      </c>
      <c r="BM89" s="7">
        <v>30</v>
      </c>
      <c r="BN89" s="7">
        <v>60</v>
      </c>
      <c r="BO89" s="8">
        <f t="shared" si="154"/>
        <v>2.8428937499999996E-3</v>
      </c>
      <c r="BP89" s="8">
        <f t="shared" si="155"/>
        <v>3.2693278124999994E-3</v>
      </c>
      <c r="BQ89" s="8">
        <f t="shared" si="156"/>
        <v>3.2693278124999996E-4</v>
      </c>
      <c r="BR89" s="8">
        <f t="shared" si="157"/>
        <v>9.8079834374999978E-4</v>
      </c>
      <c r="BS89" s="8">
        <f t="shared" si="158"/>
        <v>1.9615966874999996E-3</v>
      </c>
      <c r="BT89" s="18">
        <f t="shared" si="159"/>
        <v>1.8439008862500001E-4</v>
      </c>
      <c r="BU89" s="8">
        <f t="shared" si="160"/>
        <v>8.729105259375E-4</v>
      </c>
      <c r="BV89" s="8">
        <f t="shared" si="161"/>
        <v>1.6673571843749996E-3</v>
      </c>
      <c r="BW89" s="8">
        <f t="shared" si="162"/>
        <v>3.3347143687499992E-3</v>
      </c>
      <c r="BX89" s="18">
        <f t="shared" si="163"/>
        <v>3.1346315066249994E-4</v>
      </c>
      <c r="BY89" s="8">
        <f t="shared" si="164"/>
        <v>1.4839478940937498E-3</v>
      </c>
      <c r="BZ89" s="12">
        <f t="shared" si="165"/>
        <v>0.4</v>
      </c>
      <c r="CA89" s="12">
        <f t="shared" si="184"/>
        <v>0.33981595092024547</v>
      </c>
      <c r="CB89" s="6">
        <v>1.7</v>
      </c>
      <c r="CC89" s="6">
        <v>1.7</v>
      </c>
      <c r="CD89" s="15">
        <v>0.13</v>
      </c>
      <c r="CE89" s="9">
        <v>0.45</v>
      </c>
      <c r="CF89" s="9">
        <v>2.9000000000000001E-2</v>
      </c>
      <c r="CG89" s="11">
        <v>0.22</v>
      </c>
      <c r="CH89" s="28">
        <f t="shared" si="185"/>
        <v>4.8645000000000006E-5</v>
      </c>
      <c r="CI89" s="15">
        <f t="shared" si="166"/>
        <v>2.3028750000000001E-4</v>
      </c>
      <c r="CJ89" s="12">
        <v>0.35</v>
      </c>
      <c r="CK89" s="12">
        <v>1</v>
      </c>
      <c r="CL89" s="7">
        <v>2</v>
      </c>
      <c r="CM89" s="7">
        <v>18</v>
      </c>
      <c r="CN89" s="7">
        <v>80</v>
      </c>
      <c r="CO89" s="8">
        <f t="shared" si="167"/>
        <v>3.9800512499999991E-3</v>
      </c>
      <c r="CP89" s="8">
        <f t="shared" si="168"/>
        <v>3.9800512499999991E-3</v>
      </c>
      <c r="CQ89" s="18">
        <f t="shared" si="169"/>
        <v>7.960102499999998E-5</v>
      </c>
      <c r="CR89" s="8">
        <f t="shared" si="170"/>
        <v>7.1640922499999985E-4</v>
      </c>
      <c r="CS89" s="8">
        <f t="shared" si="171"/>
        <v>3.1840409999999994E-3</v>
      </c>
      <c r="CT89" s="18">
        <f t="shared" si="172"/>
        <v>1.6700295044999998E-4</v>
      </c>
      <c r="CU89" s="8">
        <f t="shared" si="173"/>
        <v>8.7401925449999971E-4</v>
      </c>
      <c r="CV89" s="8">
        <f t="shared" si="174"/>
        <v>1.2178956824999997E-3</v>
      </c>
      <c r="CW89" s="8">
        <f t="shared" si="175"/>
        <v>5.4128696999999988E-3</v>
      </c>
      <c r="CX89" s="18">
        <f t="shared" si="176"/>
        <v>2.8390501576499997E-4</v>
      </c>
      <c r="CY89" s="8">
        <f t="shared" si="177"/>
        <v>1.4858327326499996E-3</v>
      </c>
      <c r="CZ89" s="12">
        <f t="shared" si="178"/>
        <v>0.19999999999999998</v>
      </c>
      <c r="DA89" s="12">
        <f t="shared" si="186"/>
        <v>0.23328588374851719</v>
      </c>
      <c r="DB89" s="6">
        <v>1.7</v>
      </c>
      <c r="DC89" s="6">
        <v>1.7</v>
      </c>
      <c r="DD89" s="9">
        <v>0.122</v>
      </c>
      <c r="DE89" s="9">
        <v>0.42</v>
      </c>
      <c r="DF89" s="15">
        <v>2.5000000000000001E-2</v>
      </c>
      <c r="DG89" s="13">
        <v>0.18</v>
      </c>
      <c r="DH89" s="28">
        <f t="shared" si="179"/>
        <v>4.4057999999999997E-5</v>
      </c>
      <c r="DI89" s="29">
        <f t="shared" si="180"/>
        <v>2.3057999999999995E-4</v>
      </c>
    </row>
    <row r="90" spans="1:113" x14ac:dyDescent="0.25">
      <c r="A90" s="85">
        <v>82</v>
      </c>
      <c r="B90" s="35" t="s">
        <v>26</v>
      </c>
      <c r="C90" s="35" t="s">
        <v>28</v>
      </c>
      <c r="D90" s="19" t="s">
        <v>172</v>
      </c>
      <c r="E90" s="32" t="s">
        <v>60</v>
      </c>
      <c r="F90" s="9">
        <v>70</v>
      </c>
      <c r="G90" s="32" t="s">
        <v>99</v>
      </c>
      <c r="H90" s="19" t="s">
        <v>99</v>
      </c>
      <c r="I90" s="31" t="s">
        <v>99</v>
      </c>
      <c r="J90" s="32" t="s">
        <v>99</v>
      </c>
      <c r="K90" s="2" t="str">
        <f t="shared" si="123"/>
        <v>Statlig Landsbygd MV 70 - - -</v>
      </c>
      <c r="L90" s="2"/>
      <c r="M90" s="50" t="s">
        <v>80</v>
      </c>
      <c r="N90" s="53">
        <f>'Beräkna - Länk'!$C$26</f>
        <v>1</v>
      </c>
      <c r="O90" s="53">
        <f>'Beräkna - Länk'!$C$24/('Beräkna - Länk'!$C$27)^('Beräkna - Länk'!$C$25-2010)</f>
        <v>10385</v>
      </c>
      <c r="P90" s="13">
        <f t="shared" si="124"/>
        <v>3.7905249999999997</v>
      </c>
      <c r="Q90" s="13">
        <f t="shared" si="125"/>
        <v>0.68741170875000002</v>
      </c>
      <c r="R90" s="13">
        <f t="shared" si="126"/>
        <v>1.0630830604499999</v>
      </c>
      <c r="S90" s="28">
        <f t="shared" si="127"/>
        <v>3.6912132449999999E-3</v>
      </c>
      <c r="T90" s="15">
        <f t="shared" si="128"/>
        <v>6.7373170402499988E-2</v>
      </c>
      <c r="U90" s="13">
        <f t="shared" si="129"/>
        <v>0.9920186768025</v>
      </c>
      <c r="V90" s="13">
        <f t="shared" si="130"/>
        <v>2.4676317750000001</v>
      </c>
      <c r="W90" s="15">
        <f t="shared" si="131"/>
        <v>2.2364334407812485E-2</v>
      </c>
      <c r="X90" s="15">
        <f t="shared" si="132"/>
        <v>0.1464279049395</v>
      </c>
      <c r="Y90" s="15">
        <f t="shared" si="133"/>
        <v>0.11453438968424999</v>
      </c>
      <c r="Z90" s="14">
        <f t="shared" si="134"/>
        <v>1.6864317505642499</v>
      </c>
      <c r="AA90" s="14">
        <f t="shared" si="135"/>
        <v>17.273422425</v>
      </c>
      <c r="AB90" s="13">
        <f t="shared" si="136"/>
        <v>3.8019368493281254E-2</v>
      </c>
      <c r="AC90" s="14">
        <f t="shared" si="137"/>
        <v>0.24892743839714998</v>
      </c>
      <c r="AD90" s="13">
        <f t="shared" si="181"/>
        <v>6.551138513933738E-2</v>
      </c>
      <c r="AE90" s="15">
        <f t="shared" si="182"/>
        <v>3.1189770000000002E-2</v>
      </c>
      <c r="AF90" s="8">
        <v>0.18</v>
      </c>
      <c r="AG90" s="6">
        <v>1.55</v>
      </c>
      <c r="AH90" s="12">
        <v>0.3</v>
      </c>
      <c r="AI90" s="12">
        <v>6.2</v>
      </c>
      <c r="AJ90" s="7">
        <v>93.5</v>
      </c>
      <c r="AK90" s="12">
        <v>2.3333333333333335</v>
      </c>
      <c r="AL90" s="12">
        <f t="shared" si="138"/>
        <v>0.68229449999999991</v>
      </c>
      <c r="AM90" s="12">
        <f t="shared" si="139"/>
        <v>1.0575564749999999</v>
      </c>
      <c r="AN90" s="18">
        <f t="shared" si="140"/>
        <v>3.172669425E-3</v>
      </c>
      <c r="AO90" s="8">
        <f t="shared" si="141"/>
        <v>6.5568501449999997E-2</v>
      </c>
      <c r="AP90" s="12">
        <f t="shared" si="142"/>
        <v>0.98881530412499996</v>
      </c>
      <c r="AQ90" s="12">
        <f t="shared" si="143"/>
        <v>2.4676317750000001</v>
      </c>
      <c r="AR90" s="18">
        <f t="shared" si="144"/>
        <v>2.1995059567049988E-2</v>
      </c>
      <c r="AS90" s="8">
        <f t="shared" si="145"/>
        <v>0.14493811489875</v>
      </c>
      <c r="AT90" s="8">
        <f t="shared" si="146"/>
        <v>0.11146645246499999</v>
      </c>
      <c r="AU90" s="8">
        <f t="shared" si="147"/>
        <v>1.6809860170124999</v>
      </c>
      <c r="AV90" s="8">
        <f t="shared" si="148"/>
        <v>17.273422425</v>
      </c>
      <c r="AW90" s="8">
        <f t="shared" si="149"/>
        <v>3.7391601263984997E-2</v>
      </c>
      <c r="AX90" s="8">
        <f t="shared" si="150"/>
        <v>0.246394795327875</v>
      </c>
      <c r="AY90" s="495">
        <f t="shared" si="183"/>
        <v>6.3843571470640195E-2</v>
      </c>
      <c r="AZ90" s="8">
        <f t="shared" si="151"/>
        <v>1.8135000000000002E-2</v>
      </c>
      <c r="BA90" s="6">
        <v>1.7</v>
      </c>
      <c r="BB90" s="6">
        <v>1.7</v>
      </c>
      <c r="BC90" s="6">
        <v>7</v>
      </c>
      <c r="BD90" s="21">
        <v>6.4000000000000001E-2</v>
      </c>
      <c r="BE90" s="20">
        <v>0.25</v>
      </c>
      <c r="BF90" s="9">
        <v>1.7999999999999999E-2</v>
      </c>
      <c r="BG90" s="9">
        <v>0.13</v>
      </c>
      <c r="BH90" s="28">
        <f t="shared" si="152"/>
        <v>5.8026419999999976E-3</v>
      </c>
      <c r="BI90" s="15">
        <f t="shared" si="153"/>
        <v>3.8236950000000006E-2</v>
      </c>
      <c r="BJ90" s="12">
        <v>0.4</v>
      </c>
      <c r="BK90" s="12">
        <v>1.1499999999999999</v>
      </c>
      <c r="BL90" s="7">
        <v>15</v>
      </c>
      <c r="BM90" s="7">
        <v>40</v>
      </c>
      <c r="BN90" s="7">
        <v>45</v>
      </c>
      <c r="BO90" s="8">
        <f t="shared" si="154"/>
        <v>2.7291779999999996E-3</v>
      </c>
      <c r="BP90" s="8">
        <f t="shared" si="155"/>
        <v>3.1385546999999994E-3</v>
      </c>
      <c r="BQ90" s="8">
        <f t="shared" si="156"/>
        <v>4.7078320499999989E-4</v>
      </c>
      <c r="BR90" s="8">
        <f t="shared" si="157"/>
        <v>1.2554218799999998E-3</v>
      </c>
      <c r="BS90" s="8">
        <f t="shared" si="158"/>
        <v>1.4123496149999997E-3</v>
      </c>
      <c r="BT90" s="18">
        <f t="shared" si="159"/>
        <v>2.4182563963499992E-4</v>
      </c>
      <c r="BU90" s="8">
        <f t="shared" si="160"/>
        <v>9.1331941769999981E-4</v>
      </c>
      <c r="BV90" s="8">
        <f t="shared" si="161"/>
        <v>2.1342171959999995E-3</v>
      </c>
      <c r="BW90" s="8">
        <f t="shared" si="162"/>
        <v>2.4009943454999993E-3</v>
      </c>
      <c r="BX90" s="18">
        <f t="shared" si="163"/>
        <v>4.1110358737949987E-4</v>
      </c>
      <c r="BY90" s="8">
        <f t="shared" si="164"/>
        <v>1.5526430100899996E-3</v>
      </c>
      <c r="BZ90" s="12">
        <f t="shared" si="165"/>
        <v>0.55000000000000004</v>
      </c>
      <c r="CA90" s="12">
        <f t="shared" si="184"/>
        <v>0.40420062695924769</v>
      </c>
      <c r="CB90" s="6">
        <v>1.7</v>
      </c>
      <c r="CC90" s="6">
        <v>1.7</v>
      </c>
      <c r="CD90" s="15">
        <v>0.16</v>
      </c>
      <c r="CE90" s="9">
        <v>0.48</v>
      </c>
      <c r="CF90" s="9">
        <v>2.9000000000000001E-2</v>
      </c>
      <c r="CG90" s="11">
        <v>0.22</v>
      </c>
      <c r="CH90" s="28">
        <f t="shared" si="185"/>
        <v>6.3797399999999987E-5</v>
      </c>
      <c r="CI90" s="15">
        <f t="shared" si="166"/>
        <v>2.4094799999999997E-4</v>
      </c>
      <c r="CJ90" s="12">
        <v>0.35</v>
      </c>
      <c r="CK90" s="12">
        <v>1</v>
      </c>
      <c r="CL90" s="7">
        <v>2</v>
      </c>
      <c r="CM90" s="7">
        <v>23</v>
      </c>
      <c r="CN90" s="7">
        <v>75</v>
      </c>
      <c r="CO90" s="8">
        <f t="shared" si="167"/>
        <v>2.3880307499999994E-3</v>
      </c>
      <c r="CP90" s="8">
        <f t="shared" si="168"/>
        <v>2.3880307499999994E-3</v>
      </c>
      <c r="CQ90" s="18">
        <f t="shared" si="169"/>
        <v>4.7760614999999986E-5</v>
      </c>
      <c r="CR90" s="8">
        <f t="shared" si="170"/>
        <v>5.4924707249999992E-4</v>
      </c>
      <c r="CS90" s="8">
        <f t="shared" si="171"/>
        <v>1.7910230624999996E-3</v>
      </c>
      <c r="CT90" s="18">
        <f t="shared" si="172"/>
        <v>1.2744920112749996E-4</v>
      </c>
      <c r="CU90" s="8">
        <f t="shared" si="173"/>
        <v>5.7647062304999987E-4</v>
      </c>
      <c r="CV90" s="8">
        <f t="shared" si="174"/>
        <v>9.3372002324999988E-4</v>
      </c>
      <c r="CW90" s="8">
        <f t="shared" si="175"/>
        <v>3.0447392062499991E-3</v>
      </c>
      <c r="CX90" s="18">
        <f t="shared" si="176"/>
        <v>2.1666364191674995E-4</v>
      </c>
      <c r="CY90" s="8">
        <f t="shared" si="177"/>
        <v>9.8000005918499975E-4</v>
      </c>
      <c r="CZ90" s="12">
        <f t="shared" si="178"/>
        <v>0.25</v>
      </c>
      <c r="DA90" s="12">
        <f t="shared" si="186"/>
        <v>0.25526690391459073</v>
      </c>
      <c r="DB90" s="6">
        <v>1.7</v>
      </c>
      <c r="DC90" s="6">
        <v>1.7</v>
      </c>
      <c r="DD90" s="9">
        <v>0.14399999999999999</v>
      </c>
      <c r="DE90" s="9">
        <v>0.43</v>
      </c>
      <c r="DF90" s="15">
        <v>2.7E-2</v>
      </c>
      <c r="DG90" s="13">
        <v>0.19</v>
      </c>
      <c r="DH90" s="28">
        <f t="shared" si="179"/>
        <v>3.3623099999999993E-5</v>
      </c>
      <c r="DI90" s="29">
        <f t="shared" si="180"/>
        <v>1.5208199999999997E-4</v>
      </c>
    </row>
    <row r="91" spans="1:113" x14ac:dyDescent="0.25">
      <c r="A91" s="85">
        <v>83</v>
      </c>
      <c r="B91" s="35" t="s">
        <v>26</v>
      </c>
      <c r="C91" s="35" t="s">
        <v>28</v>
      </c>
      <c r="D91" s="19" t="s">
        <v>172</v>
      </c>
      <c r="E91" s="32" t="s">
        <v>60</v>
      </c>
      <c r="F91" s="9">
        <v>80</v>
      </c>
      <c r="G91" s="32" t="s">
        <v>99</v>
      </c>
      <c r="H91" s="19" t="s">
        <v>99</v>
      </c>
      <c r="I91" s="31" t="s">
        <v>99</v>
      </c>
      <c r="J91" s="32" t="s">
        <v>99</v>
      </c>
      <c r="K91" s="2" t="str">
        <f t="shared" si="123"/>
        <v>Statlig Landsbygd MV 80 - - -</v>
      </c>
      <c r="L91" s="2"/>
      <c r="M91" s="50" t="s">
        <v>81</v>
      </c>
      <c r="N91" s="53">
        <f>'Beräkna - Länk'!$C$26</f>
        <v>1</v>
      </c>
      <c r="O91" s="53">
        <f>'Beräkna - Länk'!$C$24/('Beräkna - Länk'!$C$27)^('Beräkna - Länk'!$C$25-2010)</f>
        <v>10385</v>
      </c>
      <c r="P91" s="13">
        <f t="shared" si="124"/>
        <v>3.7905249999999997</v>
      </c>
      <c r="Q91" s="13">
        <f t="shared" si="125"/>
        <v>0.32875602377499996</v>
      </c>
      <c r="R91" s="13">
        <f t="shared" si="126"/>
        <v>0.54419960941000001</v>
      </c>
      <c r="S91" s="28">
        <f t="shared" si="127"/>
        <v>1.9770999347499996E-3</v>
      </c>
      <c r="T91" s="15">
        <f t="shared" si="128"/>
        <v>3.1931875368249998E-2</v>
      </c>
      <c r="U91" s="13">
        <f t="shared" si="129"/>
        <v>0.51029063410699982</v>
      </c>
      <c r="V91" s="13">
        <f t="shared" si="130"/>
        <v>1.2626491476666666</v>
      </c>
      <c r="W91" s="15">
        <f t="shared" si="131"/>
        <v>1.1346874801942497E-2</v>
      </c>
      <c r="X91" s="15">
        <f t="shared" si="132"/>
        <v>7.4689195991759993E-2</v>
      </c>
      <c r="Y91" s="15">
        <f t="shared" si="133"/>
        <v>5.4284188126025E-2</v>
      </c>
      <c r="Z91" s="14">
        <f t="shared" si="134"/>
        <v>0.86749407798189981</v>
      </c>
      <c r="AA91" s="14">
        <f t="shared" si="135"/>
        <v>8.8385440336666665</v>
      </c>
      <c r="AB91" s="13">
        <f t="shared" si="136"/>
        <v>1.9289687163302243E-2</v>
      </c>
      <c r="AC91" s="14">
        <f t="shared" si="137"/>
        <v>0.126971633185992</v>
      </c>
      <c r="AD91" s="13">
        <f t="shared" si="181"/>
        <v>6.0904964808806202E-2</v>
      </c>
      <c r="AE91" s="15">
        <f t="shared" si="182"/>
        <v>1.4842611000000002E-2</v>
      </c>
      <c r="AF91" s="6">
        <v>8.5999999999999993E-2</v>
      </c>
      <c r="AG91" s="6">
        <v>1.66</v>
      </c>
      <c r="AH91" s="12">
        <v>0.3</v>
      </c>
      <c r="AI91" s="12">
        <v>5.7</v>
      </c>
      <c r="AJ91" s="7">
        <v>94</v>
      </c>
      <c r="AK91" s="12">
        <v>2.3333333333333335</v>
      </c>
      <c r="AL91" s="12">
        <f t="shared" si="138"/>
        <v>0.32598514999999995</v>
      </c>
      <c r="AM91" s="12">
        <f t="shared" si="139"/>
        <v>0.54113534899999993</v>
      </c>
      <c r="AN91" s="18">
        <f t="shared" si="140"/>
        <v>1.6234060469999998E-3</v>
      </c>
      <c r="AO91" s="8">
        <f t="shared" si="141"/>
        <v>3.0844714892999999E-2</v>
      </c>
      <c r="AP91" s="12">
        <f t="shared" si="142"/>
        <v>0.50866722805999987</v>
      </c>
      <c r="AQ91" s="12">
        <f t="shared" si="143"/>
        <v>1.2626491476666666</v>
      </c>
      <c r="AR91" s="18">
        <f t="shared" si="144"/>
        <v>1.1130071858231996E-2</v>
      </c>
      <c r="AS91" s="8">
        <f t="shared" si="145"/>
        <v>7.3837918371049985E-2</v>
      </c>
      <c r="AT91" s="8">
        <f t="shared" si="146"/>
        <v>5.24360153181E-2</v>
      </c>
      <c r="AU91" s="8">
        <f t="shared" si="147"/>
        <v>0.86473428770199978</v>
      </c>
      <c r="AV91" s="8">
        <f t="shared" si="148"/>
        <v>8.8385440336666665</v>
      </c>
      <c r="AW91" s="8">
        <f t="shared" si="149"/>
        <v>1.8921122158994393E-2</v>
      </c>
      <c r="AX91" s="8">
        <f t="shared" si="150"/>
        <v>0.12552446123078498</v>
      </c>
      <c r="AY91" s="495">
        <f t="shared" si="183"/>
        <v>5.8837387360857543E-2</v>
      </c>
      <c r="AZ91" s="8">
        <f t="shared" si="151"/>
        <v>8.5655999999999996E-3</v>
      </c>
      <c r="BA91" s="6">
        <v>1.7</v>
      </c>
      <c r="BB91" s="6">
        <v>1.7</v>
      </c>
      <c r="BC91" s="6">
        <v>7</v>
      </c>
      <c r="BD91" s="21">
        <v>6.4000000000000001E-2</v>
      </c>
      <c r="BE91" s="20">
        <v>0.25</v>
      </c>
      <c r="BF91" s="9">
        <v>1.7999999999999999E-2</v>
      </c>
      <c r="BG91" s="9">
        <v>0.13</v>
      </c>
      <c r="BH91" s="28">
        <f t="shared" si="152"/>
        <v>2.9362876799999991E-3</v>
      </c>
      <c r="BI91" s="15">
        <f t="shared" si="153"/>
        <v>1.9479601999999999E-2</v>
      </c>
      <c r="BJ91" s="12">
        <v>0.6</v>
      </c>
      <c r="BK91" s="12">
        <v>1.1499999999999999</v>
      </c>
      <c r="BL91" s="7">
        <v>15</v>
      </c>
      <c r="BM91" s="7">
        <v>40</v>
      </c>
      <c r="BN91" s="7">
        <v>45</v>
      </c>
      <c r="BO91" s="8">
        <f t="shared" si="154"/>
        <v>1.9559108999999998E-3</v>
      </c>
      <c r="BP91" s="8">
        <f t="shared" si="155"/>
        <v>2.2492975349999995E-3</v>
      </c>
      <c r="BQ91" s="8">
        <f t="shared" si="156"/>
        <v>3.373946302499999E-4</v>
      </c>
      <c r="BR91" s="8">
        <f t="shared" si="157"/>
        <v>8.9971901399999983E-4</v>
      </c>
      <c r="BS91" s="8">
        <f t="shared" si="158"/>
        <v>1.0121838907499999E-3</v>
      </c>
      <c r="BT91" s="18">
        <f t="shared" si="159"/>
        <v>1.7330837507174997E-4</v>
      </c>
      <c r="BU91" s="8">
        <f t="shared" si="160"/>
        <v>6.5454558268499994E-4</v>
      </c>
      <c r="BV91" s="8">
        <f t="shared" si="161"/>
        <v>1.5295223237999996E-3</v>
      </c>
      <c r="BW91" s="8">
        <f t="shared" si="162"/>
        <v>1.7207126142749997E-3</v>
      </c>
      <c r="BX91" s="18">
        <f t="shared" si="163"/>
        <v>2.9462423762197494E-4</v>
      </c>
      <c r="BY91" s="8">
        <f t="shared" si="164"/>
        <v>1.1127274905644996E-3</v>
      </c>
      <c r="BZ91" s="12">
        <f t="shared" si="165"/>
        <v>0.55000000000000004</v>
      </c>
      <c r="CA91" s="12">
        <f t="shared" si="184"/>
        <v>0.40420062695924763</v>
      </c>
      <c r="CB91" s="6">
        <v>1.7</v>
      </c>
      <c r="CC91" s="6">
        <v>1.7</v>
      </c>
      <c r="CD91" s="15">
        <v>0.16</v>
      </c>
      <c r="CE91" s="9">
        <v>0.48</v>
      </c>
      <c r="CF91" s="9">
        <v>2.9000000000000001E-2</v>
      </c>
      <c r="CG91" s="11">
        <v>0.22</v>
      </c>
      <c r="CH91" s="28">
        <f t="shared" si="185"/>
        <v>4.5721469999999997E-5</v>
      </c>
      <c r="CI91" s="15">
        <f t="shared" si="166"/>
        <v>1.7267939999999999E-4</v>
      </c>
      <c r="CJ91" s="12">
        <v>0.25</v>
      </c>
      <c r="CK91" s="12">
        <v>1</v>
      </c>
      <c r="CL91" s="7">
        <v>2</v>
      </c>
      <c r="CM91" s="7">
        <v>23</v>
      </c>
      <c r="CN91" s="7">
        <v>75</v>
      </c>
      <c r="CO91" s="8">
        <f t="shared" si="167"/>
        <v>8.1496287499999989E-4</v>
      </c>
      <c r="CP91" s="8">
        <f t="shared" si="168"/>
        <v>8.1496287499999989E-4</v>
      </c>
      <c r="CQ91" s="18">
        <f t="shared" si="169"/>
        <v>1.6299257499999999E-5</v>
      </c>
      <c r="CR91" s="8">
        <f t="shared" si="170"/>
        <v>1.8744146124999997E-4</v>
      </c>
      <c r="CS91" s="8">
        <f t="shared" si="171"/>
        <v>6.1122215624999994E-4</v>
      </c>
      <c r="CT91" s="18">
        <f t="shared" si="172"/>
        <v>4.3494568638749993E-5</v>
      </c>
      <c r="CU91" s="8">
        <f t="shared" si="173"/>
        <v>1.9673203802499998E-4</v>
      </c>
      <c r="CV91" s="8">
        <f t="shared" si="174"/>
        <v>3.1865048412499993E-4</v>
      </c>
      <c r="CW91" s="8">
        <f t="shared" si="175"/>
        <v>1.0390776656249998E-3</v>
      </c>
      <c r="CX91" s="18">
        <f t="shared" si="176"/>
        <v>7.3940766685874984E-5</v>
      </c>
      <c r="CY91" s="8">
        <f t="shared" si="177"/>
        <v>3.3444446464249997E-4</v>
      </c>
      <c r="CZ91" s="12">
        <f t="shared" si="178"/>
        <v>0.25</v>
      </c>
      <c r="DA91" s="12">
        <f t="shared" si="186"/>
        <v>0.25526690391459078</v>
      </c>
      <c r="DB91" s="6">
        <v>1.7</v>
      </c>
      <c r="DC91" s="6">
        <v>1.7</v>
      </c>
      <c r="DD91" s="9">
        <v>0.14399999999999999</v>
      </c>
      <c r="DE91" s="9">
        <v>0.43</v>
      </c>
      <c r="DF91" s="15">
        <v>2.7E-2</v>
      </c>
      <c r="DG91" s="13">
        <v>0.19</v>
      </c>
      <c r="DH91" s="28">
        <f t="shared" si="179"/>
        <v>1.1474549999999998E-5</v>
      </c>
      <c r="DI91" s="29">
        <f t="shared" si="180"/>
        <v>5.1900999999999997E-5</v>
      </c>
    </row>
    <row r="92" spans="1:113" x14ac:dyDescent="0.25">
      <c r="A92" s="85">
        <v>84</v>
      </c>
      <c r="B92" s="35" t="s">
        <v>26</v>
      </c>
      <c r="C92" s="35" t="s">
        <v>28</v>
      </c>
      <c r="D92" s="19" t="s">
        <v>172</v>
      </c>
      <c r="E92" s="32" t="s">
        <v>60</v>
      </c>
      <c r="F92" s="9">
        <v>90</v>
      </c>
      <c r="G92" s="32" t="s">
        <v>99</v>
      </c>
      <c r="H92" s="19" t="s">
        <v>99</v>
      </c>
      <c r="I92" s="31" t="s">
        <v>99</v>
      </c>
      <c r="J92" s="32" t="s">
        <v>99</v>
      </c>
      <c r="K92" s="2" t="str">
        <f t="shared" si="123"/>
        <v>Statlig Landsbygd MV 90 - - -</v>
      </c>
      <c r="L92" s="2"/>
      <c r="M92" s="32" t="s">
        <v>99</v>
      </c>
      <c r="N92" s="53">
        <f>'Beräkna - Länk'!$C$26</f>
        <v>1</v>
      </c>
      <c r="O92" s="53">
        <f>'Beräkna - Länk'!$C$24/('Beräkna - Länk'!$C$27)^('Beräkna - Länk'!$C$25-2010)</f>
        <v>10385</v>
      </c>
      <c r="P92" s="13">
        <f t="shared" si="124"/>
        <v>3.7905249999999997</v>
      </c>
      <c r="Q92" s="13">
        <f t="shared" si="125"/>
        <v>0.29846972902499996</v>
      </c>
      <c r="R92" s="13">
        <f t="shared" si="126"/>
        <v>0.46735126366500002</v>
      </c>
      <c r="S92" s="28">
        <f t="shared" si="127"/>
        <v>3.0098284709999998E-3</v>
      </c>
      <c r="T92" s="15">
        <f t="shared" si="128"/>
        <v>5.1978673314750007E-2</v>
      </c>
      <c r="U92" s="13">
        <f t="shared" si="129"/>
        <v>0.41236276187924997</v>
      </c>
      <c r="V92" s="13">
        <f t="shared" si="130"/>
        <v>1.0831046135</v>
      </c>
      <c r="W92" s="15">
        <f t="shared" si="131"/>
        <v>1.0852121340284246E-2</v>
      </c>
      <c r="X92" s="15">
        <f t="shared" si="132"/>
        <v>6.6937993873139978E-2</v>
      </c>
      <c r="Y92" s="15">
        <f t="shared" si="133"/>
        <v>8.8363744635075001E-2</v>
      </c>
      <c r="Z92" s="14">
        <f t="shared" si="134"/>
        <v>0.70101669519472498</v>
      </c>
      <c r="AA92" s="14">
        <f t="shared" si="135"/>
        <v>7.5817322945000001</v>
      </c>
      <c r="AB92" s="13">
        <f t="shared" si="136"/>
        <v>1.8448606278483225E-2</v>
      </c>
      <c r="AC92" s="14">
        <f t="shared" si="137"/>
        <v>0.113794589584338</v>
      </c>
      <c r="AD92" s="13">
        <f t="shared" si="181"/>
        <v>0.1153138507140128</v>
      </c>
      <c r="AE92" s="15">
        <f t="shared" si="182"/>
        <v>2.4105783000000002E-2</v>
      </c>
      <c r="AF92" s="6">
        <v>7.8E-2</v>
      </c>
      <c r="AG92" s="6">
        <v>1.57</v>
      </c>
      <c r="AH92" s="12">
        <v>0.5</v>
      </c>
      <c r="AI92" s="12">
        <v>11</v>
      </c>
      <c r="AJ92" s="7">
        <v>88.5</v>
      </c>
      <c r="AK92" s="12">
        <v>2.3333333333333335</v>
      </c>
      <c r="AL92" s="12">
        <f t="shared" si="138"/>
        <v>0.29566094999999998</v>
      </c>
      <c r="AM92" s="12">
        <f t="shared" si="139"/>
        <v>0.4641876915</v>
      </c>
      <c r="AN92" s="18">
        <f t="shared" si="140"/>
        <v>2.3209384574999999E-3</v>
      </c>
      <c r="AO92" s="8">
        <f t="shared" si="141"/>
        <v>5.1060646065000007E-2</v>
      </c>
      <c r="AP92" s="12">
        <f t="shared" si="142"/>
        <v>0.41080610697749997</v>
      </c>
      <c r="AQ92" s="12">
        <f t="shared" si="143"/>
        <v>1.0831046135</v>
      </c>
      <c r="AR92" s="18">
        <f t="shared" si="144"/>
        <v>1.0662391273754996E-2</v>
      </c>
      <c r="AS92" s="8">
        <f t="shared" si="145"/>
        <v>6.6169955423324989E-2</v>
      </c>
      <c r="AT92" s="8">
        <f t="shared" si="146"/>
        <v>8.680309831050001E-2</v>
      </c>
      <c r="AU92" s="8">
        <f t="shared" si="147"/>
        <v>0.69837038186174993</v>
      </c>
      <c r="AV92" s="8">
        <f t="shared" si="148"/>
        <v>7.5817322945000001</v>
      </c>
      <c r="AW92" s="8">
        <f t="shared" si="149"/>
        <v>1.8126065165383499E-2</v>
      </c>
      <c r="AX92" s="8">
        <f t="shared" si="150"/>
        <v>0.11248892421965251</v>
      </c>
      <c r="AY92" s="495">
        <f t="shared" si="183"/>
        <v>0.11317418213969942</v>
      </c>
      <c r="AZ92" s="8">
        <f t="shared" si="151"/>
        <v>1.4082900000000001E-2</v>
      </c>
      <c r="BA92" s="6">
        <v>1.7</v>
      </c>
      <c r="BB92" s="6">
        <v>1.7</v>
      </c>
      <c r="BC92" s="6">
        <v>7</v>
      </c>
      <c r="BD92" s="21">
        <v>6.4000000000000001E-2</v>
      </c>
      <c r="BE92" s="20">
        <v>0.25</v>
      </c>
      <c r="BF92" s="9">
        <v>1.7999999999999999E-2</v>
      </c>
      <c r="BG92" s="9">
        <v>0.13</v>
      </c>
      <c r="BH92" s="28">
        <f t="shared" si="152"/>
        <v>2.8129061999999992E-3</v>
      </c>
      <c r="BI92" s="15">
        <f t="shared" si="153"/>
        <v>1.7456672999999999E-2</v>
      </c>
      <c r="BJ92" s="12">
        <v>0.8</v>
      </c>
      <c r="BK92" s="12">
        <v>1.1499999999999999</v>
      </c>
      <c r="BL92" s="7">
        <v>25</v>
      </c>
      <c r="BM92" s="7">
        <v>30</v>
      </c>
      <c r="BN92" s="7">
        <v>45</v>
      </c>
      <c r="BO92" s="8">
        <f t="shared" si="154"/>
        <v>2.3652876E-3</v>
      </c>
      <c r="BP92" s="8">
        <f t="shared" si="155"/>
        <v>2.7200807399999998E-3</v>
      </c>
      <c r="BQ92" s="8">
        <f t="shared" si="156"/>
        <v>6.8002018499999995E-4</v>
      </c>
      <c r="BR92" s="8">
        <f t="shared" si="157"/>
        <v>8.1602422199999992E-4</v>
      </c>
      <c r="BS92" s="8">
        <f t="shared" si="158"/>
        <v>1.2240363329999999E-3</v>
      </c>
      <c r="BT92" s="18">
        <f t="shared" si="159"/>
        <v>1.6606092917699998E-4</v>
      </c>
      <c r="BU92" s="8">
        <f t="shared" si="160"/>
        <v>6.609796198199997E-4</v>
      </c>
      <c r="BV92" s="8">
        <f t="shared" si="161"/>
        <v>1.3872411773999998E-3</v>
      </c>
      <c r="BW92" s="8">
        <f t="shared" si="162"/>
        <v>2.0808617660999997E-3</v>
      </c>
      <c r="BX92" s="18">
        <f t="shared" si="163"/>
        <v>2.8230357960089996E-4</v>
      </c>
      <c r="BY92" s="8">
        <f t="shared" si="164"/>
        <v>1.1236653536939999E-3</v>
      </c>
      <c r="BZ92" s="12">
        <f t="shared" si="165"/>
        <v>0.55000000000000004</v>
      </c>
      <c r="CA92" s="12">
        <f t="shared" si="184"/>
        <v>0.43481967213114758</v>
      </c>
      <c r="CB92" s="6">
        <v>1.7</v>
      </c>
      <c r="CC92" s="6">
        <v>1.7</v>
      </c>
      <c r="CD92" s="15">
        <v>0.16</v>
      </c>
      <c r="CE92" s="9">
        <v>0.48</v>
      </c>
      <c r="CF92" s="9">
        <v>2.9000000000000001E-2</v>
      </c>
      <c r="CG92" s="11">
        <v>0.22</v>
      </c>
      <c r="CH92" s="28">
        <f t="shared" si="185"/>
        <v>4.380948E-5</v>
      </c>
      <c r="CI92" s="15">
        <f t="shared" si="166"/>
        <v>1.7437679999999993E-4</v>
      </c>
      <c r="CJ92" s="12">
        <v>0.15</v>
      </c>
      <c r="CK92" s="12">
        <v>1</v>
      </c>
      <c r="CL92" s="7">
        <v>2</v>
      </c>
      <c r="CM92" s="7">
        <v>23</v>
      </c>
      <c r="CN92" s="7">
        <v>75</v>
      </c>
      <c r="CO92" s="8">
        <f t="shared" si="167"/>
        <v>4.43491425E-4</v>
      </c>
      <c r="CP92" s="8">
        <f t="shared" si="168"/>
        <v>4.43491425E-4</v>
      </c>
      <c r="CQ92" s="18">
        <f t="shared" si="169"/>
        <v>8.8698285000000007E-6</v>
      </c>
      <c r="CR92" s="8">
        <f t="shared" si="170"/>
        <v>1.0200302775E-4</v>
      </c>
      <c r="CS92" s="8">
        <f t="shared" si="171"/>
        <v>3.3261856875000002E-4</v>
      </c>
      <c r="CT92" s="18">
        <f t="shared" si="172"/>
        <v>2.3669137352249993E-5</v>
      </c>
      <c r="CU92" s="8">
        <f t="shared" si="173"/>
        <v>1.0705882999499999E-4</v>
      </c>
      <c r="CV92" s="8">
        <f t="shared" si="174"/>
        <v>1.7340514717500001E-4</v>
      </c>
      <c r="CW92" s="8">
        <f t="shared" si="175"/>
        <v>5.6545156687499998E-4</v>
      </c>
      <c r="CX92" s="18">
        <f t="shared" si="176"/>
        <v>4.0237533498824993E-5</v>
      </c>
      <c r="CY92" s="8">
        <f t="shared" si="177"/>
        <v>1.8200001099150001E-4</v>
      </c>
      <c r="CZ92" s="12">
        <f t="shared" si="178"/>
        <v>0.25</v>
      </c>
      <c r="DA92" s="12">
        <f t="shared" si="186"/>
        <v>0.25526690391459078</v>
      </c>
      <c r="DB92" s="6">
        <v>1.7</v>
      </c>
      <c r="DC92" s="6">
        <v>1.7</v>
      </c>
      <c r="DD92" s="9">
        <v>0.14399999999999999</v>
      </c>
      <c r="DE92" s="9">
        <v>0.43</v>
      </c>
      <c r="DF92" s="15">
        <v>2.7E-2</v>
      </c>
      <c r="DG92" s="13">
        <v>0.19</v>
      </c>
      <c r="DH92" s="28">
        <f t="shared" si="179"/>
        <v>6.244289999999999E-6</v>
      </c>
      <c r="DI92" s="29">
        <f t="shared" si="180"/>
        <v>2.8243799999999999E-5</v>
      </c>
    </row>
    <row r="93" spans="1:113" x14ac:dyDescent="0.25">
      <c r="A93" s="85">
        <v>85</v>
      </c>
      <c r="B93" s="35" t="s">
        <v>26</v>
      </c>
      <c r="C93" s="35" t="s">
        <v>28</v>
      </c>
      <c r="D93" s="19" t="s">
        <v>172</v>
      </c>
      <c r="E93" s="33">
        <v>4</v>
      </c>
      <c r="F93" s="9">
        <v>100</v>
      </c>
      <c r="G93" s="34">
        <v>18.5</v>
      </c>
      <c r="H93" s="19" t="s">
        <v>99</v>
      </c>
      <c r="I93" s="31" t="s">
        <v>99</v>
      </c>
      <c r="J93" s="32" t="s">
        <v>99</v>
      </c>
      <c r="K93" s="2" t="str">
        <f t="shared" si="123"/>
        <v>Statlig Landsbygd MV 100 18,5 - -</v>
      </c>
      <c r="L93" s="2"/>
      <c r="M93" s="50" t="s">
        <v>83</v>
      </c>
      <c r="N93" s="53">
        <f>'Beräkna - Länk'!$C$26</f>
        <v>1</v>
      </c>
      <c r="O93" s="53">
        <f>'Beräkna - Länk'!$C$24/('Beräkna - Länk'!$C$27)^('Beräkna - Länk'!$C$25-2010)</f>
        <v>10385</v>
      </c>
      <c r="P93" s="13">
        <f t="shared" si="124"/>
        <v>3.7905249999999997</v>
      </c>
      <c r="Q93" s="13">
        <f t="shared" si="125"/>
        <v>0.26772478075</v>
      </c>
      <c r="R93" s="13">
        <f t="shared" si="126"/>
        <v>0.443245040875</v>
      </c>
      <c r="S93" s="28">
        <f t="shared" si="127"/>
        <v>2.8072628149999998E-3</v>
      </c>
      <c r="T93" s="15">
        <f t="shared" si="128"/>
        <v>4.4853850903750006E-2</v>
      </c>
      <c r="U93" s="13">
        <f t="shared" si="129"/>
        <v>0.39558392715625007</v>
      </c>
      <c r="V93" s="13">
        <f t="shared" si="130"/>
        <v>1.3213770149999999</v>
      </c>
      <c r="W93" s="15">
        <f t="shared" si="131"/>
        <v>1.052222201835875E-2</v>
      </c>
      <c r="X93" s="15">
        <f t="shared" si="132"/>
        <v>6.3816168276175006E-2</v>
      </c>
      <c r="Y93" s="15">
        <f t="shared" si="133"/>
        <v>7.6251546536375017E-2</v>
      </c>
      <c r="Z93" s="14">
        <f t="shared" si="134"/>
        <v>0.67249267616562503</v>
      </c>
      <c r="AA93" s="14">
        <f t="shared" si="135"/>
        <v>9.249639105</v>
      </c>
      <c r="AB93" s="13">
        <f t="shared" si="136"/>
        <v>1.7887777431209881E-2</v>
      </c>
      <c r="AC93" s="14">
        <f t="shared" si="137"/>
        <v>0.1084874860694975</v>
      </c>
      <c r="AD93" s="13">
        <f t="shared" si="181"/>
        <v>0.10519413623005436</v>
      </c>
      <c r="AE93" s="15">
        <f t="shared" si="182"/>
        <v>2.0856955000000007E-2</v>
      </c>
      <c r="AF93" s="15">
        <v>7.0000000000000007E-2</v>
      </c>
      <c r="AG93" s="9">
        <v>1.66</v>
      </c>
      <c r="AH93" s="12">
        <v>0.5</v>
      </c>
      <c r="AI93" s="12">
        <v>10</v>
      </c>
      <c r="AJ93" s="7">
        <v>89.5</v>
      </c>
      <c r="AK93" s="12">
        <v>3</v>
      </c>
      <c r="AL93" s="12">
        <f t="shared" si="138"/>
        <v>0.26533675000000001</v>
      </c>
      <c r="AM93" s="12">
        <f t="shared" si="139"/>
        <v>0.44045900500000001</v>
      </c>
      <c r="AN93" s="18">
        <f t="shared" si="140"/>
        <v>2.2022950250000003E-3</v>
      </c>
      <c r="AO93" s="8">
        <f t="shared" si="141"/>
        <v>4.4045900500000006E-2</v>
      </c>
      <c r="AP93" s="12">
        <f t="shared" si="142"/>
        <v>0.39421080947500003</v>
      </c>
      <c r="AQ93" s="12">
        <f t="shared" si="143"/>
        <v>1.3213770149999999</v>
      </c>
      <c r="AR93" s="18">
        <f t="shared" si="144"/>
        <v>1.0355191207549999E-2</v>
      </c>
      <c r="AS93" s="8">
        <f t="shared" si="145"/>
        <v>6.3139798366750002E-2</v>
      </c>
      <c r="AT93" s="8">
        <f t="shared" si="146"/>
        <v>7.4878030850000013E-2</v>
      </c>
      <c r="AU93" s="8">
        <f t="shared" si="147"/>
        <v>0.67015837610750006</v>
      </c>
      <c r="AV93" s="8">
        <f t="shared" si="148"/>
        <v>9.249639105</v>
      </c>
      <c r="AW93" s="8">
        <f t="shared" si="149"/>
        <v>1.7603825052835E-2</v>
      </c>
      <c r="AX93" s="8">
        <f t="shared" si="150"/>
        <v>0.10733765722347502</v>
      </c>
      <c r="AY93" s="495">
        <f t="shared" si="183"/>
        <v>0.1031535514294135</v>
      </c>
      <c r="AZ93" s="8">
        <f t="shared" si="151"/>
        <v>1.2201000000000002E-2</v>
      </c>
      <c r="BA93" s="6">
        <v>1.7</v>
      </c>
      <c r="BB93" s="6">
        <v>1.7</v>
      </c>
      <c r="BC93" s="6">
        <v>7</v>
      </c>
      <c r="BD93" s="21">
        <v>7.3999999999999996E-2</v>
      </c>
      <c r="BE93" s="20">
        <v>0.27</v>
      </c>
      <c r="BF93" s="9">
        <v>1.7999999999999999E-2</v>
      </c>
      <c r="BG93" s="9">
        <v>0.13</v>
      </c>
      <c r="BH93" s="28">
        <f t="shared" si="152"/>
        <v>2.7318620000000003E-3</v>
      </c>
      <c r="BI93" s="15">
        <f t="shared" si="153"/>
        <v>1.6657270000000002E-2</v>
      </c>
      <c r="BJ93" s="12">
        <v>0.75</v>
      </c>
      <c r="BK93" s="12">
        <v>1.2</v>
      </c>
      <c r="BL93" s="7">
        <v>25</v>
      </c>
      <c r="BM93" s="7">
        <v>30</v>
      </c>
      <c r="BN93" s="7">
        <v>45</v>
      </c>
      <c r="BO93" s="8">
        <f t="shared" si="154"/>
        <v>1.990025625E-3</v>
      </c>
      <c r="BP93" s="8">
        <f t="shared" si="155"/>
        <v>2.3880307499999998E-3</v>
      </c>
      <c r="BQ93" s="8">
        <f t="shared" si="156"/>
        <v>5.9700768749999995E-4</v>
      </c>
      <c r="BR93" s="8">
        <f t="shared" si="157"/>
        <v>7.1640922499999996E-4</v>
      </c>
      <c r="BS93" s="8">
        <f t="shared" si="158"/>
        <v>1.0746138375E-3</v>
      </c>
      <c r="BT93" s="18">
        <f t="shared" si="159"/>
        <v>1.4578927728750002E-4</v>
      </c>
      <c r="BU93" s="8">
        <f t="shared" si="160"/>
        <v>5.8029147224999988E-4</v>
      </c>
      <c r="BV93" s="8">
        <f t="shared" si="161"/>
        <v>1.2178956825E-3</v>
      </c>
      <c r="BW93" s="8">
        <f t="shared" si="162"/>
        <v>1.8268435237499998E-3</v>
      </c>
      <c r="BX93" s="18">
        <f t="shared" si="163"/>
        <v>2.4784177138875002E-4</v>
      </c>
      <c r="BY93" s="8">
        <f t="shared" si="164"/>
        <v>9.8649550282499995E-4</v>
      </c>
      <c r="BZ93" s="12">
        <f t="shared" si="165"/>
        <v>0.55000000000000004</v>
      </c>
      <c r="CA93" s="12">
        <f t="shared" si="184"/>
        <v>0.43481967213114753</v>
      </c>
      <c r="CB93" s="6">
        <v>1.7</v>
      </c>
      <c r="CC93" s="6">
        <v>1.7</v>
      </c>
      <c r="CD93" s="15">
        <v>0.16</v>
      </c>
      <c r="CE93" s="9">
        <v>0.48</v>
      </c>
      <c r="CF93" s="9">
        <v>2.9000000000000001E-2</v>
      </c>
      <c r="CG93" s="11">
        <v>0.22</v>
      </c>
      <c r="CH93" s="28">
        <f t="shared" si="185"/>
        <v>3.8461500000000004E-5</v>
      </c>
      <c r="CI93" s="15">
        <f t="shared" si="166"/>
        <v>1.5308999999999999E-4</v>
      </c>
      <c r="CJ93" s="12">
        <v>0.15</v>
      </c>
      <c r="CK93" s="12">
        <v>1</v>
      </c>
      <c r="CL93" s="7">
        <v>2</v>
      </c>
      <c r="CM93" s="7">
        <v>23</v>
      </c>
      <c r="CN93" s="7">
        <v>75</v>
      </c>
      <c r="CO93" s="8">
        <f t="shared" si="167"/>
        <v>3.9800512500000004E-4</v>
      </c>
      <c r="CP93" s="8">
        <f t="shared" si="168"/>
        <v>3.9800512500000004E-4</v>
      </c>
      <c r="CQ93" s="18">
        <f t="shared" si="169"/>
        <v>7.9601025000000004E-6</v>
      </c>
      <c r="CR93" s="8">
        <f t="shared" si="170"/>
        <v>9.1541178750000014E-5</v>
      </c>
      <c r="CS93" s="8">
        <f t="shared" si="171"/>
        <v>2.9850384375000003E-4</v>
      </c>
      <c r="CT93" s="18">
        <f t="shared" si="172"/>
        <v>2.1241533521250002E-5</v>
      </c>
      <c r="CU93" s="8">
        <f t="shared" si="173"/>
        <v>9.6078437175000001E-5</v>
      </c>
      <c r="CV93" s="8">
        <f t="shared" si="174"/>
        <v>1.5562000387500002E-4</v>
      </c>
      <c r="CW93" s="8">
        <f t="shared" si="175"/>
        <v>5.0745653437500008E-4</v>
      </c>
      <c r="CX93" s="18">
        <f t="shared" si="176"/>
        <v>3.6110606986125003E-5</v>
      </c>
      <c r="CY93" s="8">
        <f t="shared" si="177"/>
        <v>1.6333334319750003E-4</v>
      </c>
      <c r="CZ93" s="12">
        <f t="shared" si="178"/>
        <v>0.25</v>
      </c>
      <c r="DA93" s="12">
        <f t="shared" si="186"/>
        <v>0.25526690391459073</v>
      </c>
      <c r="DB93" s="6">
        <v>1.7</v>
      </c>
      <c r="DC93" s="6">
        <v>1.7</v>
      </c>
      <c r="DD93" s="9">
        <v>0.14399999999999999</v>
      </c>
      <c r="DE93" s="9">
        <v>0.43</v>
      </c>
      <c r="DF93" s="15">
        <v>2.7E-2</v>
      </c>
      <c r="DG93" s="13">
        <v>0.19</v>
      </c>
      <c r="DH93" s="28">
        <f t="shared" si="179"/>
        <v>5.6038500000000006E-6</v>
      </c>
      <c r="DI93" s="29">
        <f t="shared" si="180"/>
        <v>2.5347000000000003E-5</v>
      </c>
    </row>
    <row r="94" spans="1:113" x14ac:dyDescent="0.25">
      <c r="A94" s="85">
        <v>86</v>
      </c>
      <c r="B94" s="35" t="s">
        <v>26</v>
      </c>
      <c r="C94" s="35" t="s">
        <v>28</v>
      </c>
      <c r="D94" s="19" t="s">
        <v>172</v>
      </c>
      <c r="E94" s="33">
        <v>4</v>
      </c>
      <c r="F94" s="9">
        <v>100</v>
      </c>
      <c r="G94" s="34">
        <v>21.5</v>
      </c>
      <c r="H94" s="19" t="s">
        <v>99</v>
      </c>
      <c r="I94" s="31" t="s">
        <v>99</v>
      </c>
      <c r="J94" s="32" t="s">
        <v>99</v>
      </c>
      <c r="K94" s="2" t="str">
        <f t="shared" si="123"/>
        <v>Statlig Landsbygd MV 100 21,5 - -</v>
      </c>
      <c r="L94" s="2"/>
      <c r="M94" s="50" t="s">
        <v>82</v>
      </c>
      <c r="N94" s="53">
        <f>'Beräkna - Länk'!$C$26</f>
        <v>1</v>
      </c>
      <c r="O94" s="53">
        <f>'Beräkna - Länk'!$C$24/('Beräkna - Länk'!$C$27)^('Beräkna - Länk'!$C$25-2010)</f>
        <v>10385</v>
      </c>
      <c r="P94" s="13">
        <f t="shared" si="124"/>
        <v>3.7905249999999997</v>
      </c>
      <c r="Q94" s="13">
        <f t="shared" si="125"/>
        <v>0.21045942431249998</v>
      </c>
      <c r="R94" s="13">
        <f t="shared" si="126"/>
        <v>0.33588031551249997</v>
      </c>
      <c r="S94" s="28">
        <f t="shared" si="127"/>
        <v>2.1744346662499999E-3</v>
      </c>
      <c r="T94" s="15">
        <f t="shared" si="128"/>
        <v>3.0693302371874998E-2</v>
      </c>
      <c r="U94" s="13">
        <f t="shared" si="129"/>
        <v>0.30301257847437502</v>
      </c>
      <c r="V94" s="13">
        <f t="shared" si="130"/>
        <v>1.0006986</v>
      </c>
      <c r="W94" s="15">
        <f t="shared" si="131"/>
        <v>7.7942193653981239E-3</v>
      </c>
      <c r="X94" s="15">
        <f t="shared" si="132"/>
        <v>4.7911551810237492E-2</v>
      </c>
      <c r="Y94" s="15">
        <f t="shared" si="133"/>
        <v>5.2178614032187494E-2</v>
      </c>
      <c r="Z94" s="14">
        <f t="shared" si="134"/>
        <v>0.51512138340643754</v>
      </c>
      <c r="AA94" s="14">
        <f t="shared" si="135"/>
        <v>7.0048902000000002</v>
      </c>
      <c r="AB94" s="13">
        <f t="shared" si="136"/>
        <v>1.3250172921176811E-2</v>
      </c>
      <c r="AC94" s="14">
        <f t="shared" si="137"/>
        <v>8.1449638077403741E-2</v>
      </c>
      <c r="AD94" s="13">
        <f t="shared" si="181"/>
        <v>9.5444230037754846E-2</v>
      </c>
      <c r="AE94" s="15">
        <f t="shared" si="182"/>
        <v>1.43391875E-2</v>
      </c>
      <c r="AF94" s="8">
        <v>5.5E-2</v>
      </c>
      <c r="AG94" s="12">
        <v>1.6</v>
      </c>
      <c r="AH94" s="12">
        <v>0.5</v>
      </c>
      <c r="AI94" s="12">
        <v>9</v>
      </c>
      <c r="AJ94" s="7">
        <v>90.5</v>
      </c>
      <c r="AK94" s="12">
        <v>3</v>
      </c>
      <c r="AL94" s="12">
        <f t="shared" si="138"/>
        <v>0.20847887499999998</v>
      </c>
      <c r="AM94" s="12">
        <f t="shared" si="139"/>
        <v>0.33356619999999998</v>
      </c>
      <c r="AN94" s="18">
        <f t="shared" si="140"/>
        <v>1.6678309999999998E-3</v>
      </c>
      <c r="AO94" s="8">
        <f t="shared" si="141"/>
        <v>3.0020957999999997E-2</v>
      </c>
      <c r="AP94" s="12">
        <f t="shared" si="142"/>
        <v>0.30187741099999998</v>
      </c>
      <c r="AQ94" s="12">
        <f t="shared" si="143"/>
        <v>1.0006986</v>
      </c>
      <c r="AR94" s="18">
        <f t="shared" si="144"/>
        <v>7.6553442899999985E-3</v>
      </c>
      <c r="AS94" s="8">
        <f t="shared" si="145"/>
        <v>4.7349722089999997E-2</v>
      </c>
      <c r="AT94" s="8">
        <f t="shared" si="146"/>
        <v>5.1035628599999994E-2</v>
      </c>
      <c r="AU94" s="8">
        <f t="shared" si="147"/>
        <v>0.51319159869999997</v>
      </c>
      <c r="AV94" s="8">
        <f t="shared" si="148"/>
        <v>7.0048902000000002</v>
      </c>
      <c r="AW94" s="8">
        <f t="shared" si="149"/>
        <v>1.3014085292999997E-2</v>
      </c>
      <c r="AX94" s="8">
        <f t="shared" si="150"/>
        <v>8.0494527552999989E-2</v>
      </c>
      <c r="AY94" s="495">
        <f t="shared" si="183"/>
        <v>9.3132920719127613E-2</v>
      </c>
      <c r="AZ94" s="8">
        <f t="shared" si="151"/>
        <v>8.3600000000000011E-3</v>
      </c>
      <c r="BA94" s="6">
        <v>1.7</v>
      </c>
      <c r="BB94" s="6">
        <v>1.7</v>
      </c>
      <c r="BC94" s="6">
        <v>7</v>
      </c>
      <c r="BD94" s="21">
        <v>7.3999999999999996E-2</v>
      </c>
      <c r="BE94" s="20">
        <v>0.27</v>
      </c>
      <c r="BF94" s="9">
        <v>1.7999999999999999E-2</v>
      </c>
      <c r="BG94" s="9">
        <v>0.13</v>
      </c>
      <c r="BH94" s="28">
        <f t="shared" si="152"/>
        <v>2.0195999999999999E-3</v>
      </c>
      <c r="BI94" s="15">
        <f t="shared" si="153"/>
        <v>1.24916E-2</v>
      </c>
      <c r="BJ94" s="12">
        <v>0.8</v>
      </c>
      <c r="BK94" s="12">
        <v>1.2</v>
      </c>
      <c r="BL94" s="7">
        <v>25</v>
      </c>
      <c r="BM94" s="7">
        <v>30</v>
      </c>
      <c r="BN94" s="7">
        <v>45</v>
      </c>
      <c r="BO94" s="8">
        <f t="shared" si="154"/>
        <v>1.6678309999999998E-3</v>
      </c>
      <c r="BP94" s="8">
        <f t="shared" si="155"/>
        <v>2.0013971999999999E-3</v>
      </c>
      <c r="BQ94" s="8">
        <f t="shared" si="156"/>
        <v>5.0034929999999997E-4</v>
      </c>
      <c r="BR94" s="8">
        <f t="shared" si="157"/>
        <v>6.0041915999999994E-4</v>
      </c>
      <c r="BS94" s="8">
        <f t="shared" si="158"/>
        <v>9.0062873999999997E-4</v>
      </c>
      <c r="BT94" s="18">
        <f t="shared" si="159"/>
        <v>1.2218529906000001E-4</v>
      </c>
      <c r="BU94" s="8">
        <f t="shared" si="160"/>
        <v>4.8633951959999987E-4</v>
      </c>
      <c r="BV94" s="8">
        <f t="shared" si="161"/>
        <v>1.0207125719999999E-3</v>
      </c>
      <c r="BW94" s="8">
        <f t="shared" si="162"/>
        <v>1.5310688579999998E-3</v>
      </c>
      <c r="BX94" s="18">
        <f t="shared" si="163"/>
        <v>2.0771500840199999E-4</v>
      </c>
      <c r="BY94" s="8">
        <f t="shared" si="164"/>
        <v>8.2677718331999992E-4</v>
      </c>
      <c r="BZ94" s="12">
        <f t="shared" si="165"/>
        <v>0.55000000000000004</v>
      </c>
      <c r="CA94" s="12">
        <f t="shared" si="184"/>
        <v>0.43481967213114758</v>
      </c>
      <c r="CB94" s="6">
        <v>1.7</v>
      </c>
      <c r="CC94" s="6">
        <v>1.7</v>
      </c>
      <c r="CD94" s="15">
        <v>0.16</v>
      </c>
      <c r="CE94" s="9">
        <v>0.48</v>
      </c>
      <c r="CF94" s="9">
        <v>2.9000000000000001E-2</v>
      </c>
      <c r="CG94" s="11">
        <v>0.22</v>
      </c>
      <c r="CH94" s="28">
        <f t="shared" si="185"/>
        <v>3.2234400000000004E-5</v>
      </c>
      <c r="CI94" s="15">
        <f t="shared" si="166"/>
        <v>1.2830399999999998E-4</v>
      </c>
      <c r="CJ94" s="12">
        <v>0.15</v>
      </c>
      <c r="CK94" s="12">
        <v>1</v>
      </c>
      <c r="CL94" s="7">
        <v>2</v>
      </c>
      <c r="CM94" s="7">
        <v>23</v>
      </c>
      <c r="CN94" s="7">
        <v>75</v>
      </c>
      <c r="CO94" s="8">
        <f t="shared" si="167"/>
        <v>3.1271831249999997E-4</v>
      </c>
      <c r="CP94" s="8">
        <f t="shared" si="168"/>
        <v>3.1271831249999997E-4</v>
      </c>
      <c r="CQ94" s="18">
        <f t="shared" si="169"/>
        <v>6.2543662499999991E-6</v>
      </c>
      <c r="CR94" s="8">
        <f t="shared" si="170"/>
        <v>7.1925211874999994E-5</v>
      </c>
      <c r="CS94" s="8">
        <f t="shared" si="171"/>
        <v>2.3453873437499998E-4</v>
      </c>
      <c r="CT94" s="18">
        <f t="shared" si="172"/>
        <v>1.6689776338124997E-5</v>
      </c>
      <c r="CU94" s="8">
        <f t="shared" si="173"/>
        <v>7.5490200637499992E-5</v>
      </c>
      <c r="CV94" s="8">
        <f t="shared" si="174"/>
        <v>1.2227286018749999E-4</v>
      </c>
      <c r="CW94" s="8">
        <f t="shared" si="175"/>
        <v>3.9871584843749995E-4</v>
      </c>
      <c r="CX94" s="18">
        <f t="shared" si="176"/>
        <v>2.8372619774812494E-5</v>
      </c>
      <c r="CY94" s="8">
        <f t="shared" si="177"/>
        <v>1.2833334108374998E-4</v>
      </c>
      <c r="CZ94" s="12">
        <f t="shared" si="178"/>
        <v>0.25</v>
      </c>
      <c r="DA94" s="12">
        <f t="shared" si="186"/>
        <v>0.25526690391459073</v>
      </c>
      <c r="DB94" s="6">
        <v>1.7</v>
      </c>
      <c r="DC94" s="6">
        <v>1.7</v>
      </c>
      <c r="DD94" s="9">
        <v>0.14399999999999999</v>
      </c>
      <c r="DE94" s="9">
        <v>0.43</v>
      </c>
      <c r="DF94" s="15">
        <v>2.7E-2</v>
      </c>
      <c r="DG94" s="13">
        <v>0.19</v>
      </c>
      <c r="DH94" s="28">
        <f t="shared" si="179"/>
        <v>4.4030249999999992E-6</v>
      </c>
      <c r="DI94" s="29">
        <f t="shared" si="180"/>
        <v>1.9915499999999999E-5</v>
      </c>
    </row>
    <row r="95" spans="1:113" x14ac:dyDescent="0.25">
      <c r="A95" s="85">
        <v>87</v>
      </c>
      <c r="B95" s="35" t="s">
        <v>26</v>
      </c>
      <c r="C95" s="35" t="s">
        <v>28</v>
      </c>
      <c r="D95" s="19" t="s">
        <v>172</v>
      </c>
      <c r="E95" s="32" t="s">
        <v>60</v>
      </c>
      <c r="F95" s="9">
        <v>100</v>
      </c>
      <c r="G95" s="32" t="s">
        <v>47</v>
      </c>
      <c r="H95" s="19" t="s">
        <v>99</v>
      </c>
      <c r="I95" s="31" t="s">
        <v>99</v>
      </c>
      <c r="J95" s="32" t="s">
        <v>99</v>
      </c>
      <c r="K95" s="2" t="str">
        <f t="shared" si="123"/>
        <v>Statlig Landsbygd MV 100 &gt;24,5 - -</v>
      </c>
      <c r="L95" s="2"/>
      <c r="M95" s="32" t="s">
        <v>99</v>
      </c>
      <c r="N95" s="53">
        <f>'Beräkna - Länk'!$C$26</f>
        <v>1</v>
      </c>
      <c r="O95" s="53">
        <f>'Beräkna - Länk'!$C$24/('Beräkna - Länk'!$C$27)^('Beräkna - Länk'!$C$25-2010)</f>
        <v>10385</v>
      </c>
      <c r="P95" s="13">
        <f t="shared" si="124"/>
        <v>3.7905249999999997</v>
      </c>
      <c r="Q95" s="13">
        <f t="shared" si="125"/>
        <v>0.26390014102500003</v>
      </c>
      <c r="R95" s="13">
        <f t="shared" si="126"/>
        <v>0.43168204436250002</v>
      </c>
      <c r="S95" s="28">
        <f t="shared" si="127"/>
        <v>2.7410044379999996E-3</v>
      </c>
      <c r="T95" s="15">
        <f t="shared" si="128"/>
        <v>4.5834668200125002E-2</v>
      </c>
      <c r="U95" s="13">
        <f t="shared" si="129"/>
        <v>0.38310637172437506</v>
      </c>
      <c r="V95" s="13">
        <f t="shared" si="130"/>
        <v>1.0008502210000001</v>
      </c>
      <c r="W95" s="15">
        <f t="shared" si="131"/>
        <v>1.0369027552478621E-2</v>
      </c>
      <c r="X95" s="15">
        <f t="shared" si="132"/>
        <v>6.2454910768597487E-2</v>
      </c>
      <c r="Y95" s="15">
        <f t="shared" si="133"/>
        <v>7.79189359402125E-2</v>
      </c>
      <c r="Z95" s="14">
        <f t="shared" si="134"/>
        <v>0.6512808319314376</v>
      </c>
      <c r="AA95" s="14">
        <f t="shared" si="135"/>
        <v>7.0059515470000004</v>
      </c>
      <c r="AB95" s="13">
        <f t="shared" si="136"/>
        <v>1.7627346839213662E-2</v>
      </c>
      <c r="AC95" s="14">
        <f t="shared" si="137"/>
        <v>0.10617334830661575</v>
      </c>
      <c r="AD95" s="13">
        <f t="shared" si="181"/>
        <v>0.11020009190591863</v>
      </c>
      <c r="AE95" s="15">
        <f t="shared" si="182"/>
        <v>2.1279358500000001E-2</v>
      </c>
      <c r="AF95" s="6">
        <v>6.9000000000000006E-2</v>
      </c>
      <c r="AG95" s="6">
        <v>1.64</v>
      </c>
      <c r="AH95" s="12">
        <v>0.5</v>
      </c>
      <c r="AI95" s="12">
        <v>10.5</v>
      </c>
      <c r="AJ95" s="7">
        <v>89</v>
      </c>
      <c r="AK95" s="12">
        <v>2.3333333333333335</v>
      </c>
      <c r="AL95" s="12">
        <f t="shared" si="138"/>
        <v>0.26154622500000002</v>
      </c>
      <c r="AM95" s="12">
        <f t="shared" si="139"/>
        <v>0.428935809</v>
      </c>
      <c r="AN95" s="18">
        <f t="shared" si="140"/>
        <v>2.1446790449999998E-3</v>
      </c>
      <c r="AO95" s="8">
        <f t="shared" si="141"/>
        <v>4.5038259944999999E-2</v>
      </c>
      <c r="AP95" s="12">
        <f t="shared" si="142"/>
        <v>0.38175287001000002</v>
      </c>
      <c r="AQ95" s="12">
        <f t="shared" si="143"/>
        <v>1.0008502210000001</v>
      </c>
      <c r="AR95" s="18">
        <f t="shared" si="144"/>
        <v>1.0204382896109997E-2</v>
      </c>
      <c r="AS95" s="8">
        <f t="shared" si="145"/>
        <v>6.1788203286449989E-2</v>
      </c>
      <c r="AT95" s="8">
        <f t="shared" si="146"/>
        <v>7.65650419065E-2</v>
      </c>
      <c r="AU95" s="8">
        <f t="shared" si="147"/>
        <v>0.64897987901700005</v>
      </c>
      <c r="AV95" s="8">
        <f t="shared" si="148"/>
        <v>7.0059515470000004</v>
      </c>
      <c r="AW95" s="8">
        <f t="shared" si="149"/>
        <v>1.7347450923386999E-2</v>
      </c>
      <c r="AX95" s="8">
        <f t="shared" si="150"/>
        <v>0.10503994558696501</v>
      </c>
      <c r="AY95" s="495">
        <f t="shared" si="183"/>
        <v>0.10816386678455643</v>
      </c>
      <c r="AZ95" s="8">
        <f t="shared" si="151"/>
        <v>1.24476E-2</v>
      </c>
      <c r="BA95" s="6">
        <v>1.7</v>
      </c>
      <c r="BB95" s="6">
        <v>1.7</v>
      </c>
      <c r="BC95" s="6">
        <v>7</v>
      </c>
      <c r="BD95" s="21">
        <v>7.3999999999999996E-2</v>
      </c>
      <c r="BE95" s="20">
        <v>0.27</v>
      </c>
      <c r="BF95" s="9">
        <v>1.7999999999999999E-2</v>
      </c>
      <c r="BG95" s="9">
        <v>0.13</v>
      </c>
      <c r="BH95" s="28">
        <f t="shared" si="152"/>
        <v>2.6920763999999991E-3</v>
      </c>
      <c r="BI95" s="15">
        <f t="shared" si="153"/>
        <v>1.6300697999999999E-2</v>
      </c>
      <c r="BJ95" s="12">
        <v>0.75</v>
      </c>
      <c r="BK95" s="12">
        <v>1.2</v>
      </c>
      <c r="BL95" s="7">
        <v>25</v>
      </c>
      <c r="BM95" s="7">
        <v>30</v>
      </c>
      <c r="BN95" s="7">
        <v>45</v>
      </c>
      <c r="BO95" s="8">
        <f t="shared" si="154"/>
        <v>1.9615966875E-3</v>
      </c>
      <c r="BP95" s="8">
        <f t="shared" si="155"/>
        <v>2.3539160250000001E-3</v>
      </c>
      <c r="BQ95" s="8">
        <f t="shared" si="156"/>
        <v>5.8847900625000002E-4</v>
      </c>
      <c r="BR95" s="8">
        <f t="shared" si="157"/>
        <v>7.0617480749999998E-4</v>
      </c>
      <c r="BS95" s="8">
        <f t="shared" si="158"/>
        <v>1.05926221125E-3</v>
      </c>
      <c r="BT95" s="18">
        <f t="shared" si="159"/>
        <v>1.4370657332625001E-4</v>
      </c>
      <c r="BU95" s="8">
        <f t="shared" si="160"/>
        <v>5.7200159407499996E-4</v>
      </c>
      <c r="BV95" s="8">
        <f t="shared" si="161"/>
        <v>1.2004971727499999E-3</v>
      </c>
      <c r="BW95" s="8">
        <f t="shared" si="162"/>
        <v>1.8007457591249999E-3</v>
      </c>
      <c r="BX95" s="18">
        <f t="shared" si="163"/>
        <v>2.4430117465462495E-4</v>
      </c>
      <c r="BY95" s="8">
        <f t="shared" si="164"/>
        <v>9.7240270992749985E-4</v>
      </c>
      <c r="BZ95" s="12">
        <f t="shared" si="165"/>
        <v>0.55000000000000004</v>
      </c>
      <c r="CA95" s="12">
        <f t="shared" si="184"/>
        <v>0.43481967213114747</v>
      </c>
      <c r="CB95" s="6">
        <v>1.7</v>
      </c>
      <c r="CC95" s="6">
        <v>1.7</v>
      </c>
      <c r="CD95" s="15">
        <v>0.16</v>
      </c>
      <c r="CE95" s="9">
        <v>0.48</v>
      </c>
      <c r="CF95" s="9">
        <v>2.9000000000000001E-2</v>
      </c>
      <c r="CG95" s="11">
        <v>0.22</v>
      </c>
      <c r="CH95" s="28">
        <f t="shared" si="185"/>
        <v>3.7912050000000009E-5</v>
      </c>
      <c r="CI95" s="15">
        <f t="shared" si="166"/>
        <v>1.50903E-4</v>
      </c>
      <c r="CJ95" s="12">
        <v>0.15</v>
      </c>
      <c r="CK95" s="12">
        <v>1</v>
      </c>
      <c r="CL95" s="7">
        <v>2</v>
      </c>
      <c r="CM95" s="7">
        <v>23</v>
      </c>
      <c r="CN95" s="7">
        <v>75</v>
      </c>
      <c r="CO95" s="8">
        <f t="shared" si="167"/>
        <v>3.9231933750000003E-4</v>
      </c>
      <c r="CP95" s="8">
        <f t="shared" si="168"/>
        <v>3.9231933750000003E-4</v>
      </c>
      <c r="CQ95" s="18">
        <f t="shared" si="169"/>
        <v>7.8463867500000004E-6</v>
      </c>
      <c r="CR95" s="8">
        <f t="shared" si="170"/>
        <v>9.0233447625000015E-5</v>
      </c>
      <c r="CS95" s="8">
        <f t="shared" si="171"/>
        <v>2.9423950312500001E-4</v>
      </c>
      <c r="CT95" s="18">
        <f t="shared" si="172"/>
        <v>2.0938083042374997E-5</v>
      </c>
      <c r="CU95" s="8">
        <f t="shared" si="173"/>
        <v>9.4705888072500001E-5</v>
      </c>
      <c r="CV95" s="8">
        <f t="shared" si="174"/>
        <v>1.5339686096250003E-4</v>
      </c>
      <c r="CW95" s="8">
        <f t="shared" si="175"/>
        <v>5.0020715531249997E-4</v>
      </c>
      <c r="CX95" s="18">
        <f t="shared" si="176"/>
        <v>3.5594741172037506E-5</v>
      </c>
      <c r="CY95" s="8">
        <f t="shared" si="177"/>
        <v>1.6100000972324999E-4</v>
      </c>
      <c r="CZ95" s="12">
        <f t="shared" si="178"/>
        <v>0.25</v>
      </c>
      <c r="DA95" s="12">
        <f t="shared" si="186"/>
        <v>0.25526690391459073</v>
      </c>
      <c r="DB95" s="6">
        <v>1.7</v>
      </c>
      <c r="DC95" s="6">
        <v>1.7</v>
      </c>
      <c r="DD95" s="9">
        <v>0.14399999999999999</v>
      </c>
      <c r="DE95" s="9">
        <v>0.43</v>
      </c>
      <c r="DF95" s="15">
        <v>2.7E-2</v>
      </c>
      <c r="DG95" s="13">
        <v>0.19</v>
      </c>
      <c r="DH95" s="28">
        <f t="shared" si="179"/>
        <v>5.523795E-6</v>
      </c>
      <c r="DI95" s="29">
        <f t="shared" si="180"/>
        <v>2.4984900000000002E-5</v>
      </c>
    </row>
    <row r="96" spans="1:113" x14ac:dyDescent="0.25">
      <c r="A96" s="85">
        <v>88</v>
      </c>
      <c r="B96" s="35" t="s">
        <v>26</v>
      </c>
      <c r="C96" s="35" t="s">
        <v>28</v>
      </c>
      <c r="D96" s="19" t="s">
        <v>172</v>
      </c>
      <c r="E96" s="33">
        <v>4</v>
      </c>
      <c r="F96" s="9">
        <v>110</v>
      </c>
      <c r="G96" s="32">
        <v>18.5</v>
      </c>
      <c r="H96" s="19" t="s">
        <v>99</v>
      </c>
      <c r="I96" s="31" t="s">
        <v>99</v>
      </c>
      <c r="J96" s="32" t="s">
        <v>99</v>
      </c>
      <c r="K96" s="2" t="str">
        <f t="shared" si="123"/>
        <v>Statlig Landsbygd MV 110 18,5 - -</v>
      </c>
      <c r="L96" s="2"/>
      <c r="M96" s="32" t="s">
        <v>99</v>
      </c>
      <c r="N96" s="53">
        <f>'Beräkna - Länk'!$C$26</f>
        <v>1</v>
      </c>
      <c r="O96" s="53">
        <f>'Beräkna - Länk'!$C$24/('Beräkna - Länk'!$C$27)^('Beräkna - Länk'!$C$25-2010)</f>
        <v>10385</v>
      </c>
      <c r="P96" s="13">
        <f t="shared" si="124"/>
        <v>3.7905249999999997</v>
      </c>
      <c r="Q96" s="13">
        <f t="shared" si="125"/>
        <v>0.21004246656249997</v>
      </c>
      <c r="R96" s="13">
        <f t="shared" si="126"/>
        <v>0.33569268452499995</v>
      </c>
      <c r="S96" s="28">
        <f t="shared" si="127"/>
        <v>3.9560951320000001E-3</v>
      </c>
      <c r="T96" s="15">
        <f t="shared" si="128"/>
        <v>3.5373444636749997E-2</v>
      </c>
      <c r="U96" s="13">
        <f t="shared" si="129"/>
        <v>0.29636314475624997</v>
      </c>
      <c r="V96" s="13">
        <f t="shared" si="130"/>
        <v>1.0006986</v>
      </c>
      <c r="W96" s="15">
        <f t="shared" si="131"/>
        <v>7.9929687397807501E-3</v>
      </c>
      <c r="X96" s="15">
        <f t="shared" si="132"/>
        <v>4.8242703824865001E-2</v>
      </c>
      <c r="Y96" s="15">
        <f t="shared" si="133"/>
        <v>6.013485588247499E-2</v>
      </c>
      <c r="Z96" s="14">
        <f t="shared" si="134"/>
        <v>0.50381734608562501</v>
      </c>
      <c r="AA96" s="14">
        <f t="shared" si="135"/>
        <v>7.0048902000000002</v>
      </c>
      <c r="AB96" s="13">
        <f t="shared" si="136"/>
        <v>1.3588046857627274E-2</v>
      </c>
      <c r="AC96" s="14">
        <f t="shared" si="137"/>
        <v>8.2012596502270496E-2</v>
      </c>
      <c r="AD96" s="13">
        <f t="shared" si="181"/>
        <v>0.11285440156754439</v>
      </c>
      <c r="AE96" s="15">
        <f t="shared" si="182"/>
        <v>1.6908198999999999E-2</v>
      </c>
      <c r="AF96" s="6">
        <v>5.5E-2</v>
      </c>
      <c r="AG96" s="12">
        <v>1.6</v>
      </c>
      <c r="AH96" s="12">
        <v>1</v>
      </c>
      <c r="AI96" s="12">
        <v>10.5</v>
      </c>
      <c r="AJ96" s="7">
        <v>88.5</v>
      </c>
      <c r="AK96" s="12">
        <v>3</v>
      </c>
      <c r="AL96" s="12">
        <f t="shared" si="138"/>
        <v>0.20847887499999998</v>
      </c>
      <c r="AM96" s="12">
        <f t="shared" si="139"/>
        <v>0.33356619999999998</v>
      </c>
      <c r="AN96" s="18">
        <f t="shared" si="140"/>
        <v>3.3356619999999997E-3</v>
      </c>
      <c r="AO96" s="8">
        <f t="shared" si="141"/>
        <v>3.5024450999999998E-2</v>
      </c>
      <c r="AP96" s="12">
        <f t="shared" si="142"/>
        <v>0.29520608699999995</v>
      </c>
      <c r="AQ96" s="12">
        <f t="shared" si="143"/>
        <v>1.0006986</v>
      </c>
      <c r="AR96" s="18">
        <f t="shared" si="144"/>
        <v>7.90551894E-3</v>
      </c>
      <c r="AS96" s="8">
        <f t="shared" si="145"/>
        <v>4.7833393080000002E-2</v>
      </c>
      <c r="AT96" s="8">
        <f t="shared" si="146"/>
        <v>5.9541566699999993E-2</v>
      </c>
      <c r="AU96" s="8">
        <f t="shared" si="147"/>
        <v>0.50185034789999994</v>
      </c>
      <c r="AV96" s="8">
        <f t="shared" si="148"/>
        <v>7.0048902000000002</v>
      </c>
      <c r="AW96" s="8">
        <f t="shared" si="149"/>
        <v>1.3439382197999996E-2</v>
      </c>
      <c r="AX96" s="8">
        <f t="shared" si="150"/>
        <v>8.1316768235999995E-2</v>
      </c>
      <c r="AY96" s="495">
        <f t="shared" si="183"/>
        <v>0.11134081512108683</v>
      </c>
      <c r="AZ96" s="8">
        <f t="shared" si="151"/>
        <v>1.0120000000000001E-2</v>
      </c>
      <c r="BA96" s="6">
        <v>1.7</v>
      </c>
      <c r="BB96" s="6">
        <v>1.7</v>
      </c>
      <c r="BC96" s="6">
        <v>7</v>
      </c>
      <c r="BD96" s="21">
        <v>7.3999999999999996E-2</v>
      </c>
      <c r="BE96" s="20">
        <v>0.27</v>
      </c>
      <c r="BF96" s="9">
        <v>1.7999999999999999E-2</v>
      </c>
      <c r="BG96" s="9">
        <v>0.13</v>
      </c>
      <c r="BH96" s="28">
        <f t="shared" si="152"/>
        <v>2.0856000000000004E-3</v>
      </c>
      <c r="BI96" s="15">
        <f t="shared" si="153"/>
        <v>1.2619200000000002E-2</v>
      </c>
      <c r="BJ96" s="12">
        <v>0.6</v>
      </c>
      <c r="BK96" s="12">
        <v>1.4</v>
      </c>
      <c r="BL96" s="7">
        <v>35</v>
      </c>
      <c r="BM96" s="7">
        <v>15</v>
      </c>
      <c r="BN96" s="7">
        <v>50</v>
      </c>
      <c r="BO96" s="8">
        <f t="shared" si="154"/>
        <v>1.2508732499999999E-3</v>
      </c>
      <c r="BP96" s="8">
        <f t="shared" si="155"/>
        <v>1.7512225499999997E-3</v>
      </c>
      <c r="BQ96" s="8">
        <f t="shared" si="156"/>
        <v>6.1292789249999988E-4</v>
      </c>
      <c r="BR96" s="8">
        <f t="shared" si="157"/>
        <v>2.6268338249999993E-4</v>
      </c>
      <c r="BS96" s="8">
        <f t="shared" si="158"/>
        <v>8.7561127499999987E-4</v>
      </c>
      <c r="BT96" s="18">
        <f t="shared" si="159"/>
        <v>6.742206817499998E-5</v>
      </c>
      <c r="BU96" s="8">
        <f t="shared" si="160"/>
        <v>3.1872250409999988E-4</v>
      </c>
      <c r="BV96" s="8">
        <f t="shared" si="161"/>
        <v>4.4656175024999987E-4</v>
      </c>
      <c r="BW96" s="8">
        <f t="shared" si="162"/>
        <v>1.4885391674999996E-3</v>
      </c>
      <c r="BX96" s="18">
        <f t="shared" si="163"/>
        <v>1.1461751589749998E-4</v>
      </c>
      <c r="BY96" s="8">
        <f t="shared" si="164"/>
        <v>5.4182825696999981E-4</v>
      </c>
      <c r="BZ96" s="12">
        <f t="shared" si="165"/>
        <v>0.5</v>
      </c>
      <c r="CA96" s="12">
        <f t="shared" si="184"/>
        <v>0.45319587628865976</v>
      </c>
      <c r="CB96" s="6">
        <v>1.7</v>
      </c>
      <c r="CC96" s="6">
        <v>1.7</v>
      </c>
      <c r="CD96" s="15">
        <v>0.16</v>
      </c>
      <c r="CE96" s="9">
        <v>0.48</v>
      </c>
      <c r="CF96" s="9">
        <v>2.9000000000000001E-2</v>
      </c>
      <c r="CG96" s="11">
        <v>0.22</v>
      </c>
      <c r="CH96" s="28">
        <f t="shared" si="185"/>
        <v>1.7786999999999998E-5</v>
      </c>
      <c r="CI96" s="15">
        <f t="shared" si="166"/>
        <v>8.4083999999999976E-5</v>
      </c>
      <c r="CJ96" s="12">
        <v>0.15</v>
      </c>
      <c r="CK96" s="12">
        <v>1.2</v>
      </c>
      <c r="CL96" s="7">
        <v>2</v>
      </c>
      <c r="CM96" s="7">
        <v>23</v>
      </c>
      <c r="CN96" s="7">
        <v>75</v>
      </c>
      <c r="CO96" s="8">
        <f t="shared" si="167"/>
        <v>3.1271831249999997E-4</v>
      </c>
      <c r="CP96" s="8">
        <f t="shared" si="168"/>
        <v>3.7526197499999995E-4</v>
      </c>
      <c r="CQ96" s="18">
        <f t="shared" si="169"/>
        <v>7.5052394999999994E-6</v>
      </c>
      <c r="CR96" s="8">
        <f t="shared" si="170"/>
        <v>8.6310254249999992E-5</v>
      </c>
      <c r="CS96" s="8">
        <f t="shared" si="171"/>
        <v>2.8144648124999995E-4</v>
      </c>
      <c r="CT96" s="18">
        <f t="shared" si="172"/>
        <v>2.0027731605749994E-5</v>
      </c>
      <c r="CU96" s="8">
        <f t="shared" si="173"/>
        <v>9.0588240764999985E-5</v>
      </c>
      <c r="CV96" s="8">
        <f t="shared" si="174"/>
        <v>1.4672743222499999E-4</v>
      </c>
      <c r="CW96" s="8">
        <f t="shared" si="175"/>
        <v>4.7845901812499991E-4</v>
      </c>
      <c r="CX96" s="18">
        <f t="shared" si="176"/>
        <v>3.4047143729774997E-5</v>
      </c>
      <c r="CY96" s="8">
        <f t="shared" si="177"/>
        <v>1.5400000930049999E-4</v>
      </c>
      <c r="CZ96" s="12">
        <f t="shared" si="178"/>
        <v>0.25</v>
      </c>
      <c r="DA96" s="12">
        <f t="shared" si="186"/>
        <v>0.25526690391459078</v>
      </c>
      <c r="DB96" s="6">
        <v>1.7</v>
      </c>
      <c r="DC96" s="6">
        <v>1.7</v>
      </c>
      <c r="DD96" s="9">
        <v>0.14399999999999999</v>
      </c>
      <c r="DE96" s="9">
        <v>0.43</v>
      </c>
      <c r="DF96" s="15">
        <v>2.7E-2</v>
      </c>
      <c r="DG96" s="13">
        <v>0.19</v>
      </c>
      <c r="DH96" s="28">
        <f t="shared" si="179"/>
        <v>5.2836299999999993E-6</v>
      </c>
      <c r="DI96" s="29">
        <f t="shared" si="180"/>
        <v>2.3898599999999998E-5</v>
      </c>
    </row>
    <row r="97" spans="1:113" x14ac:dyDescent="0.25">
      <c r="A97" s="85">
        <v>89</v>
      </c>
      <c r="B97" s="35" t="s">
        <v>26</v>
      </c>
      <c r="C97" s="35" t="s">
        <v>28</v>
      </c>
      <c r="D97" s="19" t="s">
        <v>172</v>
      </c>
      <c r="E97" s="33">
        <v>4</v>
      </c>
      <c r="F97" s="9">
        <v>110</v>
      </c>
      <c r="G97" s="32">
        <v>21.5</v>
      </c>
      <c r="H97" s="19" t="s">
        <v>99</v>
      </c>
      <c r="I97" s="31" t="s">
        <v>99</v>
      </c>
      <c r="J97" s="32" t="s">
        <v>99</v>
      </c>
      <c r="K97" s="2" t="str">
        <f t="shared" si="123"/>
        <v>Statlig Landsbygd MV 110 21,5 - -</v>
      </c>
      <c r="L97" s="2"/>
      <c r="M97" s="32" t="s">
        <v>99</v>
      </c>
      <c r="N97" s="53">
        <f>'Beräkna - Länk'!$C$26</f>
        <v>1</v>
      </c>
      <c r="O97" s="53">
        <f>'Beräkna - Länk'!$C$24/('Beräkna - Länk'!$C$27)^('Beräkna - Länk'!$C$25-2010)</f>
        <v>10385</v>
      </c>
      <c r="P97" s="13">
        <f t="shared" si="124"/>
        <v>3.7905249999999997</v>
      </c>
      <c r="Q97" s="13">
        <f t="shared" si="125"/>
        <v>0.16055526742499998</v>
      </c>
      <c r="R97" s="13">
        <f t="shared" si="126"/>
        <v>0.21995355227999999</v>
      </c>
      <c r="S97" s="28">
        <f t="shared" si="127"/>
        <v>2.7328623902999997E-3</v>
      </c>
      <c r="T97" s="15">
        <f t="shared" si="128"/>
        <v>1.9929549427199999E-2</v>
      </c>
      <c r="U97" s="13">
        <f t="shared" si="129"/>
        <v>0.19729114046249999</v>
      </c>
      <c r="V97" s="13">
        <f t="shared" si="130"/>
        <v>0.65432042550000002</v>
      </c>
      <c r="W97" s="15">
        <f t="shared" si="131"/>
        <v>5.0612824799102993E-3</v>
      </c>
      <c r="X97" s="15">
        <f t="shared" si="132"/>
        <v>3.1171621292196004E-2</v>
      </c>
      <c r="Y97" s="15">
        <f t="shared" si="133"/>
        <v>3.3880234026239998E-2</v>
      </c>
      <c r="Z97" s="14">
        <f t="shared" si="134"/>
        <v>0.33539493878625004</v>
      </c>
      <c r="AA97" s="14">
        <f t="shared" si="135"/>
        <v>4.5802429785000003</v>
      </c>
      <c r="AB97" s="13">
        <f t="shared" si="136"/>
        <v>8.6041802158475077E-3</v>
      </c>
      <c r="AC97" s="14">
        <f t="shared" si="137"/>
        <v>5.2991756196733207E-2</v>
      </c>
      <c r="AD97" s="13">
        <f t="shared" si="181"/>
        <v>9.8420176318453345E-2</v>
      </c>
      <c r="AE97" s="15">
        <f t="shared" si="182"/>
        <v>9.6591096000000001E-3</v>
      </c>
      <c r="AF97" s="6">
        <v>4.2000000000000003E-2</v>
      </c>
      <c r="AG97" s="6">
        <v>1.37</v>
      </c>
      <c r="AH97" s="12">
        <v>1</v>
      </c>
      <c r="AI97" s="12">
        <v>9</v>
      </c>
      <c r="AJ97" s="7">
        <v>90</v>
      </c>
      <c r="AK97" s="12">
        <v>3</v>
      </c>
      <c r="AL97" s="12">
        <f t="shared" si="138"/>
        <v>0.15920204999999998</v>
      </c>
      <c r="AM97" s="12">
        <f t="shared" si="139"/>
        <v>0.2181068085</v>
      </c>
      <c r="AN97" s="18">
        <f t="shared" si="140"/>
        <v>2.1810680850000001E-3</v>
      </c>
      <c r="AO97" s="8">
        <f t="shared" si="141"/>
        <v>1.9629612764999999E-2</v>
      </c>
      <c r="AP97" s="12">
        <f t="shared" si="142"/>
        <v>0.19629612765000001</v>
      </c>
      <c r="AQ97" s="12">
        <f t="shared" si="143"/>
        <v>0.65432042550000002</v>
      </c>
      <c r="AR97" s="18">
        <f t="shared" si="144"/>
        <v>4.9859216423099994E-3</v>
      </c>
      <c r="AS97" s="8">
        <f t="shared" si="145"/>
        <v>3.0818492041050003E-2</v>
      </c>
      <c r="AT97" s="8">
        <f t="shared" si="146"/>
        <v>3.3370341700499996E-2</v>
      </c>
      <c r="AU97" s="8">
        <f t="shared" si="147"/>
        <v>0.333703417005</v>
      </c>
      <c r="AV97" s="8">
        <f t="shared" si="148"/>
        <v>4.5802429785000003</v>
      </c>
      <c r="AW97" s="8">
        <f t="shared" si="149"/>
        <v>8.4760667919269988E-3</v>
      </c>
      <c r="AX97" s="8">
        <f t="shared" si="150"/>
        <v>5.2391436469785002E-2</v>
      </c>
      <c r="AY97" s="495">
        <f t="shared" si="183"/>
        <v>9.6278795038393386E-2</v>
      </c>
      <c r="AZ97" s="8">
        <f t="shared" si="151"/>
        <v>5.7540000000000004E-3</v>
      </c>
      <c r="BA97" s="6">
        <v>1.7</v>
      </c>
      <c r="BB97" s="6">
        <v>1.7</v>
      </c>
      <c r="BC97" s="6">
        <v>7</v>
      </c>
      <c r="BD97" s="21">
        <v>7.3999999999999996E-2</v>
      </c>
      <c r="BE97" s="20">
        <v>0.27</v>
      </c>
      <c r="BF97" s="9">
        <v>1.7999999999999999E-2</v>
      </c>
      <c r="BG97" s="9">
        <v>0.13</v>
      </c>
      <c r="BH97" s="28">
        <f t="shared" si="152"/>
        <v>1.3153644E-3</v>
      </c>
      <c r="BI97" s="15">
        <f t="shared" si="153"/>
        <v>8.1304020000000018E-3</v>
      </c>
      <c r="BJ97" s="12">
        <v>0.7</v>
      </c>
      <c r="BK97" s="12">
        <v>1.4</v>
      </c>
      <c r="BL97" s="7">
        <v>35</v>
      </c>
      <c r="BM97" s="7">
        <v>15</v>
      </c>
      <c r="BN97" s="7">
        <v>50</v>
      </c>
      <c r="BO97" s="8">
        <f t="shared" si="154"/>
        <v>1.1144143499999997E-3</v>
      </c>
      <c r="BP97" s="8">
        <f t="shared" si="155"/>
        <v>1.5601800899999994E-3</v>
      </c>
      <c r="BQ97" s="8">
        <f t="shared" si="156"/>
        <v>5.4606303149999972E-4</v>
      </c>
      <c r="BR97" s="8">
        <f t="shared" si="157"/>
        <v>2.3402701349999991E-4</v>
      </c>
      <c r="BS97" s="8">
        <f t="shared" si="158"/>
        <v>7.8009004499999971E-4</v>
      </c>
      <c r="BT97" s="18">
        <f t="shared" si="159"/>
        <v>6.006693346499999E-5</v>
      </c>
      <c r="BU97" s="8">
        <f t="shared" si="160"/>
        <v>2.8395277637999997E-4</v>
      </c>
      <c r="BV97" s="8">
        <f t="shared" si="161"/>
        <v>3.9784592294999982E-4</v>
      </c>
      <c r="BW97" s="8">
        <f t="shared" si="162"/>
        <v>1.3261530764999995E-3</v>
      </c>
      <c r="BX97" s="18">
        <f t="shared" si="163"/>
        <v>1.0211378689049995E-4</v>
      </c>
      <c r="BY97" s="8">
        <f t="shared" si="164"/>
        <v>4.8271971984599981E-4</v>
      </c>
      <c r="BZ97" s="12">
        <f t="shared" si="165"/>
        <v>0.5</v>
      </c>
      <c r="CA97" s="12">
        <f t="shared" si="184"/>
        <v>0.4531958762886597</v>
      </c>
      <c r="CB97" s="6">
        <v>1.7</v>
      </c>
      <c r="CC97" s="6">
        <v>1.7</v>
      </c>
      <c r="CD97" s="15">
        <v>0.16</v>
      </c>
      <c r="CE97" s="9">
        <v>0.48</v>
      </c>
      <c r="CF97" s="9">
        <v>2.9000000000000001E-2</v>
      </c>
      <c r="CG97" s="11">
        <v>0.22</v>
      </c>
      <c r="CH97" s="28">
        <f t="shared" si="185"/>
        <v>1.5846599999999998E-5</v>
      </c>
      <c r="CI97" s="15">
        <f t="shared" si="166"/>
        <v>7.4911200000000002E-5</v>
      </c>
      <c r="CJ97" s="12">
        <v>0.15</v>
      </c>
      <c r="CK97" s="12">
        <v>1.2</v>
      </c>
      <c r="CL97" s="7">
        <v>2</v>
      </c>
      <c r="CM97" s="7">
        <v>23</v>
      </c>
      <c r="CN97" s="7">
        <v>75</v>
      </c>
      <c r="CO97" s="8">
        <f t="shared" si="167"/>
        <v>2.3880307499999997E-4</v>
      </c>
      <c r="CP97" s="8">
        <f t="shared" si="168"/>
        <v>2.8656368999999994E-4</v>
      </c>
      <c r="CQ97" s="18">
        <f t="shared" si="169"/>
        <v>5.7312737999999986E-6</v>
      </c>
      <c r="CR97" s="8">
        <f t="shared" si="170"/>
        <v>6.5909648699999989E-5</v>
      </c>
      <c r="CS97" s="8">
        <f t="shared" si="171"/>
        <v>2.1492276749999996E-4</v>
      </c>
      <c r="CT97" s="18">
        <f t="shared" si="172"/>
        <v>1.5293904135299998E-5</v>
      </c>
      <c r="CU97" s="8">
        <f t="shared" si="173"/>
        <v>6.9176474765999995E-5</v>
      </c>
      <c r="CV97" s="8">
        <f t="shared" si="174"/>
        <v>1.1204640278999998E-4</v>
      </c>
      <c r="CW97" s="8">
        <f t="shared" si="175"/>
        <v>3.6536870474999992E-4</v>
      </c>
      <c r="CX97" s="18">
        <f t="shared" si="176"/>
        <v>2.5999637030009993E-5</v>
      </c>
      <c r="CY97" s="8">
        <f t="shared" si="177"/>
        <v>1.1760000710219997E-4</v>
      </c>
      <c r="CZ97" s="12">
        <f t="shared" si="178"/>
        <v>0.25</v>
      </c>
      <c r="DA97" s="12">
        <f t="shared" si="186"/>
        <v>0.25526690391459078</v>
      </c>
      <c r="DB97" s="6">
        <v>1.7</v>
      </c>
      <c r="DC97" s="6">
        <v>1.7</v>
      </c>
      <c r="DD97" s="9">
        <v>0.14399999999999999</v>
      </c>
      <c r="DE97" s="9">
        <v>0.43</v>
      </c>
      <c r="DF97" s="15">
        <v>2.7E-2</v>
      </c>
      <c r="DG97" s="13">
        <v>0.19</v>
      </c>
      <c r="DH97" s="28">
        <f t="shared" si="179"/>
        <v>4.034772E-6</v>
      </c>
      <c r="DI97" s="29">
        <f t="shared" si="180"/>
        <v>1.8249839999999999E-5</v>
      </c>
    </row>
    <row r="98" spans="1:113" x14ac:dyDescent="0.25">
      <c r="A98" s="85">
        <v>90</v>
      </c>
      <c r="B98" s="35" t="s">
        <v>26</v>
      </c>
      <c r="C98" s="35" t="s">
        <v>28</v>
      </c>
      <c r="D98" s="19" t="s">
        <v>172</v>
      </c>
      <c r="E98" s="33">
        <v>4</v>
      </c>
      <c r="F98" s="9">
        <v>110</v>
      </c>
      <c r="G98" s="32" t="s">
        <v>47</v>
      </c>
      <c r="H98" s="19" t="s">
        <v>99</v>
      </c>
      <c r="I98" s="31" t="s">
        <v>99</v>
      </c>
      <c r="J98" s="34" t="s">
        <v>44</v>
      </c>
      <c r="K98" s="2" t="str">
        <f t="shared" si="123"/>
        <v>Statlig Landsbygd MV 110 &gt;24,5 - -</v>
      </c>
      <c r="L98" s="2"/>
      <c r="M98" s="32" t="s">
        <v>99</v>
      </c>
      <c r="N98" s="53">
        <f>'Beräkna - Länk'!$C$26</f>
        <v>1</v>
      </c>
      <c r="O98" s="53">
        <f>'Beräkna - Länk'!$C$24/('Beräkna - Länk'!$C$27)^('Beräkna - Länk'!$C$25-2010)</f>
        <v>10385</v>
      </c>
      <c r="P98" s="13">
        <f t="shared" si="124"/>
        <v>3.7905249999999997</v>
      </c>
      <c r="Q98" s="13">
        <f t="shared" si="125"/>
        <v>0.18349173420000001</v>
      </c>
      <c r="R98" s="13">
        <f t="shared" si="126"/>
        <v>0.28594507632000005</v>
      </c>
      <c r="S98" s="28">
        <f t="shared" si="127"/>
        <v>3.7528016952000009E-3</v>
      </c>
      <c r="T98" s="15">
        <f t="shared" si="128"/>
        <v>3.1280746564800004E-2</v>
      </c>
      <c r="U98" s="13">
        <f t="shared" si="129"/>
        <v>0.25091152806000006</v>
      </c>
      <c r="V98" s="13">
        <f t="shared" si="130"/>
        <v>0.66228052800000015</v>
      </c>
      <c r="W98" s="15">
        <f t="shared" si="131"/>
        <v>6.8714745154151999E-3</v>
      </c>
      <c r="X98" s="15">
        <f t="shared" si="132"/>
        <v>4.122749414798401E-2</v>
      </c>
      <c r="Y98" s="15">
        <f t="shared" si="133"/>
        <v>5.3177269160160009E-2</v>
      </c>
      <c r="Z98" s="14">
        <f t="shared" si="134"/>
        <v>0.42654959770200007</v>
      </c>
      <c r="AA98" s="14">
        <f t="shared" si="135"/>
        <v>4.635963696000001</v>
      </c>
      <c r="AB98" s="13">
        <f t="shared" si="136"/>
        <v>1.1681506676205841E-2</v>
      </c>
      <c r="AC98" s="14">
        <f t="shared" si="137"/>
        <v>7.0086740051572824E-2</v>
      </c>
      <c r="AD98" s="13">
        <f t="shared" si="181"/>
        <v>0.11775070299281018</v>
      </c>
      <c r="AE98" s="15">
        <f t="shared" si="182"/>
        <v>1.5019046400000005E-2</v>
      </c>
      <c r="AF98" s="6">
        <v>4.8000000000000001E-2</v>
      </c>
      <c r="AG98" s="6">
        <v>1.56</v>
      </c>
      <c r="AH98" s="12">
        <v>1.1000000000000001</v>
      </c>
      <c r="AI98" s="12">
        <v>10.9</v>
      </c>
      <c r="AJ98" s="7">
        <v>88</v>
      </c>
      <c r="AK98" s="12">
        <v>2.3333333333333335</v>
      </c>
      <c r="AL98" s="12">
        <f t="shared" si="138"/>
        <v>0.1819452</v>
      </c>
      <c r="AM98" s="12">
        <f t="shared" si="139"/>
        <v>0.28383451200000004</v>
      </c>
      <c r="AN98" s="18">
        <f t="shared" si="140"/>
        <v>3.1221796320000006E-3</v>
      </c>
      <c r="AO98" s="8">
        <f t="shared" si="141"/>
        <v>3.0937961808000004E-2</v>
      </c>
      <c r="AP98" s="12">
        <f t="shared" si="142"/>
        <v>0.24977437056000004</v>
      </c>
      <c r="AQ98" s="12">
        <f t="shared" si="143"/>
        <v>0.66228052800000015</v>
      </c>
      <c r="AR98" s="18">
        <f t="shared" si="144"/>
        <v>6.7853478438719998E-3</v>
      </c>
      <c r="AS98" s="8">
        <f t="shared" si="145"/>
        <v>4.0823917860960006E-2</v>
      </c>
      <c r="AT98" s="8">
        <f t="shared" si="146"/>
        <v>5.2594535073600006E-2</v>
      </c>
      <c r="AU98" s="8">
        <f t="shared" si="147"/>
        <v>0.42461642995200005</v>
      </c>
      <c r="AV98" s="8">
        <f t="shared" si="148"/>
        <v>4.635963696000001</v>
      </c>
      <c r="AW98" s="8">
        <f t="shared" si="149"/>
        <v>1.1535091334582401E-2</v>
      </c>
      <c r="AX98" s="8">
        <f t="shared" si="150"/>
        <v>6.9400660363632016E-2</v>
      </c>
      <c r="AY98" s="495">
        <f t="shared" si="183"/>
        <v>0.11599598179991727</v>
      </c>
      <c r="AZ98" s="8">
        <f t="shared" si="151"/>
        <v>8.9855999999999998E-3</v>
      </c>
      <c r="BA98" s="6">
        <v>1.7</v>
      </c>
      <c r="BB98" s="6">
        <v>1.7</v>
      </c>
      <c r="BC98" s="6">
        <v>7</v>
      </c>
      <c r="BD98" s="21">
        <v>7.3999999999999996E-2</v>
      </c>
      <c r="BE98" s="20">
        <v>0.27</v>
      </c>
      <c r="BF98" s="9">
        <v>1.7999999999999999E-2</v>
      </c>
      <c r="BG98" s="9">
        <v>0.13</v>
      </c>
      <c r="BH98" s="28">
        <f t="shared" si="152"/>
        <v>1.7900812800000002E-3</v>
      </c>
      <c r="BI98" s="15">
        <f t="shared" si="153"/>
        <v>1.0769990400000002E-2</v>
      </c>
      <c r="BJ98" s="12">
        <v>0.7</v>
      </c>
      <c r="BK98" s="12">
        <v>1.4</v>
      </c>
      <c r="BL98" s="7">
        <v>35</v>
      </c>
      <c r="BM98" s="7">
        <v>15</v>
      </c>
      <c r="BN98" s="7">
        <v>50</v>
      </c>
      <c r="BO98" s="8">
        <f t="shared" si="154"/>
        <v>1.2736163999999999E-3</v>
      </c>
      <c r="BP98" s="8">
        <f t="shared" si="155"/>
        <v>1.7830629599999998E-3</v>
      </c>
      <c r="BQ98" s="8">
        <f t="shared" si="156"/>
        <v>6.2407203599999989E-4</v>
      </c>
      <c r="BR98" s="8">
        <f t="shared" si="157"/>
        <v>2.6745944399999996E-4</v>
      </c>
      <c r="BS98" s="8">
        <f t="shared" si="158"/>
        <v>8.9153147999999991E-4</v>
      </c>
      <c r="BT98" s="18">
        <f t="shared" si="159"/>
        <v>6.864792395999999E-5</v>
      </c>
      <c r="BU98" s="8">
        <f t="shared" si="160"/>
        <v>3.2451745871999994E-4</v>
      </c>
      <c r="BV98" s="8">
        <f t="shared" si="161"/>
        <v>4.546810547999999E-4</v>
      </c>
      <c r="BW98" s="8">
        <f t="shared" si="162"/>
        <v>1.5156035159999998E-3</v>
      </c>
      <c r="BX98" s="18">
        <f t="shared" si="163"/>
        <v>1.1670147073199999E-4</v>
      </c>
      <c r="BY98" s="8">
        <f t="shared" si="164"/>
        <v>5.5167967982399984E-4</v>
      </c>
      <c r="BZ98" s="12">
        <f t="shared" si="165"/>
        <v>0.5</v>
      </c>
      <c r="CA98" s="12">
        <f t="shared" si="184"/>
        <v>0.4531958762886597</v>
      </c>
      <c r="CB98" s="6">
        <v>1.7</v>
      </c>
      <c r="CC98" s="6">
        <v>1.7</v>
      </c>
      <c r="CD98" s="15">
        <v>0.16</v>
      </c>
      <c r="CE98" s="9">
        <v>0.48</v>
      </c>
      <c r="CF98" s="9">
        <v>2.9000000000000001E-2</v>
      </c>
      <c r="CG98" s="11">
        <v>0.22</v>
      </c>
      <c r="CH98" s="28">
        <f t="shared" si="185"/>
        <v>1.8110399999999999E-5</v>
      </c>
      <c r="CI98" s="15">
        <f t="shared" si="166"/>
        <v>8.5612799999999995E-5</v>
      </c>
      <c r="CJ98" s="12">
        <v>0.15</v>
      </c>
      <c r="CK98" s="12">
        <v>1.2</v>
      </c>
      <c r="CL98" s="7">
        <v>2</v>
      </c>
      <c r="CM98" s="7">
        <v>23</v>
      </c>
      <c r="CN98" s="7">
        <v>75</v>
      </c>
      <c r="CO98" s="8">
        <f t="shared" si="167"/>
        <v>2.7291780000000002E-4</v>
      </c>
      <c r="CP98" s="8">
        <f t="shared" si="168"/>
        <v>3.2750136000000003E-4</v>
      </c>
      <c r="CQ98" s="18">
        <f t="shared" si="169"/>
        <v>6.5500272000000004E-6</v>
      </c>
      <c r="CR98" s="8">
        <f t="shared" si="170"/>
        <v>7.5325312800000015E-5</v>
      </c>
      <c r="CS98" s="8">
        <f t="shared" si="171"/>
        <v>2.4562602000000001E-4</v>
      </c>
      <c r="CT98" s="18">
        <f t="shared" si="172"/>
        <v>1.74787475832E-5</v>
      </c>
      <c r="CU98" s="8">
        <f t="shared" si="173"/>
        <v>7.9058828304000002E-5</v>
      </c>
      <c r="CV98" s="8">
        <f t="shared" si="174"/>
        <v>1.2805303176000003E-4</v>
      </c>
      <c r="CW98" s="8">
        <f t="shared" si="175"/>
        <v>4.1756423400000003E-4</v>
      </c>
      <c r="CX98" s="18">
        <f t="shared" si="176"/>
        <v>2.9713870891440003E-5</v>
      </c>
      <c r="CY98" s="8">
        <f t="shared" si="177"/>
        <v>1.3440000811680003E-4</v>
      </c>
      <c r="CZ98" s="12">
        <f t="shared" si="178"/>
        <v>0.25</v>
      </c>
      <c r="DA98" s="12">
        <f t="shared" si="186"/>
        <v>0.25526690391459073</v>
      </c>
      <c r="DB98" s="6">
        <v>1.7</v>
      </c>
      <c r="DC98" s="6">
        <v>1.7</v>
      </c>
      <c r="DD98" s="9">
        <v>0.14399999999999999</v>
      </c>
      <c r="DE98" s="9">
        <v>0.43</v>
      </c>
      <c r="DF98" s="15">
        <v>2.7E-2</v>
      </c>
      <c r="DG98" s="13">
        <v>0.19</v>
      </c>
      <c r="DH98" s="28">
        <f t="shared" si="179"/>
        <v>4.611168E-6</v>
      </c>
      <c r="DI98" s="29">
        <f t="shared" si="180"/>
        <v>2.0856960000000001E-5</v>
      </c>
    </row>
    <row r="99" spans="1:113" x14ac:dyDescent="0.25">
      <c r="A99" s="85">
        <v>91</v>
      </c>
      <c r="B99" s="35" t="s">
        <v>26</v>
      </c>
      <c r="C99" s="35" t="s">
        <v>28</v>
      </c>
      <c r="D99" s="19" t="s">
        <v>172</v>
      </c>
      <c r="E99" s="32" t="s">
        <v>60</v>
      </c>
      <c r="F99" s="9">
        <v>110</v>
      </c>
      <c r="G99" s="32" t="s">
        <v>47</v>
      </c>
      <c r="H99" s="19" t="s">
        <v>99</v>
      </c>
      <c r="I99" s="31" t="s">
        <v>99</v>
      </c>
      <c r="J99" s="34" t="s">
        <v>45</v>
      </c>
      <c r="K99" s="2" t="str">
        <f t="shared" si="123"/>
        <v>Statlig Landsbygd MV 110 &gt;24,5 - -</v>
      </c>
      <c r="L99" s="2"/>
      <c r="M99" s="32" t="s">
        <v>99</v>
      </c>
      <c r="N99" s="53">
        <f>'Beräkna - Länk'!$C$26</f>
        <v>1</v>
      </c>
      <c r="O99" s="53">
        <f>'Beräkna - Länk'!$C$24/('Beräkna - Länk'!$C$27)^('Beräkna - Länk'!$C$25-2010)</f>
        <v>10385</v>
      </c>
      <c r="P99" s="13">
        <f t="shared" si="124"/>
        <v>3.7905249999999997</v>
      </c>
      <c r="Q99" s="13">
        <f t="shared" si="125"/>
        <v>0.21386142050000001</v>
      </c>
      <c r="R99" s="13">
        <f t="shared" si="126"/>
        <v>0.33755079988000009</v>
      </c>
      <c r="S99" s="28">
        <f t="shared" si="127"/>
        <v>4.3209559064000006E-3</v>
      </c>
      <c r="T99" s="15">
        <f t="shared" si="128"/>
        <v>3.6912375043600003E-2</v>
      </c>
      <c r="U99" s="13">
        <f t="shared" si="129"/>
        <v>0.29631746892999999</v>
      </c>
      <c r="V99" s="13">
        <f t="shared" si="130"/>
        <v>0.78256652133333349</v>
      </c>
      <c r="W99" s="15">
        <f t="shared" si="131"/>
        <v>8.1067691928524005E-3</v>
      </c>
      <c r="X99" s="15">
        <f t="shared" si="132"/>
        <v>4.8655271085568004E-2</v>
      </c>
      <c r="Y99" s="15">
        <f t="shared" si="133"/>
        <v>6.2751037574119997E-2</v>
      </c>
      <c r="Z99" s="14">
        <f t="shared" si="134"/>
        <v>0.50373969718099998</v>
      </c>
      <c r="AA99" s="14">
        <f t="shared" si="135"/>
        <v>5.4779656493333349</v>
      </c>
      <c r="AB99" s="13">
        <f t="shared" si="136"/>
        <v>1.3781507627849078E-2</v>
      </c>
      <c r="AC99" s="14">
        <f t="shared" si="137"/>
        <v>8.2713960845465617E-2</v>
      </c>
      <c r="AD99" s="13">
        <f t="shared" si="181"/>
        <v>0.11750283776211648</v>
      </c>
      <c r="AE99" s="15">
        <f t="shared" si="182"/>
        <v>1.7694644799999999E-2</v>
      </c>
      <c r="AF99" s="6">
        <v>5.6000000000000001E-2</v>
      </c>
      <c r="AG99" s="6">
        <v>1.58</v>
      </c>
      <c r="AH99" s="12">
        <v>1.1000000000000001</v>
      </c>
      <c r="AI99" s="12">
        <v>10.9</v>
      </c>
      <c r="AJ99" s="7">
        <v>88</v>
      </c>
      <c r="AK99" s="12">
        <v>2.3333333333333335</v>
      </c>
      <c r="AL99" s="12">
        <f t="shared" si="138"/>
        <v>0.2122694</v>
      </c>
      <c r="AM99" s="12">
        <f t="shared" si="139"/>
        <v>0.33538565200000003</v>
      </c>
      <c r="AN99" s="18">
        <f t="shared" si="140"/>
        <v>3.6892421720000007E-3</v>
      </c>
      <c r="AO99" s="8">
        <f t="shared" si="141"/>
        <v>3.6557036068000003E-2</v>
      </c>
      <c r="AP99" s="12">
        <f t="shared" si="142"/>
        <v>0.29513937375999999</v>
      </c>
      <c r="AQ99" s="12">
        <f t="shared" si="143"/>
        <v>0.78256652133333349</v>
      </c>
      <c r="AR99" s="18">
        <f t="shared" si="144"/>
        <v>8.0177293967119995E-3</v>
      </c>
      <c r="AS99" s="8">
        <f t="shared" si="145"/>
        <v>4.8238518327160002E-2</v>
      </c>
      <c r="AT99" s="8">
        <f t="shared" si="146"/>
        <v>6.2146961315600005E-2</v>
      </c>
      <c r="AU99" s="8">
        <f t="shared" si="147"/>
        <v>0.50173693539199993</v>
      </c>
      <c r="AV99" s="8">
        <f t="shared" si="148"/>
        <v>5.4779656493333349</v>
      </c>
      <c r="AW99" s="8">
        <f t="shared" si="149"/>
        <v>1.3630139974410399E-2</v>
      </c>
      <c r="AX99" s="8">
        <f t="shared" si="150"/>
        <v>8.2005481156171997E-2</v>
      </c>
      <c r="AY99" s="495">
        <f t="shared" si="183"/>
        <v>0.11599598179991731</v>
      </c>
      <c r="AZ99" s="8">
        <f t="shared" si="151"/>
        <v>1.06176E-2</v>
      </c>
      <c r="BA99" s="6">
        <v>1.7</v>
      </c>
      <c r="BB99" s="6">
        <v>1.7</v>
      </c>
      <c r="BC99" s="6">
        <v>7</v>
      </c>
      <c r="BD99" s="21">
        <v>7.3999999999999996E-2</v>
      </c>
      <c r="BE99" s="20">
        <v>0.27</v>
      </c>
      <c r="BF99" s="9">
        <v>1.7999999999999999E-2</v>
      </c>
      <c r="BG99" s="9">
        <v>0.13</v>
      </c>
      <c r="BH99" s="28">
        <f t="shared" si="152"/>
        <v>2.11520288E-3</v>
      </c>
      <c r="BI99" s="15">
        <f t="shared" si="153"/>
        <v>1.2726078400000002E-2</v>
      </c>
      <c r="BJ99" s="12">
        <v>0.6</v>
      </c>
      <c r="BK99" s="12">
        <v>1.4</v>
      </c>
      <c r="BL99" s="7">
        <v>35</v>
      </c>
      <c r="BM99" s="7">
        <v>15</v>
      </c>
      <c r="BN99" s="7">
        <v>50</v>
      </c>
      <c r="BO99" s="8">
        <f t="shared" si="154"/>
        <v>1.2736163999999999E-3</v>
      </c>
      <c r="BP99" s="8">
        <f t="shared" si="155"/>
        <v>1.7830629599999998E-3</v>
      </c>
      <c r="BQ99" s="8">
        <f t="shared" si="156"/>
        <v>6.2407203599999989E-4</v>
      </c>
      <c r="BR99" s="8">
        <f t="shared" si="157"/>
        <v>2.6745944399999996E-4</v>
      </c>
      <c r="BS99" s="8">
        <f t="shared" si="158"/>
        <v>8.9153147999999991E-4</v>
      </c>
      <c r="BT99" s="18">
        <f t="shared" si="159"/>
        <v>6.8647923960000004E-5</v>
      </c>
      <c r="BU99" s="8">
        <f t="shared" si="160"/>
        <v>3.2451745871999994E-4</v>
      </c>
      <c r="BV99" s="8">
        <f t="shared" si="161"/>
        <v>4.546810547999999E-4</v>
      </c>
      <c r="BW99" s="8">
        <f t="shared" si="162"/>
        <v>1.5156035159999998E-3</v>
      </c>
      <c r="BX99" s="18">
        <f t="shared" si="163"/>
        <v>1.1670147073199999E-4</v>
      </c>
      <c r="BY99" s="8">
        <f t="shared" si="164"/>
        <v>5.5167967982399984E-4</v>
      </c>
      <c r="BZ99" s="12">
        <f t="shared" si="165"/>
        <v>0.5</v>
      </c>
      <c r="CA99" s="12">
        <f t="shared" si="184"/>
        <v>0.4531958762886597</v>
      </c>
      <c r="CB99" s="6">
        <v>1.7</v>
      </c>
      <c r="CC99" s="6">
        <v>1.7</v>
      </c>
      <c r="CD99" s="15">
        <v>0.16</v>
      </c>
      <c r="CE99" s="9">
        <v>0.48</v>
      </c>
      <c r="CF99" s="9">
        <v>2.9000000000000001E-2</v>
      </c>
      <c r="CG99" s="11">
        <v>0.22</v>
      </c>
      <c r="CH99" s="28">
        <f t="shared" si="185"/>
        <v>1.8110400000000002E-5</v>
      </c>
      <c r="CI99" s="15">
        <f t="shared" si="166"/>
        <v>8.5612799999999995E-5</v>
      </c>
      <c r="CJ99" s="12">
        <v>0.15</v>
      </c>
      <c r="CK99" s="12">
        <v>1.2</v>
      </c>
      <c r="CL99" s="7">
        <v>2</v>
      </c>
      <c r="CM99" s="7">
        <v>23</v>
      </c>
      <c r="CN99" s="7">
        <v>75</v>
      </c>
      <c r="CO99" s="8">
        <f t="shared" si="167"/>
        <v>3.1840409999999998E-4</v>
      </c>
      <c r="CP99" s="8">
        <f t="shared" si="168"/>
        <v>3.8208491999999994E-4</v>
      </c>
      <c r="CQ99" s="18">
        <f t="shared" si="169"/>
        <v>7.6416983999999993E-6</v>
      </c>
      <c r="CR99" s="8">
        <f t="shared" si="170"/>
        <v>8.7879531599999985E-5</v>
      </c>
      <c r="CS99" s="8">
        <f t="shared" si="171"/>
        <v>2.8656368999999994E-4</v>
      </c>
      <c r="CT99" s="18">
        <f t="shared" si="172"/>
        <v>2.03918721804E-5</v>
      </c>
      <c r="CU99" s="8">
        <f t="shared" si="173"/>
        <v>9.2235299688000002E-5</v>
      </c>
      <c r="CV99" s="8">
        <f t="shared" si="174"/>
        <v>1.4939520371999996E-4</v>
      </c>
      <c r="CW99" s="8">
        <f t="shared" si="175"/>
        <v>4.871582729999999E-4</v>
      </c>
      <c r="CX99" s="18">
        <f t="shared" si="176"/>
        <v>3.4666182706679989E-5</v>
      </c>
      <c r="CY99" s="8">
        <f t="shared" si="177"/>
        <v>1.5680000946959998E-4</v>
      </c>
      <c r="CZ99" s="12">
        <f t="shared" si="178"/>
        <v>0.25</v>
      </c>
      <c r="DA99" s="12">
        <f t="shared" si="186"/>
        <v>0.25526690391459078</v>
      </c>
      <c r="DB99" s="6">
        <v>1.7</v>
      </c>
      <c r="DC99" s="6">
        <v>1.7</v>
      </c>
      <c r="DD99" s="9">
        <v>0.14399999999999999</v>
      </c>
      <c r="DE99" s="9">
        <v>0.43</v>
      </c>
      <c r="DF99" s="15">
        <v>2.7E-2</v>
      </c>
      <c r="DG99" s="13">
        <v>0.19</v>
      </c>
      <c r="DH99" s="28">
        <f t="shared" si="179"/>
        <v>5.3796960000000002E-6</v>
      </c>
      <c r="DI99" s="29">
        <f t="shared" si="180"/>
        <v>2.4333120000000004E-5</v>
      </c>
    </row>
    <row r="100" spans="1:113" x14ac:dyDescent="0.25">
      <c r="A100" s="85">
        <v>92</v>
      </c>
      <c r="B100" s="35" t="s">
        <v>26</v>
      </c>
      <c r="C100" s="35" t="s">
        <v>28</v>
      </c>
      <c r="D100" s="19" t="s">
        <v>172</v>
      </c>
      <c r="E100" s="33">
        <v>4</v>
      </c>
      <c r="F100" s="9">
        <v>120</v>
      </c>
      <c r="G100" s="32" t="s">
        <v>48</v>
      </c>
      <c r="H100" s="19" t="s">
        <v>99</v>
      </c>
      <c r="I100" s="31" t="s">
        <v>99</v>
      </c>
      <c r="J100" s="34" t="s">
        <v>44</v>
      </c>
      <c r="K100" s="2" t="str">
        <f t="shared" si="123"/>
        <v>Statlig Landsbygd MV 120 &lt;24,5 - -</v>
      </c>
      <c r="L100" s="2"/>
      <c r="M100" s="32" t="s">
        <v>99</v>
      </c>
      <c r="N100" s="53">
        <f>'Beräkna - Länk'!$C$26</f>
        <v>1</v>
      </c>
      <c r="O100" s="53">
        <f>'Beräkna - Länk'!$C$24/('Beräkna - Länk'!$C$27)^('Beräkna - Länk'!$C$25-2010)</f>
        <v>10385</v>
      </c>
      <c r="P100" s="13">
        <f t="shared" si="124"/>
        <v>3.7905249999999997</v>
      </c>
      <c r="Q100" s="13">
        <f t="shared" si="125"/>
        <v>0.24773923768749997</v>
      </c>
      <c r="R100" s="13">
        <f t="shared" si="126"/>
        <v>0.43297698246562494</v>
      </c>
      <c r="S100" s="28">
        <f t="shared" si="127"/>
        <v>3.6031214439999999E-3</v>
      </c>
      <c r="T100" s="15">
        <f t="shared" si="128"/>
        <v>8.3498286445843742E-2</v>
      </c>
      <c r="U100" s="13">
        <f t="shared" si="129"/>
        <v>0.34587557457578122</v>
      </c>
      <c r="V100" s="13">
        <f t="shared" si="130"/>
        <v>1.1087285624999998</v>
      </c>
      <c r="W100" s="15">
        <f t="shared" si="131"/>
        <v>1.2438471627103844E-2</v>
      </c>
      <c r="X100" s="15">
        <f t="shared" si="132"/>
        <v>6.7647177315095633E-2</v>
      </c>
      <c r="Y100" s="15">
        <f t="shared" si="133"/>
        <v>0.14194708695793434</v>
      </c>
      <c r="Z100" s="14">
        <f t="shared" si="134"/>
        <v>0.58798847677882804</v>
      </c>
      <c r="AA100" s="14">
        <f t="shared" si="135"/>
        <v>7.7610999374999992</v>
      </c>
      <c r="AB100" s="13">
        <f t="shared" si="136"/>
        <v>2.114540176607653E-2</v>
      </c>
      <c r="AC100" s="14">
        <f t="shared" si="137"/>
        <v>0.11500020143566254</v>
      </c>
      <c r="AD100" s="13">
        <f t="shared" si="181"/>
        <v>0.19842199374402061</v>
      </c>
      <c r="AE100" s="15">
        <f t="shared" si="182"/>
        <v>3.8398429874999994E-2</v>
      </c>
      <c r="AF100" s="6">
        <v>6.5000000000000002E-2</v>
      </c>
      <c r="AG100" s="6">
        <v>1.75</v>
      </c>
      <c r="AH100" s="12">
        <v>0.7</v>
      </c>
      <c r="AI100" s="12">
        <v>19.3</v>
      </c>
      <c r="AJ100" s="7">
        <v>80</v>
      </c>
      <c r="AK100" s="12">
        <v>2.5714285714285716</v>
      </c>
      <c r="AL100" s="12">
        <f t="shared" si="138"/>
        <v>0.24638412499999998</v>
      </c>
      <c r="AM100" s="12">
        <f t="shared" si="139"/>
        <v>0.43117221874999995</v>
      </c>
      <c r="AN100" s="18">
        <f t="shared" si="140"/>
        <v>3.0182055312499997E-3</v>
      </c>
      <c r="AO100" s="8">
        <f t="shared" si="141"/>
        <v>8.3216238218749988E-2</v>
      </c>
      <c r="AP100" s="12">
        <f t="shared" si="142"/>
        <v>0.34493777499999995</v>
      </c>
      <c r="AQ100" s="12">
        <f t="shared" si="143"/>
        <v>1.1087285624999998</v>
      </c>
      <c r="AR100" s="18">
        <f t="shared" si="144"/>
        <v>1.2366881578187499E-2</v>
      </c>
      <c r="AS100" s="8">
        <f t="shared" si="145"/>
        <v>6.7310295069062512E-2</v>
      </c>
      <c r="AT100" s="8">
        <f t="shared" si="146"/>
        <v>0.14146760497187497</v>
      </c>
      <c r="AU100" s="8">
        <f t="shared" si="147"/>
        <v>0.58639421749999987</v>
      </c>
      <c r="AV100" s="8">
        <f t="shared" si="148"/>
        <v>7.7610999374999992</v>
      </c>
      <c r="AW100" s="8">
        <f t="shared" si="149"/>
        <v>2.1023698682918743E-2</v>
      </c>
      <c r="AX100" s="8">
        <f t="shared" si="150"/>
        <v>0.11442750161740622</v>
      </c>
      <c r="AY100" s="495">
        <f t="shared" si="183"/>
        <v>0.19768745206772462</v>
      </c>
      <c r="AZ100" s="8">
        <f t="shared" si="151"/>
        <v>2.2750000000000003E-2</v>
      </c>
      <c r="BA100" s="6">
        <v>1.7</v>
      </c>
      <c r="BB100" s="6">
        <v>1.7</v>
      </c>
      <c r="BC100" s="6">
        <v>7</v>
      </c>
      <c r="BD100" s="21">
        <v>7.3999999999999996E-2</v>
      </c>
      <c r="BE100" s="20">
        <v>0.27</v>
      </c>
      <c r="BF100" s="9">
        <v>1.7999999999999999E-2</v>
      </c>
      <c r="BG100" s="9">
        <v>0.13</v>
      </c>
      <c r="BH100" s="28">
        <f t="shared" si="152"/>
        <v>3.2625775000000002E-3</v>
      </c>
      <c r="BI100" s="15">
        <f t="shared" si="153"/>
        <v>1.7757512500000003E-2</v>
      </c>
      <c r="BJ100" s="12">
        <v>0.5</v>
      </c>
      <c r="BK100" s="12">
        <v>1.35</v>
      </c>
      <c r="BL100" s="7">
        <v>35</v>
      </c>
      <c r="BM100" s="7">
        <v>15</v>
      </c>
      <c r="BN100" s="7">
        <v>50</v>
      </c>
      <c r="BO100" s="8">
        <f t="shared" si="154"/>
        <v>1.231920625E-3</v>
      </c>
      <c r="BP100" s="8">
        <f t="shared" si="155"/>
        <v>1.6630928437500001E-3</v>
      </c>
      <c r="BQ100" s="8">
        <f t="shared" si="156"/>
        <v>5.8208249531250004E-4</v>
      </c>
      <c r="BR100" s="8">
        <f t="shared" si="157"/>
        <v>2.4946392656250002E-4</v>
      </c>
      <c r="BS100" s="8">
        <f t="shared" si="158"/>
        <v>8.3154642187500006E-4</v>
      </c>
      <c r="BT100" s="18">
        <f t="shared" si="159"/>
        <v>6.4029074484375014E-5</v>
      </c>
      <c r="BU100" s="8">
        <f t="shared" si="160"/>
        <v>3.0268289756250005E-4</v>
      </c>
      <c r="BV100" s="8">
        <f t="shared" si="161"/>
        <v>4.2408867515625001E-4</v>
      </c>
      <c r="BW100" s="8">
        <f t="shared" si="162"/>
        <v>1.4136289171875001E-3</v>
      </c>
      <c r="BX100" s="18">
        <f t="shared" si="163"/>
        <v>1.0884942662343751E-4</v>
      </c>
      <c r="BY100" s="8">
        <f t="shared" si="164"/>
        <v>5.1456092585625002E-4</v>
      </c>
      <c r="BZ100" s="12">
        <f t="shared" si="165"/>
        <v>0.5</v>
      </c>
      <c r="CA100" s="12">
        <f t="shared" si="184"/>
        <v>0.45319587628865982</v>
      </c>
      <c r="CB100" s="6">
        <v>1.7</v>
      </c>
      <c r="CC100" s="6">
        <v>1.7</v>
      </c>
      <c r="CD100" s="15">
        <v>0.16</v>
      </c>
      <c r="CE100" s="9">
        <v>0.48</v>
      </c>
      <c r="CF100" s="9">
        <v>2.9000000000000001E-2</v>
      </c>
      <c r="CG100" s="11">
        <v>0.22</v>
      </c>
      <c r="CH100" s="28">
        <f t="shared" si="185"/>
        <v>1.6891875000000005E-5</v>
      </c>
      <c r="CI100" s="15">
        <f t="shared" si="166"/>
        <v>7.9852500000000015E-5</v>
      </c>
      <c r="CJ100" s="12">
        <v>0.05</v>
      </c>
      <c r="CK100" s="12">
        <v>1.1499999999999999</v>
      </c>
      <c r="CL100" s="7">
        <v>2</v>
      </c>
      <c r="CM100" s="7">
        <v>23</v>
      </c>
      <c r="CN100" s="7">
        <v>75</v>
      </c>
      <c r="CO100" s="8">
        <f t="shared" si="167"/>
        <v>1.2319206249999999E-4</v>
      </c>
      <c r="CP100" s="8">
        <f t="shared" si="168"/>
        <v>1.4167087187499998E-4</v>
      </c>
      <c r="CQ100" s="18">
        <f t="shared" si="169"/>
        <v>2.8334174374999996E-6</v>
      </c>
      <c r="CR100" s="8">
        <f t="shared" si="170"/>
        <v>3.2584300531249997E-5</v>
      </c>
      <c r="CS100" s="8">
        <f t="shared" si="171"/>
        <v>1.0625315390624998E-4</v>
      </c>
      <c r="CT100" s="18">
        <f t="shared" si="172"/>
        <v>7.5609744319687493E-6</v>
      </c>
      <c r="CU100" s="8">
        <f t="shared" si="173"/>
        <v>3.4199348470624998E-5</v>
      </c>
      <c r="CV100" s="8">
        <f t="shared" si="174"/>
        <v>5.5393310903124991E-5</v>
      </c>
      <c r="CW100" s="8">
        <f t="shared" si="175"/>
        <v>1.8063036164062495E-4</v>
      </c>
      <c r="CX100" s="18">
        <f t="shared" si="176"/>
        <v>1.2853656534346871E-5</v>
      </c>
      <c r="CY100" s="8">
        <f t="shared" si="177"/>
        <v>5.8138892400062489E-5</v>
      </c>
      <c r="CZ100" s="12">
        <f t="shared" si="178"/>
        <v>0.25</v>
      </c>
      <c r="DA100" s="12">
        <f t="shared" si="186"/>
        <v>0.25526690391459073</v>
      </c>
      <c r="DB100" s="6">
        <v>1.7</v>
      </c>
      <c r="DC100" s="6">
        <v>1.7</v>
      </c>
      <c r="DD100" s="9">
        <v>0.14399999999999999</v>
      </c>
      <c r="DE100" s="9">
        <v>0.43</v>
      </c>
      <c r="DF100" s="15">
        <v>2.7E-2</v>
      </c>
      <c r="DG100" s="13">
        <v>0.19</v>
      </c>
      <c r="DH100" s="28">
        <f t="shared" si="179"/>
        <v>1.99470375E-6</v>
      </c>
      <c r="DI100" s="29">
        <f t="shared" si="180"/>
        <v>9.0223250000000001E-6</v>
      </c>
    </row>
    <row r="101" spans="1:113" x14ac:dyDescent="0.25">
      <c r="A101" s="85">
        <v>93</v>
      </c>
      <c r="B101" s="35" t="s">
        <v>26</v>
      </c>
      <c r="C101" s="35" t="s">
        <v>28</v>
      </c>
      <c r="D101" s="19" t="s">
        <v>172</v>
      </c>
      <c r="E101" s="19">
        <v>4</v>
      </c>
      <c r="F101" s="9">
        <v>120</v>
      </c>
      <c r="G101" s="32" t="s">
        <v>47</v>
      </c>
      <c r="H101" s="19" t="s">
        <v>99</v>
      </c>
      <c r="I101" s="31" t="s">
        <v>99</v>
      </c>
      <c r="J101" s="34" t="s">
        <v>44</v>
      </c>
      <c r="K101" s="2" t="str">
        <f t="shared" si="123"/>
        <v>Statlig Landsbygd MV 120 &gt;24,5 - -</v>
      </c>
      <c r="L101" s="2"/>
      <c r="M101" s="32" t="s">
        <v>99</v>
      </c>
      <c r="N101" s="53">
        <f>'Beräkna - Länk'!$C$26</f>
        <v>1</v>
      </c>
      <c r="O101" s="53">
        <f>'Beräkna - Länk'!$C$24/('Beräkna - Länk'!$C$27)^('Beräkna - Länk'!$C$25-2010)</f>
        <v>10385</v>
      </c>
      <c r="P101" s="13">
        <f t="shared" si="124"/>
        <v>3.7905249999999997</v>
      </c>
      <c r="Q101" s="13">
        <f t="shared" si="125"/>
        <v>0.19085293375000001</v>
      </c>
      <c r="R101" s="13">
        <f t="shared" si="126"/>
        <v>0.28416618293750001</v>
      </c>
      <c r="S101" s="28">
        <f t="shared" si="127"/>
        <v>4.255385509687501E-3</v>
      </c>
      <c r="T101" s="15">
        <f t="shared" si="128"/>
        <v>3.9809704523125003E-2</v>
      </c>
      <c r="U101" s="13">
        <f t="shared" si="129"/>
        <v>0.24010109290468748</v>
      </c>
      <c r="V101" s="13">
        <f t="shared" si="130"/>
        <v>0.72615628928571441</v>
      </c>
      <c r="W101" s="15">
        <f t="shared" si="131"/>
        <v>7.3008288533378107E-3</v>
      </c>
      <c r="X101" s="15">
        <f t="shared" si="132"/>
        <v>4.209790326856875E-2</v>
      </c>
      <c r="Y101" s="15">
        <f t="shared" si="133"/>
        <v>6.7676497689312512E-2</v>
      </c>
      <c r="Z101" s="14">
        <f t="shared" si="134"/>
        <v>0.40817185793796873</v>
      </c>
      <c r="AA101" s="14">
        <f t="shared" si="135"/>
        <v>5.0830940250000012</v>
      </c>
      <c r="AB101" s="13">
        <f t="shared" si="136"/>
        <v>1.2411409050674279E-2</v>
      </c>
      <c r="AC101" s="14">
        <f t="shared" si="137"/>
        <v>7.1566435556566874E-2</v>
      </c>
      <c r="AD101" s="13">
        <f t="shared" si="181"/>
        <v>0.14982570856176389</v>
      </c>
      <c r="AE101" s="15">
        <f t="shared" si="182"/>
        <v>1.8976760000000006E-2</v>
      </c>
      <c r="AF101" s="8">
        <v>0.05</v>
      </c>
      <c r="AG101" s="6">
        <v>1.49</v>
      </c>
      <c r="AH101" s="12">
        <v>1.3</v>
      </c>
      <c r="AI101" s="12">
        <v>14</v>
      </c>
      <c r="AJ101" s="7">
        <v>84.7</v>
      </c>
      <c r="AK101" s="12">
        <v>2.5714285714285716</v>
      </c>
      <c r="AL101" s="12">
        <f t="shared" si="138"/>
        <v>0.18952625000000001</v>
      </c>
      <c r="AM101" s="12">
        <f t="shared" si="139"/>
        <v>0.28239411250000002</v>
      </c>
      <c r="AN101" s="18">
        <f t="shared" si="140"/>
        <v>3.6711234625000006E-3</v>
      </c>
      <c r="AO101" s="8">
        <f t="shared" si="141"/>
        <v>3.9535175750000005E-2</v>
      </c>
      <c r="AP101" s="12">
        <f t="shared" si="142"/>
        <v>0.2391878132875</v>
      </c>
      <c r="AQ101" s="12">
        <f t="shared" si="143"/>
        <v>0.72615628928571441</v>
      </c>
      <c r="AR101" s="18">
        <f t="shared" si="144"/>
        <v>7.2309836446749981E-3</v>
      </c>
      <c r="AS101" s="8">
        <f t="shared" si="145"/>
        <v>4.1768913179874995E-2</v>
      </c>
      <c r="AT101" s="8">
        <f t="shared" si="146"/>
        <v>6.720979877500001E-2</v>
      </c>
      <c r="AU101" s="8">
        <f t="shared" si="147"/>
        <v>0.40661928258874996</v>
      </c>
      <c r="AV101" s="8">
        <f t="shared" si="148"/>
        <v>5.0830940250000012</v>
      </c>
      <c r="AW101" s="8">
        <f t="shared" si="149"/>
        <v>1.2292672195947499E-2</v>
      </c>
      <c r="AX101" s="8">
        <f t="shared" si="150"/>
        <v>7.1007152405787505E-2</v>
      </c>
      <c r="AY101" s="495">
        <f t="shared" si="183"/>
        <v>0.14844165828848543</v>
      </c>
      <c r="AZ101" s="8">
        <f t="shared" si="151"/>
        <v>1.1398500000000002E-2</v>
      </c>
      <c r="BA101" s="6">
        <v>1.7</v>
      </c>
      <c r="BB101" s="6">
        <v>1.7</v>
      </c>
      <c r="BC101" s="6">
        <v>7</v>
      </c>
      <c r="BD101" s="21">
        <v>7.3999999999999996E-2</v>
      </c>
      <c r="BE101" s="20">
        <v>0.27</v>
      </c>
      <c r="BF101" s="9">
        <v>1.7999999999999999E-2</v>
      </c>
      <c r="BG101" s="9">
        <v>0.13</v>
      </c>
      <c r="BH101" s="28">
        <f t="shared" si="152"/>
        <v>1.9076469999999997E-3</v>
      </c>
      <c r="BI101" s="15">
        <f t="shared" si="153"/>
        <v>1.1019295E-2</v>
      </c>
      <c r="BJ101" s="12">
        <v>0.65</v>
      </c>
      <c r="BK101" s="12">
        <v>1.35</v>
      </c>
      <c r="BL101" s="7">
        <v>35</v>
      </c>
      <c r="BM101" s="7">
        <v>15</v>
      </c>
      <c r="BN101" s="7">
        <v>50</v>
      </c>
      <c r="BO101" s="8">
        <f t="shared" si="154"/>
        <v>1.2319206250000002E-3</v>
      </c>
      <c r="BP101" s="8">
        <f t="shared" si="155"/>
        <v>1.6630928437500003E-3</v>
      </c>
      <c r="BQ101" s="8">
        <f t="shared" si="156"/>
        <v>5.8208249531250004E-4</v>
      </c>
      <c r="BR101" s="8">
        <f t="shared" si="157"/>
        <v>2.4946392656250002E-4</v>
      </c>
      <c r="BS101" s="8">
        <f t="shared" si="158"/>
        <v>8.3154642187500017E-4</v>
      </c>
      <c r="BT101" s="18">
        <f t="shared" si="159"/>
        <v>6.4029074484375014E-5</v>
      </c>
      <c r="BU101" s="8">
        <f t="shared" si="160"/>
        <v>3.0268289756250005E-4</v>
      </c>
      <c r="BV101" s="8">
        <f t="shared" si="161"/>
        <v>4.2408867515625001E-4</v>
      </c>
      <c r="BW101" s="8">
        <f t="shared" si="162"/>
        <v>1.4136289171875003E-3</v>
      </c>
      <c r="BX101" s="18">
        <f t="shared" si="163"/>
        <v>1.0884942662343752E-4</v>
      </c>
      <c r="BY101" s="8">
        <f t="shared" si="164"/>
        <v>5.1456092585625002E-4</v>
      </c>
      <c r="BZ101" s="12">
        <f t="shared" si="165"/>
        <v>0.5</v>
      </c>
      <c r="CA101" s="12">
        <f t="shared" si="184"/>
        <v>0.45319587628865982</v>
      </c>
      <c r="CB101" s="6">
        <v>1.7</v>
      </c>
      <c r="CC101" s="6">
        <v>1.7</v>
      </c>
      <c r="CD101" s="15">
        <v>0.16</v>
      </c>
      <c r="CE101" s="9">
        <v>0.48</v>
      </c>
      <c r="CF101" s="9">
        <v>2.9000000000000001E-2</v>
      </c>
      <c r="CG101" s="11">
        <v>0.22</v>
      </c>
      <c r="CH101" s="28">
        <f t="shared" si="185"/>
        <v>1.6891875000000005E-5</v>
      </c>
      <c r="CI101" s="15">
        <f t="shared" si="166"/>
        <v>7.9852500000000015E-5</v>
      </c>
      <c r="CJ101" s="12">
        <v>0.05</v>
      </c>
      <c r="CK101" s="12">
        <v>1.1499999999999999</v>
      </c>
      <c r="CL101" s="7">
        <v>2</v>
      </c>
      <c r="CM101" s="7">
        <v>23</v>
      </c>
      <c r="CN101" s="7">
        <v>75</v>
      </c>
      <c r="CO101" s="8">
        <f t="shared" si="167"/>
        <v>9.4763125000000003E-5</v>
      </c>
      <c r="CP101" s="8">
        <f t="shared" si="168"/>
        <v>1.0897759375E-4</v>
      </c>
      <c r="CQ101" s="18">
        <f t="shared" si="169"/>
        <v>2.1795518749999999E-6</v>
      </c>
      <c r="CR101" s="8">
        <f t="shared" si="170"/>
        <v>2.5064846562500001E-5</v>
      </c>
      <c r="CS101" s="8">
        <f t="shared" si="171"/>
        <v>8.173319531249999E-5</v>
      </c>
      <c r="CT101" s="18">
        <f t="shared" si="172"/>
        <v>5.8161341784374986E-6</v>
      </c>
      <c r="CU101" s="8">
        <f t="shared" si="173"/>
        <v>2.6307191131249995E-5</v>
      </c>
      <c r="CV101" s="8">
        <f t="shared" si="174"/>
        <v>4.261023915625E-5</v>
      </c>
      <c r="CW101" s="8">
        <f t="shared" si="175"/>
        <v>1.3894643203124998E-4</v>
      </c>
      <c r="CX101" s="18">
        <f t="shared" si="176"/>
        <v>9.8874281033437484E-6</v>
      </c>
      <c r="CY101" s="8">
        <f t="shared" si="177"/>
        <v>4.4722224923124989E-5</v>
      </c>
      <c r="CZ101" s="12">
        <f t="shared" si="178"/>
        <v>0.25</v>
      </c>
      <c r="DA101" s="12">
        <f t="shared" si="186"/>
        <v>0.25526690391459073</v>
      </c>
      <c r="DB101" s="6">
        <v>1.7</v>
      </c>
      <c r="DC101" s="6">
        <v>1.7</v>
      </c>
      <c r="DD101" s="9">
        <v>0.14399999999999999</v>
      </c>
      <c r="DE101" s="9">
        <v>0.43</v>
      </c>
      <c r="DF101" s="15">
        <v>2.7E-2</v>
      </c>
      <c r="DG101" s="13">
        <v>0.19</v>
      </c>
      <c r="DH101" s="28">
        <f t="shared" si="179"/>
        <v>1.5343874999999998E-6</v>
      </c>
      <c r="DI101" s="29">
        <f t="shared" si="180"/>
        <v>6.9402499999999993E-6</v>
      </c>
    </row>
    <row r="102" spans="1:113" x14ac:dyDescent="0.25">
      <c r="A102" s="85">
        <v>94</v>
      </c>
      <c r="B102" s="35" t="s">
        <v>26</v>
      </c>
      <c r="C102" s="35" t="s">
        <v>28</v>
      </c>
      <c r="D102" s="19" t="s">
        <v>172</v>
      </c>
      <c r="E102" s="33">
        <v>4</v>
      </c>
      <c r="F102" s="9">
        <v>120</v>
      </c>
      <c r="G102" s="34" t="s">
        <v>16</v>
      </c>
      <c r="H102" s="19" t="s">
        <v>99</v>
      </c>
      <c r="I102" s="31" t="s">
        <v>99</v>
      </c>
      <c r="J102" s="34" t="s">
        <v>44</v>
      </c>
      <c r="K102" s="2" t="str">
        <f t="shared" si="123"/>
        <v>Statlig Landsbygd MV 120 Alla - -</v>
      </c>
      <c r="L102" s="2"/>
      <c r="M102" s="32" t="s">
        <v>99</v>
      </c>
      <c r="N102" s="53">
        <f>'Beräkna - Länk'!$C$26</f>
        <v>1</v>
      </c>
      <c r="O102" s="53">
        <f>'Beräkna - Länk'!$C$24/('Beräkna - Länk'!$C$27)^('Beräkna - Länk'!$C$25-2010)</f>
        <v>10385</v>
      </c>
      <c r="P102" s="13">
        <f t="shared" si="124"/>
        <v>3.7905249999999997</v>
      </c>
      <c r="Q102" s="13">
        <f t="shared" si="125"/>
        <v>0.21742110252749999</v>
      </c>
      <c r="R102" s="13">
        <f t="shared" si="126"/>
        <v>0.35183306216962501</v>
      </c>
      <c r="S102" s="28">
        <f t="shared" si="127"/>
        <v>4.4447847771000009E-3</v>
      </c>
      <c r="T102" s="15">
        <f t="shared" si="128"/>
        <v>5.8385171337993758E-2</v>
      </c>
      <c r="U102" s="13">
        <f t="shared" si="129"/>
        <v>0.28900310605453122</v>
      </c>
      <c r="V102" s="13">
        <f t="shared" si="130"/>
        <v>0.90004391614285728</v>
      </c>
      <c r="W102" s="15">
        <f t="shared" si="131"/>
        <v>9.5565255308472929E-3</v>
      </c>
      <c r="X102" s="15">
        <f t="shared" si="132"/>
        <v>5.3473981241695133E-2</v>
      </c>
      <c r="Y102" s="15">
        <f t="shared" si="133"/>
        <v>9.9254791274589388E-2</v>
      </c>
      <c r="Z102" s="14">
        <f t="shared" si="134"/>
        <v>0.49130528029270315</v>
      </c>
      <c r="AA102" s="14">
        <f t="shared" si="135"/>
        <v>6.3003074130000005</v>
      </c>
      <c r="AB102" s="13">
        <f t="shared" si="136"/>
        <v>1.6246093402440404E-2</v>
      </c>
      <c r="AC102" s="14">
        <f t="shared" si="137"/>
        <v>9.0905768110881718E-2</v>
      </c>
      <c r="AD102" s="13">
        <f t="shared" si="181"/>
        <v>0.17428357927833016</v>
      </c>
      <c r="AE102" s="15">
        <f t="shared" si="182"/>
        <v>2.7357576075000008E-2</v>
      </c>
      <c r="AF102" s="6">
        <v>5.7000000000000002E-2</v>
      </c>
      <c r="AG102" s="6">
        <v>1.62</v>
      </c>
      <c r="AH102" s="12">
        <v>1.1000000000000001</v>
      </c>
      <c r="AI102" s="12">
        <v>16.600000000000001</v>
      </c>
      <c r="AJ102" s="7">
        <v>82.3</v>
      </c>
      <c r="AK102" s="12">
        <v>2.5714285714285716</v>
      </c>
      <c r="AL102" s="12">
        <f t="shared" si="138"/>
        <v>0.21605992499999999</v>
      </c>
      <c r="AM102" s="12">
        <f t="shared" si="139"/>
        <v>0.35001707850000002</v>
      </c>
      <c r="AN102" s="18">
        <f t="shared" si="140"/>
        <v>3.8501878635000004E-3</v>
      </c>
      <c r="AO102" s="8">
        <f t="shared" si="141"/>
        <v>5.8102835031000007E-2</v>
      </c>
      <c r="AP102" s="12">
        <f t="shared" si="142"/>
        <v>0.28806405560550002</v>
      </c>
      <c r="AQ102" s="12">
        <f t="shared" si="143"/>
        <v>0.90004391614285728</v>
      </c>
      <c r="AR102" s="18">
        <f t="shared" si="144"/>
        <v>9.4847627931929981E-3</v>
      </c>
      <c r="AS102" s="8">
        <f t="shared" si="145"/>
        <v>5.313609268708501E-2</v>
      </c>
      <c r="AT102" s="8">
        <f t="shared" si="146"/>
        <v>9.8774819552700011E-2</v>
      </c>
      <c r="AU102" s="8">
        <f t="shared" si="147"/>
        <v>0.48970889452935001</v>
      </c>
      <c r="AV102" s="8">
        <f t="shared" si="148"/>
        <v>6.3003074130000005</v>
      </c>
      <c r="AW102" s="8">
        <f t="shared" si="149"/>
        <v>1.6124096748428102E-2</v>
      </c>
      <c r="AX102" s="8">
        <f t="shared" si="150"/>
        <v>9.0331357568044515E-2</v>
      </c>
      <c r="AY102" s="495">
        <f t="shared" si="183"/>
        <v>0.17325533297878629</v>
      </c>
      <c r="AZ102" s="8">
        <f t="shared" si="151"/>
        <v>1.6344180000000003E-2</v>
      </c>
      <c r="BA102" s="6">
        <v>1.7</v>
      </c>
      <c r="BB102" s="6">
        <v>1.7</v>
      </c>
      <c r="BC102" s="6">
        <v>7</v>
      </c>
      <c r="BD102" s="21">
        <v>7.3999999999999996E-2</v>
      </c>
      <c r="BE102" s="20">
        <v>0.27</v>
      </c>
      <c r="BF102" s="9">
        <v>1.7999999999999999E-2</v>
      </c>
      <c r="BG102" s="9">
        <v>0.13</v>
      </c>
      <c r="BH102" s="28">
        <f t="shared" si="152"/>
        <v>2.5022293199999995E-3</v>
      </c>
      <c r="BI102" s="15">
        <f t="shared" si="153"/>
        <v>1.4018135400000003E-2</v>
      </c>
      <c r="BJ102" s="12">
        <v>0.57999999999999996</v>
      </c>
      <c r="BK102" s="12">
        <v>1.35</v>
      </c>
      <c r="BL102" s="7">
        <v>35</v>
      </c>
      <c r="BM102" s="7">
        <v>15</v>
      </c>
      <c r="BN102" s="7">
        <v>50</v>
      </c>
      <c r="BO102" s="8">
        <f t="shared" si="154"/>
        <v>1.2531475649999999E-3</v>
      </c>
      <c r="BP102" s="8">
        <f t="shared" si="155"/>
        <v>1.6917492127500001E-3</v>
      </c>
      <c r="BQ102" s="8">
        <f t="shared" si="156"/>
        <v>5.9211222446250002E-4</v>
      </c>
      <c r="BR102" s="8">
        <f t="shared" si="157"/>
        <v>2.5376238191249998E-4</v>
      </c>
      <c r="BS102" s="8">
        <f t="shared" si="158"/>
        <v>8.4587460637500006E-4</v>
      </c>
      <c r="BT102" s="18">
        <f t="shared" si="159"/>
        <v>6.5132344690875004E-5</v>
      </c>
      <c r="BU102" s="8">
        <f t="shared" si="160"/>
        <v>3.0789835672050001E-4</v>
      </c>
      <c r="BV102" s="8">
        <f t="shared" si="161"/>
        <v>4.3139604925124996E-4</v>
      </c>
      <c r="BW102" s="8">
        <f t="shared" si="162"/>
        <v>1.4379868308375E-3</v>
      </c>
      <c r="BX102" s="18">
        <f t="shared" si="163"/>
        <v>1.107249859744875E-4</v>
      </c>
      <c r="BY102" s="8">
        <f t="shared" si="164"/>
        <v>5.2342720642485001E-4</v>
      </c>
      <c r="BZ102" s="12">
        <f t="shared" si="165"/>
        <v>0.5</v>
      </c>
      <c r="CA102" s="12">
        <f t="shared" si="184"/>
        <v>0.45319587628865987</v>
      </c>
      <c r="CB102" s="6">
        <v>1.7</v>
      </c>
      <c r="CC102" s="6">
        <v>1.7</v>
      </c>
      <c r="CD102" s="15">
        <v>0.16</v>
      </c>
      <c r="CE102" s="9">
        <v>0.48</v>
      </c>
      <c r="CF102" s="9">
        <v>2.9000000000000001E-2</v>
      </c>
      <c r="CG102" s="11">
        <v>0.22</v>
      </c>
      <c r="CH102" s="28">
        <f t="shared" si="185"/>
        <v>1.7182935000000004E-5</v>
      </c>
      <c r="CI102" s="15">
        <f t="shared" si="166"/>
        <v>8.1228420000000005E-5</v>
      </c>
      <c r="CJ102" s="12">
        <v>0.05</v>
      </c>
      <c r="CK102" s="12">
        <v>1.1499999999999999</v>
      </c>
      <c r="CL102" s="7">
        <v>2</v>
      </c>
      <c r="CM102" s="7">
        <v>23</v>
      </c>
      <c r="CN102" s="7">
        <v>75</v>
      </c>
      <c r="CO102" s="8">
        <f t="shared" si="167"/>
        <v>1.0802996249999999E-4</v>
      </c>
      <c r="CP102" s="8">
        <f t="shared" si="168"/>
        <v>1.2423445687499999E-4</v>
      </c>
      <c r="CQ102" s="18">
        <f t="shared" si="169"/>
        <v>2.4846891374999997E-6</v>
      </c>
      <c r="CR102" s="8">
        <f t="shared" si="170"/>
        <v>2.8573925081249998E-5</v>
      </c>
      <c r="CS102" s="8">
        <f t="shared" si="171"/>
        <v>9.3175842656249995E-5</v>
      </c>
      <c r="CT102" s="18">
        <f t="shared" si="172"/>
        <v>6.6303929634187486E-6</v>
      </c>
      <c r="CU102" s="8">
        <f t="shared" si="173"/>
        <v>2.9990197889624991E-5</v>
      </c>
      <c r="CV102" s="8">
        <f t="shared" si="174"/>
        <v>4.8575672638124996E-5</v>
      </c>
      <c r="CW102" s="8">
        <f t="shared" si="175"/>
        <v>1.5839893251562499E-4</v>
      </c>
      <c r="CX102" s="18">
        <f t="shared" si="176"/>
        <v>1.1271668037811874E-5</v>
      </c>
      <c r="CY102" s="8">
        <f t="shared" si="177"/>
        <v>5.0983336412362495E-5</v>
      </c>
      <c r="CZ102" s="12">
        <f t="shared" si="178"/>
        <v>0.25</v>
      </c>
      <c r="DA102" s="12">
        <f t="shared" si="186"/>
        <v>0.25526690391459073</v>
      </c>
      <c r="DB102" s="6">
        <v>1.7</v>
      </c>
      <c r="DC102" s="6">
        <v>1.7</v>
      </c>
      <c r="DD102" s="9">
        <v>0.14399999999999999</v>
      </c>
      <c r="DE102" s="9">
        <v>0.43</v>
      </c>
      <c r="DF102" s="15">
        <v>2.7E-2</v>
      </c>
      <c r="DG102" s="13">
        <v>0.19</v>
      </c>
      <c r="DH102" s="28">
        <f t="shared" si="179"/>
        <v>1.7492017499999997E-6</v>
      </c>
      <c r="DI102" s="29">
        <f t="shared" si="180"/>
        <v>7.9118849999999985E-6</v>
      </c>
    </row>
    <row r="103" spans="1:113" x14ac:dyDescent="0.25">
      <c r="A103" s="85">
        <v>95</v>
      </c>
      <c r="B103" s="35" t="s">
        <v>26</v>
      </c>
      <c r="C103" s="35" t="s">
        <v>28</v>
      </c>
      <c r="D103" s="19" t="s">
        <v>173</v>
      </c>
      <c r="E103" s="33">
        <v>4</v>
      </c>
      <c r="F103" s="9">
        <v>80</v>
      </c>
      <c r="G103" s="38" t="s">
        <v>32</v>
      </c>
      <c r="H103" s="19" t="s">
        <v>99</v>
      </c>
      <c r="I103" s="31" t="s">
        <v>99</v>
      </c>
      <c r="J103" s="32" t="s">
        <v>99</v>
      </c>
      <c r="K103" s="2" t="str">
        <f t="shared" si="123"/>
        <v>Statlig Landsbygd 4F 80 &gt;16 - -</v>
      </c>
      <c r="L103" s="2"/>
      <c r="M103" s="32" t="s">
        <v>99</v>
      </c>
      <c r="N103" s="53">
        <f>'Beräkna - Länk'!$C$26</f>
        <v>1</v>
      </c>
      <c r="O103" s="53">
        <f>'Beräkna - Länk'!$C$24/('Beräkna - Länk'!$C$27)^('Beräkna - Länk'!$C$25-2010)</f>
        <v>10385</v>
      </c>
      <c r="P103" s="13">
        <f t="shared" si="124"/>
        <v>3.7905249999999997</v>
      </c>
      <c r="Q103" s="13">
        <f t="shared" si="125"/>
        <v>0.40138816856249993</v>
      </c>
      <c r="R103" s="13">
        <f t="shared" si="126"/>
        <v>0.63258934567499991</v>
      </c>
      <c r="S103" s="28">
        <f t="shared" si="127"/>
        <v>3.5760760481249997E-3</v>
      </c>
      <c r="T103" s="15">
        <f t="shared" si="128"/>
        <v>5.7923675866874982E-2</v>
      </c>
      <c r="U103" s="13">
        <f t="shared" si="129"/>
        <v>0.57108959376000001</v>
      </c>
      <c r="V103" s="13">
        <f t="shared" si="130"/>
        <v>1.4673122274999999</v>
      </c>
      <c r="W103" s="15">
        <f t="shared" si="131"/>
        <v>1.4809957763658746E-2</v>
      </c>
      <c r="X103" s="15">
        <f t="shared" si="132"/>
        <v>9.4832044325549994E-2</v>
      </c>
      <c r="Y103" s="15">
        <f t="shared" si="133"/>
        <v>9.8470248973687474E-2</v>
      </c>
      <c r="Z103" s="14">
        <f t="shared" si="134"/>
        <v>0.97085230939199996</v>
      </c>
      <c r="AA103" s="14">
        <f t="shared" si="135"/>
        <v>10.2711855925</v>
      </c>
      <c r="AB103" s="13">
        <f t="shared" si="136"/>
        <v>2.5176928198219872E-2</v>
      </c>
      <c r="AC103" s="14">
        <f t="shared" si="137"/>
        <v>0.16121447535343494</v>
      </c>
      <c r="AD103" s="13">
        <f t="shared" si="181"/>
        <v>9.5112736421336178E-2</v>
      </c>
      <c r="AE103" s="15">
        <f t="shared" si="182"/>
        <v>2.6921422499999997E-2</v>
      </c>
      <c r="AF103" s="6">
        <v>0.105</v>
      </c>
      <c r="AG103" s="6">
        <v>1.58</v>
      </c>
      <c r="AH103" s="12">
        <v>0.5</v>
      </c>
      <c r="AI103" s="12">
        <v>9</v>
      </c>
      <c r="AJ103" s="7">
        <v>90.5</v>
      </c>
      <c r="AK103" s="12">
        <v>2.3333333333333335</v>
      </c>
      <c r="AL103" s="12">
        <f t="shared" si="138"/>
        <v>0.39800512499999996</v>
      </c>
      <c r="AM103" s="12">
        <f t="shared" si="139"/>
        <v>0.62884809749999993</v>
      </c>
      <c r="AN103" s="18">
        <f t="shared" si="140"/>
        <v>3.1442404874999995E-3</v>
      </c>
      <c r="AO103" s="8">
        <f t="shared" si="141"/>
        <v>5.6596328774999989E-2</v>
      </c>
      <c r="AP103" s="12">
        <f t="shared" si="142"/>
        <v>0.56910752823749999</v>
      </c>
      <c r="AQ103" s="12">
        <f t="shared" si="143"/>
        <v>1.4673122274999999</v>
      </c>
      <c r="AR103" s="18">
        <f t="shared" si="144"/>
        <v>1.4545256495174996E-2</v>
      </c>
      <c r="AS103" s="8">
        <f t="shared" si="145"/>
        <v>9.3792693742124997E-2</v>
      </c>
      <c r="AT103" s="8">
        <f t="shared" si="146"/>
        <v>9.6213758917499975E-2</v>
      </c>
      <c r="AU103" s="8">
        <f t="shared" si="147"/>
        <v>0.96748279800374992</v>
      </c>
      <c r="AV103" s="8">
        <f t="shared" si="148"/>
        <v>10.2711855925</v>
      </c>
      <c r="AW103" s="8">
        <f t="shared" si="149"/>
        <v>2.4726936041797497E-2</v>
      </c>
      <c r="AX103" s="8">
        <f t="shared" si="150"/>
        <v>0.15944757936161247</v>
      </c>
      <c r="AY103" s="495">
        <f t="shared" si="183"/>
        <v>9.3132920719127599E-2</v>
      </c>
      <c r="AZ103" s="8">
        <f t="shared" si="151"/>
        <v>1.57605E-2</v>
      </c>
      <c r="BA103" s="6">
        <v>1.7</v>
      </c>
      <c r="BB103" s="6">
        <v>1.7</v>
      </c>
      <c r="BC103" s="6">
        <v>7</v>
      </c>
      <c r="BD103" s="9">
        <v>7.5999999999999998E-2</v>
      </c>
      <c r="BE103" s="9">
        <v>0.35</v>
      </c>
      <c r="BF103" s="9">
        <v>1.7999999999999999E-2</v>
      </c>
      <c r="BG103" s="9">
        <v>0.13</v>
      </c>
      <c r="BH103" s="28">
        <f t="shared" si="152"/>
        <v>3.8372669999999992E-3</v>
      </c>
      <c r="BI103" s="15">
        <f t="shared" si="153"/>
        <v>2.4743985E-2</v>
      </c>
      <c r="BJ103" s="12">
        <v>0.6</v>
      </c>
      <c r="BK103" s="12">
        <v>1.1499999999999999</v>
      </c>
      <c r="BL103" s="7">
        <v>15</v>
      </c>
      <c r="BM103" s="7">
        <v>40</v>
      </c>
      <c r="BN103" s="7">
        <v>45</v>
      </c>
      <c r="BO103" s="8">
        <f t="shared" si="154"/>
        <v>2.3880307499999998E-3</v>
      </c>
      <c r="BP103" s="8">
        <f t="shared" si="155"/>
        <v>2.7462353624999997E-3</v>
      </c>
      <c r="BQ103" s="8">
        <f t="shared" si="156"/>
        <v>4.1193530437499997E-4</v>
      </c>
      <c r="BR103" s="8">
        <f t="shared" si="157"/>
        <v>1.0984941449999998E-3</v>
      </c>
      <c r="BS103" s="8">
        <f t="shared" si="158"/>
        <v>1.2358059131249999E-3</v>
      </c>
      <c r="BT103" s="18">
        <f t="shared" si="159"/>
        <v>2.1159743468062496E-4</v>
      </c>
      <c r="BU103" s="8">
        <f t="shared" si="160"/>
        <v>7.9915449048749995E-4</v>
      </c>
      <c r="BV103" s="8">
        <f t="shared" si="161"/>
        <v>1.8674400464999998E-3</v>
      </c>
      <c r="BW103" s="8">
        <f t="shared" si="162"/>
        <v>2.1008700523124997E-3</v>
      </c>
      <c r="BX103" s="18">
        <f t="shared" si="163"/>
        <v>3.5971563895706248E-4</v>
      </c>
      <c r="BY103" s="8">
        <f t="shared" si="164"/>
        <v>1.3585626338287497E-3</v>
      </c>
      <c r="BZ103" s="12">
        <f t="shared" si="165"/>
        <v>0.55000000000000004</v>
      </c>
      <c r="CA103" s="12">
        <f t="shared" si="184"/>
        <v>0.40420062695924763</v>
      </c>
      <c r="CB103" s="6">
        <v>1.7</v>
      </c>
      <c r="CC103" s="6">
        <v>1.7</v>
      </c>
      <c r="CD103" s="15">
        <v>0.16</v>
      </c>
      <c r="CE103" s="9">
        <v>0.48</v>
      </c>
      <c r="CF103" s="9">
        <v>2.9000000000000001E-2</v>
      </c>
      <c r="CG103" s="11">
        <v>0.22</v>
      </c>
      <c r="CH103" s="28">
        <f t="shared" si="185"/>
        <v>5.5822724999999998E-5</v>
      </c>
      <c r="CI103" s="15">
        <f t="shared" si="166"/>
        <v>2.108295E-4</v>
      </c>
      <c r="CJ103" s="12">
        <v>0.25</v>
      </c>
      <c r="CK103" s="12">
        <v>1</v>
      </c>
      <c r="CL103" s="7">
        <v>2</v>
      </c>
      <c r="CM103" s="7">
        <v>23</v>
      </c>
      <c r="CN103" s="7">
        <v>75</v>
      </c>
      <c r="CO103" s="8">
        <f t="shared" si="167"/>
        <v>9.9501281249999999E-4</v>
      </c>
      <c r="CP103" s="8">
        <f t="shared" si="168"/>
        <v>9.9501281249999999E-4</v>
      </c>
      <c r="CQ103" s="18">
        <f t="shared" si="169"/>
        <v>1.9900256249999998E-5</v>
      </c>
      <c r="CR103" s="8">
        <f t="shared" si="170"/>
        <v>2.2885294687499999E-4</v>
      </c>
      <c r="CS103" s="8">
        <f t="shared" si="171"/>
        <v>7.4625960937499999E-4</v>
      </c>
      <c r="CT103" s="18">
        <f t="shared" si="172"/>
        <v>5.310383380312499E-5</v>
      </c>
      <c r="CU103" s="8">
        <f t="shared" si="173"/>
        <v>2.4019609293749998E-4</v>
      </c>
      <c r="CV103" s="8">
        <f t="shared" si="174"/>
        <v>3.8905000968749999E-4</v>
      </c>
      <c r="CW103" s="8">
        <f t="shared" si="175"/>
        <v>1.2686413359374999E-3</v>
      </c>
      <c r="CX103" s="18">
        <f t="shared" si="176"/>
        <v>9.027651746531249E-5</v>
      </c>
      <c r="CY103" s="8">
        <f t="shared" si="177"/>
        <v>4.0833335799374997E-4</v>
      </c>
      <c r="CZ103" s="12">
        <f t="shared" si="178"/>
        <v>0.25</v>
      </c>
      <c r="DA103" s="12">
        <f t="shared" si="186"/>
        <v>0.25526690391459073</v>
      </c>
      <c r="DB103" s="6">
        <v>1.7</v>
      </c>
      <c r="DC103" s="6">
        <v>1.7</v>
      </c>
      <c r="DD103" s="9">
        <v>0.14399999999999999</v>
      </c>
      <c r="DE103" s="9">
        <v>0.43</v>
      </c>
      <c r="DF103" s="15">
        <v>2.7E-2</v>
      </c>
      <c r="DG103" s="13">
        <v>0.19</v>
      </c>
      <c r="DH103" s="28">
        <f t="shared" si="179"/>
        <v>1.4009624999999999E-5</v>
      </c>
      <c r="DI103" s="29">
        <f t="shared" si="180"/>
        <v>6.3367499999999999E-5</v>
      </c>
    </row>
    <row r="104" spans="1:113" x14ac:dyDescent="0.25">
      <c r="A104" s="85">
        <v>96</v>
      </c>
      <c r="B104" s="35" t="s">
        <v>26</v>
      </c>
      <c r="C104" s="35" t="s">
        <v>28</v>
      </c>
      <c r="D104" s="19" t="s">
        <v>173</v>
      </c>
      <c r="E104" s="33">
        <v>4</v>
      </c>
      <c r="F104" s="9">
        <v>90</v>
      </c>
      <c r="G104" s="34">
        <v>15.75</v>
      </c>
      <c r="H104" s="19" t="s">
        <v>99</v>
      </c>
      <c r="I104" s="31" t="s">
        <v>99</v>
      </c>
      <c r="J104" s="32" t="s">
        <v>99</v>
      </c>
      <c r="K104" s="2" t="str">
        <f t="shared" si="123"/>
        <v>Statlig Landsbygd 4F 90 15,75 - -</v>
      </c>
      <c r="L104" s="2"/>
      <c r="M104" s="50" t="s">
        <v>93</v>
      </c>
      <c r="N104" s="53">
        <f>'Beräkna - Länk'!$C$26</f>
        <v>1</v>
      </c>
      <c r="O104" s="53">
        <f>'Beräkna - Länk'!$C$24/('Beräkna - Länk'!$C$27)^('Beräkna - Länk'!$C$25-2010)</f>
        <v>10385</v>
      </c>
      <c r="P104" s="13">
        <f t="shared" si="124"/>
        <v>3.7905249999999997</v>
      </c>
      <c r="Q104" s="13">
        <f t="shared" si="125"/>
        <v>0.30657766199999997</v>
      </c>
      <c r="R104" s="13">
        <f t="shared" si="126"/>
        <v>0.49545194169999995</v>
      </c>
      <c r="S104" s="28">
        <f t="shared" si="127"/>
        <v>5.3666252949999991E-3</v>
      </c>
      <c r="T104" s="15">
        <f t="shared" si="128"/>
        <v>4.6493821544999987E-2</v>
      </c>
      <c r="U104" s="13">
        <f t="shared" si="129"/>
        <v>0.44359149485999999</v>
      </c>
      <c r="V104" s="13">
        <f t="shared" si="130"/>
        <v>1.4737561199999998</v>
      </c>
      <c r="W104" s="15">
        <f t="shared" si="131"/>
        <v>1.1542316924309999E-2</v>
      </c>
      <c r="X104" s="15">
        <f t="shared" si="132"/>
        <v>7.0661898121950006E-2</v>
      </c>
      <c r="Y104" s="15">
        <f t="shared" si="133"/>
        <v>7.9039496626499992E-2</v>
      </c>
      <c r="Z104" s="14">
        <f t="shared" si="134"/>
        <v>0.75410554126199991</v>
      </c>
      <c r="AA104" s="14">
        <f t="shared" si="135"/>
        <v>10.316292839999999</v>
      </c>
      <c r="AB104" s="13">
        <f t="shared" si="136"/>
        <v>1.9621938771326997E-2</v>
      </c>
      <c r="AC104" s="14">
        <f t="shared" si="137"/>
        <v>0.12012522680731499</v>
      </c>
      <c r="AD104" s="13">
        <f t="shared" si="181"/>
        <v>0.1006618340895141</v>
      </c>
      <c r="AE104" s="15">
        <f t="shared" si="182"/>
        <v>2.2267659999999998E-2</v>
      </c>
      <c r="AF104" s="8">
        <v>0.08</v>
      </c>
      <c r="AG104" s="12">
        <v>1.62</v>
      </c>
      <c r="AH104" s="12">
        <v>0.9</v>
      </c>
      <c r="AI104" s="12">
        <v>9.1</v>
      </c>
      <c r="AJ104" s="7">
        <v>90</v>
      </c>
      <c r="AK104" s="12">
        <v>3</v>
      </c>
      <c r="AL104" s="12">
        <f t="shared" si="138"/>
        <v>0.30324199999999996</v>
      </c>
      <c r="AM104" s="12">
        <f t="shared" si="139"/>
        <v>0.49125203999999995</v>
      </c>
      <c r="AN104" s="18">
        <f t="shared" si="140"/>
        <v>4.4212683599999993E-3</v>
      </c>
      <c r="AO104" s="8">
        <f t="shared" si="141"/>
        <v>4.4703935639999991E-2</v>
      </c>
      <c r="AP104" s="12">
        <f t="shared" si="142"/>
        <v>0.44212683599999997</v>
      </c>
      <c r="AQ104" s="12">
        <f t="shared" si="143"/>
        <v>1.4737561199999998</v>
      </c>
      <c r="AR104" s="18">
        <f t="shared" si="144"/>
        <v>1.1266374285359999E-2</v>
      </c>
      <c r="AS104" s="8">
        <f t="shared" si="145"/>
        <v>6.9546551302800005E-2</v>
      </c>
      <c r="AT104" s="8">
        <f t="shared" si="146"/>
        <v>7.5996690587999988E-2</v>
      </c>
      <c r="AU104" s="8">
        <f t="shared" si="147"/>
        <v>0.75161562119999992</v>
      </c>
      <c r="AV104" s="8">
        <f t="shared" si="148"/>
        <v>10.316292839999999</v>
      </c>
      <c r="AW104" s="8">
        <f t="shared" si="149"/>
        <v>1.9152836285111996E-2</v>
      </c>
      <c r="AX104" s="8">
        <f t="shared" si="150"/>
        <v>0.11822913721475999</v>
      </c>
      <c r="AY104" s="495">
        <f t="shared" si="183"/>
        <v>9.6652299698884087E-2</v>
      </c>
      <c r="AZ104" s="8">
        <f t="shared" si="151"/>
        <v>1.2960000000000003E-2</v>
      </c>
      <c r="BA104" s="7">
        <v>1.7</v>
      </c>
      <c r="BB104" s="7">
        <v>1.7</v>
      </c>
      <c r="BC104" s="52">
        <v>7</v>
      </c>
      <c r="BD104" s="8">
        <v>7.3999999999999996E-2</v>
      </c>
      <c r="BE104" s="12">
        <v>0.27</v>
      </c>
      <c r="BF104" s="8">
        <v>1.7999999999999999E-2</v>
      </c>
      <c r="BG104" s="12">
        <v>0.13</v>
      </c>
      <c r="BH104" s="18">
        <v>2.9722463999999997E-3</v>
      </c>
      <c r="BI104" s="8">
        <v>1.8347472000000004E-2</v>
      </c>
      <c r="BJ104" s="12">
        <v>0.95</v>
      </c>
      <c r="BK104" s="12">
        <v>1.3</v>
      </c>
      <c r="BL104" s="7">
        <v>25</v>
      </c>
      <c r="BM104" s="7">
        <v>45</v>
      </c>
      <c r="BN104" s="7">
        <v>30</v>
      </c>
      <c r="BO104" s="8">
        <f t="shared" si="154"/>
        <v>2.8807989999999994E-3</v>
      </c>
      <c r="BP104" s="8">
        <f t="shared" si="155"/>
        <v>3.7450386999999994E-3</v>
      </c>
      <c r="BQ104" s="8">
        <f t="shared" si="156"/>
        <v>9.3625967499999985E-4</v>
      </c>
      <c r="BR104" s="8">
        <f t="shared" si="157"/>
        <v>1.6852674149999997E-3</v>
      </c>
      <c r="BS104" s="8">
        <f t="shared" si="158"/>
        <v>1.1235116099999997E-3</v>
      </c>
      <c r="BT104" s="18">
        <f t="shared" si="159"/>
        <v>2.5166660064000008E-4</v>
      </c>
      <c r="BU104" s="8">
        <f t="shared" si="160"/>
        <v>1.0055428909500001E-3</v>
      </c>
      <c r="BV104" s="8">
        <f t="shared" si="161"/>
        <v>2.8649546054999994E-3</v>
      </c>
      <c r="BW104" s="8">
        <f t="shared" si="162"/>
        <v>1.9099697369999995E-3</v>
      </c>
      <c r="BX104" s="18">
        <f t="shared" si="163"/>
        <v>4.2783322108799993E-4</v>
      </c>
      <c r="BY104" s="8">
        <f t="shared" si="164"/>
        <v>1.7094229146149996E-3</v>
      </c>
      <c r="BZ104" s="12">
        <f t="shared" si="165"/>
        <v>0.7</v>
      </c>
      <c r="CA104" s="12">
        <f t="shared" si="184"/>
        <v>0.46324590163934426</v>
      </c>
      <c r="CB104" s="7">
        <v>1.7</v>
      </c>
      <c r="CC104" s="7">
        <v>1.7</v>
      </c>
      <c r="CD104" s="8">
        <v>0.13</v>
      </c>
      <c r="CE104" s="8">
        <v>0.45</v>
      </c>
      <c r="CF104" s="8">
        <v>2.9000000000000001E-2</v>
      </c>
      <c r="CG104" s="8">
        <v>0.22</v>
      </c>
      <c r="CH104" s="28">
        <f t="shared" si="185"/>
        <v>6.6393600000000028E-5</v>
      </c>
      <c r="CI104" s="15">
        <f t="shared" si="166"/>
        <v>2.6527800000000003E-4</v>
      </c>
      <c r="CJ104" s="12">
        <v>0.15</v>
      </c>
      <c r="CK104" s="12">
        <v>1</v>
      </c>
      <c r="CL104" s="7">
        <v>2</v>
      </c>
      <c r="CM104" s="7">
        <v>23</v>
      </c>
      <c r="CN104" s="7">
        <v>75</v>
      </c>
      <c r="CO104" s="8">
        <f t="shared" si="167"/>
        <v>4.5486299999999996E-4</v>
      </c>
      <c r="CP104" s="8">
        <f t="shared" si="168"/>
        <v>4.5486299999999996E-4</v>
      </c>
      <c r="CQ104" s="18">
        <f t="shared" si="169"/>
        <v>9.097259999999999E-6</v>
      </c>
      <c r="CR104" s="8">
        <f t="shared" si="170"/>
        <v>1.0461849E-4</v>
      </c>
      <c r="CS104" s="8">
        <f t="shared" si="171"/>
        <v>3.4114724999999995E-4</v>
      </c>
      <c r="CT104" s="18">
        <f t="shared" si="172"/>
        <v>2.4276038309999995E-5</v>
      </c>
      <c r="CU104" s="8">
        <f t="shared" si="173"/>
        <v>1.0980392819999999E-4</v>
      </c>
      <c r="CV104" s="8">
        <f t="shared" si="174"/>
        <v>1.7785143300000001E-4</v>
      </c>
      <c r="CW104" s="8">
        <f t="shared" si="175"/>
        <v>5.7995032499999987E-4</v>
      </c>
      <c r="CX104" s="18">
        <f t="shared" si="176"/>
        <v>4.1269265126999999E-5</v>
      </c>
      <c r="CY104" s="8">
        <f t="shared" si="177"/>
        <v>1.8666667793999997E-4</v>
      </c>
      <c r="CZ104" s="12">
        <f t="shared" si="178"/>
        <v>0.25</v>
      </c>
      <c r="DA104" s="12">
        <f t="shared" si="186"/>
        <v>0.25526690391459078</v>
      </c>
      <c r="DB104" s="7">
        <v>1.7</v>
      </c>
      <c r="DC104" s="7">
        <v>1.7</v>
      </c>
      <c r="DD104" s="8">
        <v>0.14399999999999999</v>
      </c>
      <c r="DE104" s="8">
        <v>0.43</v>
      </c>
      <c r="DF104" s="8">
        <v>2.7E-2</v>
      </c>
      <c r="DG104" s="12">
        <v>0.19</v>
      </c>
      <c r="DH104" s="28">
        <f t="shared" si="179"/>
        <v>6.4043999999999992E-6</v>
      </c>
      <c r="DI104" s="29">
        <f t="shared" si="180"/>
        <v>2.8968000000000001E-5</v>
      </c>
    </row>
    <row r="105" spans="1:113" x14ac:dyDescent="0.25">
      <c r="A105" s="85">
        <v>97</v>
      </c>
      <c r="B105" s="35" t="s">
        <v>26</v>
      </c>
      <c r="C105" s="35" t="s">
        <v>28</v>
      </c>
      <c r="D105" s="19" t="s">
        <v>173</v>
      </c>
      <c r="E105" s="33">
        <v>4</v>
      </c>
      <c r="F105" s="9">
        <v>90</v>
      </c>
      <c r="G105" s="38" t="s">
        <v>33</v>
      </c>
      <c r="H105" s="19" t="s">
        <v>99</v>
      </c>
      <c r="I105" s="31" t="s">
        <v>99</v>
      </c>
      <c r="J105" s="32" t="s">
        <v>99</v>
      </c>
      <c r="K105" s="2" t="str">
        <f t="shared" ref="K105:K135" si="187">B105&amp;" "&amp;C105&amp;" "&amp;D105&amp;" "&amp;F105&amp;" "&amp;G105&amp;" "&amp;H105&amp;" "&amp;I105</f>
        <v>Statlig Landsbygd 4F 90 &gt;18 - -</v>
      </c>
      <c r="L105" s="2"/>
      <c r="M105" s="32" t="s">
        <v>99</v>
      </c>
      <c r="N105" s="53">
        <f>'Beräkna - Länk'!$C$26</f>
        <v>1</v>
      </c>
      <c r="O105" s="53">
        <f>'Beräkna - Länk'!$C$24/('Beräkna - Länk'!$C$27)^('Beräkna - Länk'!$C$25-2010)</f>
        <v>10385</v>
      </c>
      <c r="P105" s="13">
        <f t="shared" ref="P105:P135" si="188">N105*O105*365*0.000001</f>
        <v>3.7905249999999997</v>
      </c>
      <c r="Q105" s="13">
        <f t="shared" ref="Q105:Q135" si="189">AL105+BO105+CO105</f>
        <v>0.32525547393750004</v>
      </c>
      <c r="R105" s="13">
        <f t="shared" ref="R105:R135" si="190">AM105+BP105+CP105</f>
        <v>0.5189588824875</v>
      </c>
      <c r="S105" s="28">
        <f t="shared" ref="S105:S135" si="191">AN105+BQ105+CQ105</f>
        <v>3.3282704762500003E-3</v>
      </c>
      <c r="T105" s="15">
        <f t="shared" ref="T105:T135" si="192">AO105+BR105+CR105</f>
        <v>6.5439339310625011E-2</v>
      </c>
      <c r="U105" s="13">
        <f t="shared" ref="U105:U135" si="193">AP105+BS105+CS105</f>
        <v>0.45019127270062498</v>
      </c>
      <c r="V105" s="13">
        <f t="shared" ref="V105:V135" si="194">AQ105</f>
        <v>1.325600742857143</v>
      </c>
      <c r="W105" s="15">
        <f t="shared" ref="W105:W135" si="195">AR105+BT105+CT105</f>
        <v>1.3177023947781875E-2</v>
      </c>
      <c r="X105" s="15">
        <f t="shared" ref="X105:X135" si="196">AS105+BU105+CU105</f>
        <v>8.1694928067362504E-2</v>
      </c>
      <c r="Y105" s="15">
        <f t="shared" ref="Y105:Y135" si="197">AO105*BA105+BR105*CB105+CR105*DB105</f>
        <v>0.11124687682806252</v>
      </c>
      <c r="Z105" s="14">
        <f t="shared" ref="Z105:Z135" si="198">AP105*BB105+BS105*CC105+CS105*DC105</f>
        <v>0.76532516359106251</v>
      </c>
      <c r="AA105" s="14">
        <f t="shared" ref="AA105:AA135" si="199">AQ105*BC105</f>
        <v>9.2792052000000016</v>
      </c>
      <c r="AB105" s="13">
        <f t="shared" ref="AB105:AB135" si="200">BD105*AO105*BA105+BF105*AP105*BB105+CD105*BR105*CB105+CF105*BS105*CC105+DD105*CR105*DB105+DF105*CS105*DC105</f>
        <v>2.2400940711229188E-2</v>
      </c>
      <c r="AC105" s="14">
        <f t="shared" ref="AC105:AC135" si="201">BE105*AO105*BA105+BG105*AP105*BB105+CE105*BR105*CB105+CG105*BS105*CC105+DE105*CR105*DB105+DG105*CS105*DC105</f>
        <v>0.13888137771451625</v>
      </c>
      <c r="AD105" s="13">
        <f t="shared" si="181"/>
        <v>0.13021378204506184</v>
      </c>
      <c r="AE105" s="15">
        <f t="shared" si="182"/>
        <v>3.0226722500000008E-2</v>
      </c>
      <c r="AF105" s="6">
        <v>8.5000000000000006E-2</v>
      </c>
      <c r="AG105" s="12">
        <v>1.6</v>
      </c>
      <c r="AH105" s="12">
        <v>0.5</v>
      </c>
      <c r="AI105" s="12">
        <v>12.5</v>
      </c>
      <c r="AJ105" s="7">
        <v>87</v>
      </c>
      <c r="AK105" s="12">
        <v>2.5714285714285716</v>
      </c>
      <c r="AL105" s="12">
        <f t="shared" ref="AL105:AL135" si="202">$N$4*P105*AF105</f>
        <v>0.32219462500000001</v>
      </c>
      <c r="AM105" s="12">
        <f t="shared" ref="AM105:AM135" si="203">AG105*$AL105</f>
        <v>0.51551140000000006</v>
      </c>
      <c r="AN105" s="18">
        <f t="shared" ref="AN105:AN135" si="204">AH105*$AM105/100</f>
        <v>2.5775570000000003E-3</v>
      </c>
      <c r="AO105" s="8">
        <f t="shared" ref="AO105:AO135" si="205">AI105*$AM105/100</f>
        <v>6.4438925000000008E-2</v>
      </c>
      <c r="AP105" s="12">
        <f t="shared" ref="AP105:AP135" si="206">AJ105*$AM105/100</f>
        <v>0.44849491800000002</v>
      </c>
      <c r="AQ105" s="12">
        <f t="shared" ref="AQ105:AQ135" si="207">AK105*$AM105</f>
        <v>1.325600742857143</v>
      </c>
      <c r="AR105" s="18">
        <f t="shared" ref="AR105:AR135" si="208">BH105*P105</f>
        <v>1.2970266824E-2</v>
      </c>
      <c r="AS105" s="8">
        <f t="shared" ref="AS105:AS135" si="209">BI105*P105</f>
        <v>8.0857963089999998E-2</v>
      </c>
      <c r="AT105" s="8">
        <f t="shared" ref="AT105:AT135" si="210">AO105*BA105</f>
        <v>0.10954617250000001</v>
      </c>
      <c r="AU105" s="8">
        <f t="shared" ref="AU105:AU135" si="211">AP105*BB105</f>
        <v>0.76244136060000001</v>
      </c>
      <c r="AV105" s="8">
        <f t="shared" ref="AV105:AV135" si="212">AQ105*BC105</f>
        <v>9.2792052000000016</v>
      </c>
      <c r="AW105" s="8">
        <f t="shared" ref="AW105:AW135" si="213">BD105*AT105+BF105*AU105</f>
        <v>2.20494536008E-2</v>
      </c>
      <c r="AX105" s="8">
        <f t="shared" ref="AX105:AX135" si="214">BE105*AT105+BG105*AU105</f>
        <v>0.137458537253</v>
      </c>
      <c r="AY105" s="495">
        <f t="shared" si="183"/>
        <v>0.12820512820512819</v>
      </c>
      <c r="AZ105" s="8">
        <f t="shared" ref="AZ105:AZ135" si="215">(AH105/100+AI105/100)*AG105*AF105</f>
        <v>1.7680000000000001E-2</v>
      </c>
      <c r="BA105" s="6">
        <v>1.7</v>
      </c>
      <c r="BB105" s="6">
        <v>1.7</v>
      </c>
      <c r="BC105" s="6">
        <v>7</v>
      </c>
      <c r="BD105" s="9">
        <v>7.5999999999999998E-2</v>
      </c>
      <c r="BE105" s="9">
        <v>0.35</v>
      </c>
      <c r="BF105" s="9">
        <v>1.7999999999999999E-2</v>
      </c>
      <c r="BG105" s="9">
        <v>0.13</v>
      </c>
      <c r="BH105" s="28">
        <f t="shared" ref="BH105:BH135" si="216">$AF105*$AG105*($AI105*BD105+$AJ105*BF105)/100</f>
        <v>3.4217600000000003E-3</v>
      </c>
      <c r="BI105" s="15">
        <f t="shared" ref="BI105:BI135" si="217">$AF105*$AG105*($AI105*BE105+$AJ105*BG105)/100</f>
        <v>2.1331600000000003E-2</v>
      </c>
      <c r="BJ105" s="12">
        <v>0.8</v>
      </c>
      <c r="BK105" s="12">
        <v>1.1499999999999999</v>
      </c>
      <c r="BL105" s="7">
        <v>25</v>
      </c>
      <c r="BM105" s="7">
        <v>30</v>
      </c>
      <c r="BN105" s="7">
        <v>45</v>
      </c>
      <c r="BO105" s="8">
        <f t="shared" ref="BO105:BO135" si="218">$N$5*BJ105/100*AL105</f>
        <v>2.5775570000000003E-3</v>
      </c>
      <c r="BP105" s="8">
        <f t="shared" ref="BP105:BP135" si="219">BK105*BO105</f>
        <v>2.9641905500000002E-3</v>
      </c>
      <c r="BQ105" s="8">
        <f t="shared" ref="BQ105:BQ135" si="220">BL105/100*BP105</f>
        <v>7.4104763750000005E-4</v>
      </c>
      <c r="BR105" s="8">
        <f t="shared" ref="BR105:BR135" si="221">BM105/100*BP105</f>
        <v>8.8925716500000006E-4</v>
      </c>
      <c r="BS105" s="8">
        <f t="shared" ref="BS105:BS135" si="222">BN105/100*BP105</f>
        <v>1.3338857475000002E-3</v>
      </c>
      <c r="BT105" s="18">
        <f t="shared" ref="BT105:BT135" si="223">CH105*P105</f>
        <v>1.8096383307750002E-4</v>
      </c>
      <c r="BU105" s="8">
        <f t="shared" ref="BU105:BU135" si="224">CI105*P105</f>
        <v>7.2029830364999986E-4</v>
      </c>
      <c r="BV105" s="8">
        <f t="shared" ref="BV105:BV135" si="225">BR105*CB105</f>
        <v>1.5117371805000001E-3</v>
      </c>
      <c r="BW105" s="8">
        <f t="shared" ref="BW105:BW135" si="226">BS105*CC105</f>
        <v>2.2676057707500001E-3</v>
      </c>
      <c r="BX105" s="18">
        <f t="shared" ref="BX105:BX135" si="227">BV105*CD105+CF105*BW105</f>
        <v>3.0763851623175005E-4</v>
      </c>
      <c r="BY105" s="8">
        <f t="shared" ref="BY105:BY135" si="228">BW105*CG105+BV105*CE105</f>
        <v>1.2245071162050002E-3</v>
      </c>
      <c r="BZ105" s="12">
        <f t="shared" ref="BZ105:BZ135" si="229">BL105/100+BM105/100</f>
        <v>0.55000000000000004</v>
      </c>
      <c r="CA105" s="12">
        <f t="shared" si="184"/>
        <v>0.43481967213114758</v>
      </c>
      <c r="CB105" s="6">
        <v>1.7</v>
      </c>
      <c r="CC105" s="6">
        <v>1.7</v>
      </c>
      <c r="CD105" s="15">
        <v>0.16</v>
      </c>
      <c r="CE105" s="9">
        <v>0.48</v>
      </c>
      <c r="CF105" s="9">
        <v>2.9000000000000001E-2</v>
      </c>
      <c r="CG105" s="11">
        <v>0.22</v>
      </c>
      <c r="CH105" s="28">
        <f t="shared" si="185"/>
        <v>4.774110000000001E-5</v>
      </c>
      <c r="CI105" s="15">
        <f t="shared" ref="CI105:CI135" si="230">$BJ105/100*$AF105*$BK105*($BM105*CE105+$BN105*CG105)/100</f>
        <v>1.9002599999999999E-4</v>
      </c>
      <c r="CJ105" s="12">
        <v>0.15</v>
      </c>
      <c r="CK105" s="12">
        <v>1</v>
      </c>
      <c r="CL105" s="7">
        <v>2</v>
      </c>
      <c r="CM105" s="7">
        <v>23</v>
      </c>
      <c r="CN105" s="7">
        <v>75</v>
      </c>
      <c r="CO105" s="8">
        <f t="shared" ref="CO105:CO135" si="231">$N$6*CJ105/100*AL105</f>
        <v>4.8329193750000005E-4</v>
      </c>
      <c r="CP105" s="8">
        <f t="shared" ref="CP105:CP135" si="232">CK105*CO105</f>
        <v>4.8329193750000005E-4</v>
      </c>
      <c r="CQ105" s="18">
        <f t="shared" ref="CQ105:CQ135" si="233">CL105/100*CP105</f>
        <v>9.6658387500000009E-6</v>
      </c>
      <c r="CR105" s="8">
        <f t="shared" ref="CR105:CR135" si="234">CM105/100*CP105</f>
        <v>1.1115714562500002E-4</v>
      </c>
      <c r="CS105" s="8">
        <f t="shared" ref="CS105:CS135" si="235">CN105/100*CP105</f>
        <v>3.6246895312500005E-4</v>
      </c>
      <c r="CT105" s="18">
        <f t="shared" ref="CT105:CT135" si="236">DH105*P105</f>
        <v>2.5793290704374999E-5</v>
      </c>
      <c r="CU105" s="8">
        <f t="shared" ref="CU105:CU135" si="237">DI105*P105</f>
        <v>1.1666667371250001E-4</v>
      </c>
      <c r="CV105" s="8">
        <f t="shared" ref="CV105:CV135" si="238">CR105*DB105</f>
        <v>1.8896714756250004E-4</v>
      </c>
      <c r="CW105" s="8">
        <f t="shared" ref="CW105:CW135" si="239">CS105*DC105</f>
        <v>6.1619722031250009E-4</v>
      </c>
      <c r="CX105" s="18">
        <f t="shared" ref="CX105:CX135" si="240">CV105*DD105+CW105*DF105</f>
        <v>4.3848594197437508E-5</v>
      </c>
      <c r="CY105" s="8">
        <f t="shared" ref="CY105:CY135" si="241">CV105*DE105+CW105*DG105</f>
        <v>1.9833334531125005E-4</v>
      </c>
      <c r="CZ105" s="12">
        <f t="shared" ref="CZ105:CZ135" si="242">CL105/100+CM105/100</f>
        <v>0.25</v>
      </c>
      <c r="DA105" s="12">
        <f t="shared" si="186"/>
        <v>0.25526690391459078</v>
      </c>
      <c r="DB105" s="6">
        <v>1.7</v>
      </c>
      <c r="DC105" s="6">
        <v>1.7</v>
      </c>
      <c r="DD105" s="9">
        <v>0.14399999999999999</v>
      </c>
      <c r="DE105" s="9">
        <v>0.43</v>
      </c>
      <c r="DF105" s="15">
        <v>2.7E-2</v>
      </c>
      <c r="DG105" s="13">
        <v>0.19</v>
      </c>
      <c r="DH105" s="28">
        <f t="shared" ref="DH105:DH135" si="243">$CJ105/100*$AF105*$CK105*($CM105*DD105+$CN105*DF105)/100</f>
        <v>6.8046750000000002E-6</v>
      </c>
      <c r="DI105" s="29">
        <f t="shared" ref="DI105:DI135" si="244">$CJ105/100*$AF105*$CK105*($CM105*DE105+$CN105*DG105)/100</f>
        <v>3.0778500000000004E-5</v>
      </c>
    </row>
    <row r="106" spans="1:113" x14ac:dyDescent="0.25">
      <c r="A106" s="85">
        <v>98</v>
      </c>
      <c r="B106" s="35" t="s">
        <v>26</v>
      </c>
      <c r="C106" s="35" t="s">
        <v>28</v>
      </c>
      <c r="D106" s="19" t="s">
        <v>173</v>
      </c>
      <c r="E106" s="33">
        <v>4</v>
      </c>
      <c r="F106" s="9">
        <v>100</v>
      </c>
      <c r="G106" s="34">
        <v>15.75</v>
      </c>
      <c r="H106" s="19" t="s">
        <v>99</v>
      </c>
      <c r="I106" s="31" t="s">
        <v>99</v>
      </c>
      <c r="J106" s="32" t="s">
        <v>99</v>
      </c>
      <c r="K106" s="2" t="str">
        <f t="shared" si="187"/>
        <v>Statlig Landsbygd 4F 100 15,75 - -</v>
      </c>
      <c r="L106" s="2"/>
      <c r="M106" s="50" t="s">
        <v>94</v>
      </c>
      <c r="N106" s="53">
        <f>'Beräkna - Länk'!$C$26</f>
        <v>1</v>
      </c>
      <c r="O106" s="53">
        <f>'Beräkna - Länk'!$C$24/('Beräkna - Länk'!$C$27)^('Beräkna - Länk'!$C$25-2010)</f>
        <v>10385</v>
      </c>
      <c r="P106" s="13">
        <f t="shared" si="188"/>
        <v>3.7905249999999997</v>
      </c>
      <c r="Q106" s="13">
        <f t="shared" si="189"/>
        <v>0.27208767502499992</v>
      </c>
      <c r="R106" s="13">
        <f t="shared" si="190"/>
        <v>0.42087468900874991</v>
      </c>
      <c r="S106" s="28">
        <f t="shared" si="191"/>
        <v>3.7590352135624988E-3</v>
      </c>
      <c r="T106" s="15">
        <f t="shared" si="192"/>
        <v>4.0383220431937497E-2</v>
      </c>
      <c r="U106" s="13">
        <f t="shared" si="193"/>
        <v>0.37673243336324996</v>
      </c>
      <c r="V106" s="13">
        <f t="shared" si="194"/>
        <v>1.2514418287499998</v>
      </c>
      <c r="W106" s="15">
        <f t="shared" si="195"/>
        <v>1.0306309734307498E-2</v>
      </c>
      <c r="X106" s="15">
        <f t="shared" si="196"/>
        <v>6.1091433908632503E-2</v>
      </c>
      <c r="Y106" s="15">
        <f t="shared" si="197"/>
        <v>6.8651474734293741E-2</v>
      </c>
      <c r="Z106" s="14">
        <f t="shared" si="198"/>
        <v>0.6404451367175249</v>
      </c>
      <c r="AA106" s="14">
        <f t="shared" si="199"/>
        <v>8.7600928012499981</v>
      </c>
      <c r="AB106" s="13">
        <f t="shared" si="200"/>
        <v>1.7520726548322745E-2</v>
      </c>
      <c r="AC106" s="14">
        <f t="shared" si="201"/>
        <v>0.10385543764467524</v>
      </c>
      <c r="AD106" s="13">
        <f t="shared" si="181"/>
        <v>0.10157808286513606</v>
      </c>
      <c r="AE106" s="15">
        <f t="shared" si="182"/>
        <v>1.9103029249999997E-2</v>
      </c>
      <c r="AF106" s="6">
        <v>7.0999999999999994E-2</v>
      </c>
      <c r="AG106" s="6">
        <v>1.55</v>
      </c>
      <c r="AH106" s="12">
        <v>0.7</v>
      </c>
      <c r="AI106" s="12">
        <v>9.3000000000000007</v>
      </c>
      <c r="AJ106" s="7">
        <v>90</v>
      </c>
      <c r="AK106" s="12">
        <v>3</v>
      </c>
      <c r="AL106" s="12">
        <f t="shared" si="202"/>
        <v>0.26912727499999994</v>
      </c>
      <c r="AM106" s="12">
        <f t="shared" si="203"/>
        <v>0.41714727624999992</v>
      </c>
      <c r="AN106" s="18">
        <f t="shared" si="204"/>
        <v>2.9200309337499993E-3</v>
      </c>
      <c r="AO106" s="8">
        <f t="shared" si="205"/>
        <v>3.8794696691249998E-2</v>
      </c>
      <c r="AP106" s="12">
        <f t="shared" si="206"/>
        <v>0.37543254862499992</v>
      </c>
      <c r="AQ106" s="12">
        <f t="shared" si="207"/>
        <v>1.2514418287499998</v>
      </c>
      <c r="AR106" s="18">
        <f t="shared" si="208"/>
        <v>1.0016540397314999E-2</v>
      </c>
      <c r="AS106" s="8">
        <f t="shared" si="209"/>
        <v>6.0056693361712501E-2</v>
      </c>
      <c r="AT106" s="8">
        <f t="shared" si="210"/>
        <v>6.5950984375124991E-2</v>
      </c>
      <c r="AU106" s="8">
        <f t="shared" si="211"/>
        <v>0.63823533266249988</v>
      </c>
      <c r="AV106" s="8">
        <f t="shared" si="212"/>
        <v>8.7600928012499981</v>
      </c>
      <c r="AW106" s="8">
        <f t="shared" si="213"/>
        <v>1.7028118675435494E-2</v>
      </c>
      <c r="AX106" s="8">
        <f t="shared" si="214"/>
        <v>0.10209637871491123</v>
      </c>
      <c r="AY106" s="495">
        <f t="shared" si="183"/>
        <v>9.7398383576190198E-2</v>
      </c>
      <c r="AZ106" s="8">
        <f t="shared" si="215"/>
        <v>1.1005000000000001E-2</v>
      </c>
      <c r="BA106" s="6">
        <v>1.7</v>
      </c>
      <c r="BB106" s="6">
        <v>1.7</v>
      </c>
      <c r="BC106" s="6">
        <v>7</v>
      </c>
      <c r="BD106" s="6">
        <v>8.4000000000000005E-2</v>
      </c>
      <c r="BE106" s="6">
        <v>0.28999999999999998</v>
      </c>
      <c r="BF106" s="6">
        <v>1.7999999999999999E-2</v>
      </c>
      <c r="BG106" s="6">
        <v>0.13</v>
      </c>
      <c r="BH106" s="28">
        <f t="shared" si="216"/>
        <v>2.6425206E-3</v>
      </c>
      <c r="BI106" s="15">
        <f t="shared" si="217"/>
        <v>1.5843898500000002E-2</v>
      </c>
      <c r="BJ106" s="12">
        <v>0.95</v>
      </c>
      <c r="BK106" s="12">
        <v>1.3</v>
      </c>
      <c r="BL106" s="7">
        <v>25</v>
      </c>
      <c r="BM106" s="7">
        <v>45</v>
      </c>
      <c r="BN106" s="7">
        <v>30</v>
      </c>
      <c r="BO106" s="8">
        <f t="shared" si="218"/>
        <v>2.5567091124999992E-3</v>
      </c>
      <c r="BP106" s="8">
        <f t="shared" si="219"/>
        <v>3.3237218462499993E-3</v>
      </c>
      <c r="BQ106" s="8">
        <f t="shared" si="220"/>
        <v>8.3093046156249982E-4</v>
      </c>
      <c r="BR106" s="8">
        <f t="shared" si="221"/>
        <v>1.4956748308124997E-3</v>
      </c>
      <c r="BS106" s="8">
        <f t="shared" si="222"/>
        <v>9.9711655387499983E-4</v>
      </c>
      <c r="BT106" s="18">
        <f t="shared" si="223"/>
        <v>2.6822435299237498E-4</v>
      </c>
      <c r="BU106" s="8">
        <f t="shared" si="224"/>
        <v>9.3728956064249966E-4</v>
      </c>
      <c r="BV106" s="8">
        <f t="shared" si="225"/>
        <v>2.5426472123812496E-3</v>
      </c>
      <c r="BW106" s="8">
        <f t="shared" si="226"/>
        <v>1.6950981415874997E-3</v>
      </c>
      <c r="BX106" s="18">
        <f t="shared" si="227"/>
        <v>4.5598140008703744E-4</v>
      </c>
      <c r="BY106" s="8">
        <f t="shared" si="228"/>
        <v>1.5933922530922497E-3</v>
      </c>
      <c r="BZ106" s="12">
        <f t="shared" si="229"/>
        <v>0.7</v>
      </c>
      <c r="CA106" s="12">
        <f t="shared" si="184"/>
        <v>0.4782950819672131</v>
      </c>
      <c r="CB106" s="6">
        <v>1.7</v>
      </c>
      <c r="CC106" s="6">
        <v>1.7</v>
      </c>
      <c r="CD106" s="6">
        <v>0.16</v>
      </c>
      <c r="CE106" s="6">
        <v>0.48</v>
      </c>
      <c r="CF106" s="6">
        <v>2.9000000000000001E-2</v>
      </c>
      <c r="CG106" s="6">
        <v>0.22</v>
      </c>
      <c r="CH106" s="28">
        <f t="shared" ref="CH106:CH135" si="245">$BJ106/100*$AF106*$BK106*($BM106*CD106+$BN106*CF106)/100</f>
        <v>7.0761795000000004E-5</v>
      </c>
      <c r="CI106" s="15">
        <f t="shared" si="230"/>
        <v>2.4727169999999994E-4</v>
      </c>
      <c r="CJ106" s="12">
        <v>0.15</v>
      </c>
      <c r="CK106" s="12">
        <v>1</v>
      </c>
      <c r="CL106" s="7">
        <v>2</v>
      </c>
      <c r="CM106" s="7">
        <v>23</v>
      </c>
      <c r="CN106" s="7">
        <v>75</v>
      </c>
      <c r="CO106" s="8">
        <f t="shared" si="231"/>
        <v>4.0369091249999994E-4</v>
      </c>
      <c r="CP106" s="8">
        <f t="shared" si="232"/>
        <v>4.0369091249999994E-4</v>
      </c>
      <c r="CQ106" s="18">
        <f t="shared" si="233"/>
        <v>8.0738182499999988E-6</v>
      </c>
      <c r="CR106" s="8">
        <f t="shared" si="234"/>
        <v>9.2848909874999986E-5</v>
      </c>
      <c r="CS106" s="8">
        <f t="shared" si="235"/>
        <v>3.0276818437499994E-4</v>
      </c>
      <c r="CT106" s="18">
        <f t="shared" si="236"/>
        <v>2.1544984000124996E-5</v>
      </c>
      <c r="CU106" s="8">
        <f t="shared" si="237"/>
        <v>9.7450986277499988E-5</v>
      </c>
      <c r="CV106" s="8">
        <f t="shared" si="238"/>
        <v>1.5784314678749997E-4</v>
      </c>
      <c r="CW106" s="8">
        <f t="shared" si="239"/>
        <v>5.1470591343749986E-4</v>
      </c>
      <c r="CX106" s="18">
        <f t="shared" si="240"/>
        <v>3.6626472800212492E-5</v>
      </c>
      <c r="CY106" s="8">
        <f t="shared" si="241"/>
        <v>1.6566667667174996E-4</v>
      </c>
      <c r="CZ106" s="12">
        <f t="shared" si="242"/>
        <v>0.25</v>
      </c>
      <c r="DA106" s="12">
        <f t="shared" si="186"/>
        <v>0.25526690391459073</v>
      </c>
      <c r="DB106" s="6">
        <v>1.7</v>
      </c>
      <c r="DC106" s="6">
        <v>1.7</v>
      </c>
      <c r="DD106" s="6">
        <v>0.14399999999999999</v>
      </c>
      <c r="DE106" s="6">
        <v>0.43</v>
      </c>
      <c r="DF106" s="6">
        <v>2.7E-2</v>
      </c>
      <c r="DG106" s="6">
        <v>0.19</v>
      </c>
      <c r="DH106" s="28">
        <f t="shared" si="243"/>
        <v>5.6839049999999994E-6</v>
      </c>
      <c r="DI106" s="29">
        <f t="shared" si="244"/>
        <v>2.5709099999999998E-5</v>
      </c>
    </row>
    <row r="107" spans="1:113" x14ac:dyDescent="0.25">
      <c r="A107" s="85">
        <v>99</v>
      </c>
      <c r="B107" s="35" t="s">
        <v>26</v>
      </c>
      <c r="C107" s="35" t="s">
        <v>28</v>
      </c>
      <c r="D107" s="19" t="s">
        <v>173</v>
      </c>
      <c r="E107" s="33">
        <v>4</v>
      </c>
      <c r="F107" s="9">
        <v>100</v>
      </c>
      <c r="G107" s="34">
        <v>18.5</v>
      </c>
      <c r="H107" s="19" t="s">
        <v>99</v>
      </c>
      <c r="I107" s="31" t="s">
        <v>99</v>
      </c>
      <c r="J107" s="32" t="s">
        <v>99</v>
      </c>
      <c r="K107" s="2" t="str">
        <f t="shared" si="187"/>
        <v>Statlig Landsbygd 4F 100 18,5 - -</v>
      </c>
      <c r="L107" s="2"/>
      <c r="M107" s="50" t="s">
        <v>84</v>
      </c>
      <c r="N107" s="53">
        <f>'Beräkna - Länk'!$C$26</f>
        <v>1</v>
      </c>
      <c r="O107" s="53">
        <f>'Beräkna - Länk'!$C$24/('Beräkna - Länk'!$C$27)^('Beräkna - Länk'!$C$25-2010)</f>
        <v>10385</v>
      </c>
      <c r="P107" s="13">
        <f t="shared" si="188"/>
        <v>3.7905249999999997</v>
      </c>
      <c r="Q107" s="13">
        <f t="shared" si="189"/>
        <v>0.28684797937499995</v>
      </c>
      <c r="R107" s="13">
        <f t="shared" si="190"/>
        <v>0.46353382593749992</v>
      </c>
      <c r="S107" s="28">
        <f t="shared" si="191"/>
        <v>2.9509237124999994E-3</v>
      </c>
      <c r="T107" s="15">
        <f t="shared" si="192"/>
        <v>5.1526027771874996E-2</v>
      </c>
      <c r="U107" s="13">
        <f t="shared" si="193"/>
        <v>0.40905687445312494</v>
      </c>
      <c r="V107" s="13">
        <f t="shared" si="194"/>
        <v>1.3816463624999997</v>
      </c>
      <c r="W107" s="15">
        <f t="shared" si="195"/>
        <v>1.1872295297634372E-2</v>
      </c>
      <c r="X107" s="15">
        <f t="shared" si="196"/>
        <v>7.2455155698937498E-2</v>
      </c>
      <c r="Y107" s="15">
        <f t="shared" si="197"/>
        <v>8.759424721218749E-2</v>
      </c>
      <c r="Z107" s="14">
        <f t="shared" si="198"/>
        <v>0.69539668657031239</v>
      </c>
      <c r="AA107" s="14">
        <f t="shared" si="199"/>
        <v>9.6715245374999981</v>
      </c>
      <c r="AB107" s="13">
        <f t="shared" si="200"/>
        <v>2.0182902005978436E-2</v>
      </c>
      <c r="AC107" s="14">
        <f t="shared" si="201"/>
        <v>0.12317376468819373</v>
      </c>
      <c r="AD107" s="13">
        <f t="shared" si="181"/>
        <v>0.11520594056827356</v>
      </c>
      <c r="AE107" s="15">
        <f t="shared" si="182"/>
        <v>2.3887237499999998E-2</v>
      </c>
      <c r="AF107" s="6">
        <v>7.4999999999999997E-2</v>
      </c>
      <c r="AG107" s="6">
        <v>1.62</v>
      </c>
      <c r="AH107" s="12">
        <v>0.5</v>
      </c>
      <c r="AI107" s="12">
        <v>11</v>
      </c>
      <c r="AJ107" s="7">
        <v>88.5</v>
      </c>
      <c r="AK107" s="12">
        <v>3</v>
      </c>
      <c r="AL107" s="12">
        <f t="shared" si="202"/>
        <v>0.28428937499999996</v>
      </c>
      <c r="AM107" s="12">
        <f t="shared" si="203"/>
        <v>0.46054878749999995</v>
      </c>
      <c r="AN107" s="18">
        <f t="shared" si="204"/>
        <v>2.3027439374999998E-3</v>
      </c>
      <c r="AO107" s="8">
        <f t="shared" si="205"/>
        <v>5.0660366624999995E-2</v>
      </c>
      <c r="AP107" s="12">
        <f t="shared" si="206"/>
        <v>0.40758567693749997</v>
      </c>
      <c r="AQ107" s="12">
        <f t="shared" si="207"/>
        <v>1.3816463624999997</v>
      </c>
      <c r="AR107" s="18">
        <f t="shared" si="208"/>
        <v>1.1693333714624997E-2</v>
      </c>
      <c r="AS107" s="8">
        <f t="shared" si="209"/>
        <v>7.1730473653125001E-2</v>
      </c>
      <c r="AT107" s="8">
        <f t="shared" si="210"/>
        <v>8.6122623262499989E-2</v>
      </c>
      <c r="AU107" s="8">
        <f t="shared" si="211"/>
        <v>0.69289565079374993</v>
      </c>
      <c r="AV107" s="8">
        <f t="shared" si="212"/>
        <v>9.6715245374999981</v>
      </c>
      <c r="AW107" s="8">
        <f t="shared" si="213"/>
        <v>1.9878667314862496E-2</v>
      </c>
      <c r="AX107" s="8">
        <f t="shared" si="214"/>
        <v>0.12194180521031249</v>
      </c>
      <c r="AY107" s="495">
        <f t="shared" si="183"/>
        <v>0.11317418213969938</v>
      </c>
      <c r="AZ107" s="8">
        <f t="shared" si="215"/>
        <v>1.3972500000000001E-2</v>
      </c>
      <c r="BA107" s="6">
        <v>1.7</v>
      </c>
      <c r="BB107" s="6">
        <v>1.7</v>
      </c>
      <c r="BC107" s="6">
        <v>7</v>
      </c>
      <c r="BD107" s="9">
        <v>8.5999999999999993E-2</v>
      </c>
      <c r="BE107" s="9">
        <v>0.37</v>
      </c>
      <c r="BF107" s="9">
        <v>1.7999999999999999E-2</v>
      </c>
      <c r="BG107" s="9">
        <v>0.13</v>
      </c>
      <c r="BH107" s="28">
        <f t="shared" si="216"/>
        <v>3.0848849999999995E-3</v>
      </c>
      <c r="BI107" s="15">
        <f t="shared" si="217"/>
        <v>1.8923625000000003E-2</v>
      </c>
      <c r="BJ107" s="12">
        <v>0.75</v>
      </c>
      <c r="BK107" s="12">
        <v>1.2</v>
      </c>
      <c r="BL107" s="7">
        <v>25</v>
      </c>
      <c r="BM107" s="7">
        <v>30</v>
      </c>
      <c r="BN107" s="7">
        <v>45</v>
      </c>
      <c r="BO107" s="8">
        <f t="shared" si="218"/>
        <v>2.1321703124999995E-3</v>
      </c>
      <c r="BP107" s="8">
        <f t="shared" si="219"/>
        <v>2.5586043749999993E-3</v>
      </c>
      <c r="BQ107" s="8">
        <f t="shared" si="220"/>
        <v>6.3965109374999982E-4</v>
      </c>
      <c r="BR107" s="8">
        <f t="shared" si="221"/>
        <v>7.6758131249999976E-4</v>
      </c>
      <c r="BS107" s="8">
        <f t="shared" si="222"/>
        <v>1.1513719687499997E-3</v>
      </c>
      <c r="BT107" s="18">
        <f t="shared" si="223"/>
        <v>1.5620279709374995E-4</v>
      </c>
      <c r="BU107" s="8">
        <f t="shared" si="224"/>
        <v>6.2174086312499982E-4</v>
      </c>
      <c r="BV107" s="8">
        <f t="shared" si="225"/>
        <v>1.3048882312499995E-3</v>
      </c>
      <c r="BW107" s="8">
        <f t="shared" si="226"/>
        <v>1.9573323468749996E-3</v>
      </c>
      <c r="BX107" s="18">
        <f t="shared" si="227"/>
        <v>2.6554475505937493E-4</v>
      </c>
      <c r="BY107" s="8">
        <f t="shared" si="228"/>
        <v>1.0569594673124996E-3</v>
      </c>
      <c r="BZ107" s="12">
        <f t="shared" si="229"/>
        <v>0.55000000000000004</v>
      </c>
      <c r="CA107" s="12">
        <f t="shared" si="184"/>
        <v>0.43481967213114747</v>
      </c>
      <c r="CB107" s="6">
        <v>1.7</v>
      </c>
      <c r="CC107" s="6">
        <v>1.7</v>
      </c>
      <c r="CD107" s="15">
        <v>0.16</v>
      </c>
      <c r="CE107" s="9">
        <v>0.48</v>
      </c>
      <c r="CF107" s="9">
        <v>2.9000000000000001E-2</v>
      </c>
      <c r="CG107" s="11">
        <v>0.22</v>
      </c>
      <c r="CH107" s="28">
        <f t="shared" si="245"/>
        <v>4.1208749999999994E-5</v>
      </c>
      <c r="CI107" s="15">
        <f t="shared" si="230"/>
        <v>1.6402499999999996E-4</v>
      </c>
      <c r="CJ107" s="12">
        <v>0.15</v>
      </c>
      <c r="CK107" s="12">
        <v>1</v>
      </c>
      <c r="CL107" s="7">
        <v>2</v>
      </c>
      <c r="CM107" s="7">
        <v>23</v>
      </c>
      <c r="CN107" s="7">
        <v>75</v>
      </c>
      <c r="CO107" s="8">
        <f t="shared" si="231"/>
        <v>4.2643406249999992E-4</v>
      </c>
      <c r="CP107" s="8">
        <f t="shared" si="232"/>
        <v>4.2643406249999992E-4</v>
      </c>
      <c r="CQ107" s="18">
        <f t="shared" si="233"/>
        <v>8.5286812499999989E-6</v>
      </c>
      <c r="CR107" s="8">
        <f t="shared" si="234"/>
        <v>9.807983437499998E-5</v>
      </c>
      <c r="CS107" s="8">
        <f t="shared" si="235"/>
        <v>3.1982554687499996E-4</v>
      </c>
      <c r="CT107" s="18">
        <f t="shared" si="236"/>
        <v>2.2758785915624996E-5</v>
      </c>
      <c r="CU107" s="8">
        <f t="shared" si="237"/>
        <v>1.0294118268749999E-4</v>
      </c>
      <c r="CV107" s="8">
        <f t="shared" si="238"/>
        <v>1.6673571843749997E-4</v>
      </c>
      <c r="CW107" s="8">
        <f t="shared" si="239"/>
        <v>5.4370342968749997E-4</v>
      </c>
      <c r="CX107" s="18">
        <f t="shared" si="240"/>
        <v>3.8689936056562491E-5</v>
      </c>
      <c r="CY107" s="8">
        <f t="shared" si="241"/>
        <v>1.7500001056875E-4</v>
      </c>
      <c r="CZ107" s="12">
        <f t="shared" si="242"/>
        <v>0.25</v>
      </c>
      <c r="DA107" s="12">
        <f t="shared" si="186"/>
        <v>0.25526690391459078</v>
      </c>
      <c r="DB107" s="6">
        <v>1.7</v>
      </c>
      <c r="DC107" s="6">
        <v>1.7</v>
      </c>
      <c r="DD107" s="9">
        <v>0.14399999999999999</v>
      </c>
      <c r="DE107" s="9">
        <v>0.43</v>
      </c>
      <c r="DF107" s="15">
        <v>2.7E-2</v>
      </c>
      <c r="DG107" s="13">
        <v>0.19</v>
      </c>
      <c r="DH107" s="28">
        <f t="shared" si="243"/>
        <v>6.0041249999999999E-6</v>
      </c>
      <c r="DI107" s="29">
        <f t="shared" si="244"/>
        <v>2.7157499999999999E-5</v>
      </c>
    </row>
    <row r="108" spans="1:113" x14ac:dyDescent="0.25">
      <c r="A108" s="85">
        <v>100</v>
      </c>
      <c r="B108" s="35" t="s">
        <v>26</v>
      </c>
      <c r="C108" s="35" t="s">
        <v>28</v>
      </c>
      <c r="D108" s="19" t="s">
        <v>173</v>
      </c>
      <c r="E108" s="33">
        <v>4</v>
      </c>
      <c r="F108" s="9">
        <v>100</v>
      </c>
      <c r="G108" s="38" t="s">
        <v>34</v>
      </c>
      <c r="H108" s="19" t="s">
        <v>99</v>
      </c>
      <c r="I108" s="31" t="s">
        <v>99</v>
      </c>
      <c r="J108" s="32" t="s">
        <v>99</v>
      </c>
      <c r="K108" s="2" t="str">
        <f t="shared" si="187"/>
        <v>Statlig Landsbygd 4F 100 &gt;20,5 - -</v>
      </c>
      <c r="L108" s="2"/>
      <c r="M108" s="50" t="s">
        <v>85</v>
      </c>
      <c r="N108" s="53">
        <f>'Beräkna - Länk'!$C$26</f>
        <v>1</v>
      </c>
      <c r="O108" s="53">
        <f>'Beräkna - Länk'!$C$24/('Beräkna - Länk'!$C$27)^('Beräkna - Länk'!$C$25-2010)</f>
        <v>10385</v>
      </c>
      <c r="P108" s="13">
        <f t="shared" si="188"/>
        <v>3.7905249999999997</v>
      </c>
      <c r="Q108" s="13">
        <f t="shared" si="189"/>
        <v>0.28684797937499995</v>
      </c>
      <c r="R108" s="13">
        <f t="shared" si="190"/>
        <v>0.46353382593749992</v>
      </c>
      <c r="S108" s="28">
        <f t="shared" si="191"/>
        <v>2.9509237124999994E-3</v>
      </c>
      <c r="T108" s="15">
        <f t="shared" si="192"/>
        <v>5.1526027771874996E-2</v>
      </c>
      <c r="U108" s="13">
        <f t="shared" si="193"/>
        <v>0.40905687445312494</v>
      </c>
      <c r="V108" s="13">
        <f t="shared" si="194"/>
        <v>1.0746138374999998</v>
      </c>
      <c r="W108" s="15">
        <f t="shared" si="195"/>
        <v>1.1872295297634372E-2</v>
      </c>
      <c r="X108" s="15">
        <f t="shared" si="196"/>
        <v>7.2455155698937498E-2</v>
      </c>
      <c r="Y108" s="15">
        <f t="shared" si="197"/>
        <v>8.759424721218749E-2</v>
      </c>
      <c r="Z108" s="14">
        <f t="shared" si="198"/>
        <v>0.69539668657031239</v>
      </c>
      <c r="AA108" s="14">
        <f t="shared" si="199"/>
        <v>7.5222968624999993</v>
      </c>
      <c r="AB108" s="13">
        <f t="shared" si="200"/>
        <v>2.0182902005978436E-2</v>
      </c>
      <c r="AC108" s="14">
        <f t="shared" si="201"/>
        <v>0.12317376468819373</v>
      </c>
      <c r="AD108" s="13">
        <f t="shared" si="181"/>
        <v>0.11520594056827356</v>
      </c>
      <c r="AE108" s="15">
        <f t="shared" si="182"/>
        <v>2.3887237499999998E-2</v>
      </c>
      <c r="AF108" s="6">
        <v>7.4999999999999997E-2</v>
      </c>
      <c r="AG108" s="6">
        <v>1.62</v>
      </c>
      <c r="AH108" s="12">
        <v>0.5</v>
      </c>
      <c r="AI108" s="12">
        <v>11</v>
      </c>
      <c r="AJ108" s="7">
        <v>88.5</v>
      </c>
      <c r="AK108" s="12">
        <v>2.3333333333333335</v>
      </c>
      <c r="AL108" s="12">
        <f t="shared" si="202"/>
        <v>0.28428937499999996</v>
      </c>
      <c r="AM108" s="12">
        <f t="shared" si="203"/>
        <v>0.46054878749999995</v>
      </c>
      <c r="AN108" s="18">
        <f t="shared" si="204"/>
        <v>2.3027439374999998E-3</v>
      </c>
      <c r="AO108" s="8">
        <f t="shared" si="205"/>
        <v>5.0660366624999995E-2</v>
      </c>
      <c r="AP108" s="12">
        <f t="shared" si="206"/>
        <v>0.40758567693749997</v>
      </c>
      <c r="AQ108" s="12">
        <f t="shared" si="207"/>
        <v>1.0746138374999998</v>
      </c>
      <c r="AR108" s="18">
        <f t="shared" si="208"/>
        <v>1.1693333714624997E-2</v>
      </c>
      <c r="AS108" s="8">
        <f t="shared" si="209"/>
        <v>7.1730473653125001E-2</v>
      </c>
      <c r="AT108" s="8">
        <f t="shared" si="210"/>
        <v>8.6122623262499989E-2</v>
      </c>
      <c r="AU108" s="8">
        <f t="shared" si="211"/>
        <v>0.69289565079374993</v>
      </c>
      <c r="AV108" s="8">
        <f t="shared" si="212"/>
        <v>7.5222968624999993</v>
      </c>
      <c r="AW108" s="8">
        <f t="shared" si="213"/>
        <v>1.9878667314862496E-2</v>
      </c>
      <c r="AX108" s="8">
        <f t="shared" si="214"/>
        <v>0.12194180521031249</v>
      </c>
      <c r="AY108" s="495">
        <f t="shared" si="183"/>
        <v>0.11317418213969938</v>
      </c>
      <c r="AZ108" s="8">
        <f t="shared" si="215"/>
        <v>1.3972500000000001E-2</v>
      </c>
      <c r="BA108" s="6">
        <v>1.7</v>
      </c>
      <c r="BB108" s="6">
        <v>1.7</v>
      </c>
      <c r="BC108" s="6">
        <v>7</v>
      </c>
      <c r="BD108" s="9">
        <v>8.5999999999999993E-2</v>
      </c>
      <c r="BE108" s="9">
        <v>0.37</v>
      </c>
      <c r="BF108" s="9">
        <v>1.7999999999999999E-2</v>
      </c>
      <c r="BG108" s="9">
        <v>0.13</v>
      </c>
      <c r="BH108" s="28">
        <f t="shared" si="216"/>
        <v>3.0848849999999995E-3</v>
      </c>
      <c r="BI108" s="15">
        <f t="shared" si="217"/>
        <v>1.8923625000000003E-2</v>
      </c>
      <c r="BJ108" s="12">
        <v>0.75</v>
      </c>
      <c r="BK108" s="12">
        <v>1.2</v>
      </c>
      <c r="BL108" s="7">
        <v>25</v>
      </c>
      <c r="BM108" s="7">
        <v>30</v>
      </c>
      <c r="BN108" s="7">
        <v>45</v>
      </c>
      <c r="BO108" s="8">
        <f t="shared" si="218"/>
        <v>2.1321703124999995E-3</v>
      </c>
      <c r="BP108" s="8">
        <f t="shared" si="219"/>
        <v>2.5586043749999993E-3</v>
      </c>
      <c r="BQ108" s="8">
        <f t="shared" si="220"/>
        <v>6.3965109374999982E-4</v>
      </c>
      <c r="BR108" s="8">
        <f t="shared" si="221"/>
        <v>7.6758131249999976E-4</v>
      </c>
      <c r="BS108" s="8">
        <f t="shared" si="222"/>
        <v>1.1513719687499997E-3</v>
      </c>
      <c r="BT108" s="18">
        <f t="shared" si="223"/>
        <v>1.5620279709374995E-4</v>
      </c>
      <c r="BU108" s="8">
        <f t="shared" si="224"/>
        <v>6.2174086312499982E-4</v>
      </c>
      <c r="BV108" s="8">
        <f t="shared" si="225"/>
        <v>1.3048882312499995E-3</v>
      </c>
      <c r="BW108" s="8">
        <f t="shared" si="226"/>
        <v>1.9573323468749996E-3</v>
      </c>
      <c r="BX108" s="18">
        <f t="shared" si="227"/>
        <v>2.6554475505937493E-4</v>
      </c>
      <c r="BY108" s="8">
        <f t="shared" si="228"/>
        <v>1.0569594673124996E-3</v>
      </c>
      <c r="BZ108" s="12">
        <f t="shared" si="229"/>
        <v>0.55000000000000004</v>
      </c>
      <c r="CA108" s="12">
        <f t="shared" si="184"/>
        <v>0.43481967213114747</v>
      </c>
      <c r="CB108" s="6">
        <v>1.7</v>
      </c>
      <c r="CC108" s="6">
        <v>1.7</v>
      </c>
      <c r="CD108" s="15">
        <v>0.16</v>
      </c>
      <c r="CE108" s="9">
        <v>0.48</v>
      </c>
      <c r="CF108" s="9">
        <v>2.9000000000000001E-2</v>
      </c>
      <c r="CG108" s="11">
        <v>0.22</v>
      </c>
      <c r="CH108" s="28">
        <f t="shared" si="245"/>
        <v>4.1208749999999994E-5</v>
      </c>
      <c r="CI108" s="15">
        <f t="shared" si="230"/>
        <v>1.6402499999999996E-4</v>
      </c>
      <c r="CJ108" s="12">
        <v>0.15</v>
      </c>
      <c r="CK108" s="12">
        <v>1</v>
      </c>
      <c r="CL108" s="7">
        <v>2</v>
      </c>
      <c r="CM108" s="7">
        <v>23</v>
      </c>
      <c r="CN108" s="7">
        <v>75</v>
      </c>
      <c r="CO108" s="8">
        <f t="shared" si="231"/>
        <v>4.2643406249999992E-4</v>
      </c>
      <c r="CP108" s="8">
        <f t="shared" si="232"/>
        <v>4.2643406249999992E-4</v>
      </c>
      <c r="CQ108" s="18">
        <f t="shared" si="233"/>
        <v>8.5286812499999989E-6</v>
      </c>
      <c r="CR108" s="8">
        <f t="shared" si="234"/>
        <v>9.807983437499998E-5</v>
      </c>
      <c r="CS108" s="8">
        <f t="shared" si="235"/>
        <v>3.1982554687499996E-4</v>
      </c>
      <c r="CT108" s="18">
        <f t="shared" si="236"/>
        <v>2.2758785915624996E-5</v>
      </c>
      <c r="CU108" s="8">
        <f t="shared" si="237"/>
        <v>1.0294118268749999E-4</v>
      </c>
      <c r="CV108" s="8">
        <f t="shared" si="238"/>
        <v>1.6673571843749997E-4</v>
      </c>
      <c r="CW108" s="8">
        <f t="shared" si="239"/>
        <v>5.4370342968749997E-4</v>
      </c>
      <c r="CX108" s="18">
        <f t="shared" si="240"/>
        <v>3.8689936056562491E-5</v>
      </c>
      <c r="CY108" s="8">
        <f t="shared" si="241"/>
        <v>1.7500001056875E-4</v>
      </c>
      <c r="CZ108" s="12">
        <f t="shared" si="242"/>
        <v>0.25</v>
      </c>
      <c r="DA108" s="12">
        <f t="shared" si="186"/>
        <v>0.25526690391459078</v>
      </c>
      <c r="DB108" s="6">
        <v>1.7</v>
      </c>
      <c r="DC108" s="6">
        <v>1.7</v>
      </c>
      <c r="DD108" s="9">
        <v>0.14399999999999999</v>
      </c>
      <c r="DE108" s="9">
        <v>0.43</v>
      </c>
      <c r="DF108" s="15">
        <v>2.7E-2</v>
      </c>
      <c r="DG108" s="13">
        <v>0.19</v>
      </c>
      <c r="DH108" s="28">
        <f t="shared" si="243"/>
        <v>6.0041249999999999E-6</v>
      </c>
      <c r="DI108" s="29">
        <f t="shared" si="244"/>
        <v>2.7157499999999999E-5</v>
      </c>
    </row>
    <row r="109" spans="1:113" x14ac:dyDescent="0.25">
      <c r="A109" s="85">
        <v>101</v>
      </c>
      <c r="B109" s="35" t="s">
        <v>26</v>
      </c>
      <c r="C109" s="35" t="s">
        <v>28</v>
      </c>
      <c r="D109" s="19" t="s">
        <v>173</v>
      </c>
      <c r="E109" s="33">
        <v>4</v>
      </c>
      <c r="F109" s="9">
        <v>110</v>
      </c>
      <c r="G109" s="34">
        <v>15.75</v>
      </c>
      <c r="H109" s="19" t="s">
        <v>99</v>
      </c>
      <c r="I109" s="31" t="s">
        <v>99</v>
      </c>
      <c r="J109" s="32" t="s">
        <v>99</v>
      </c>
      <c r="K109" s="2" t="str">
        <f t="shared" si="187"/>
        <v>Statlig Landsbygd 4F 110 15,75 - -</v>
      </c>
      <c r="L109" s="2"/>
      <c r="M109" s="50" t="s">
        <v>95</v>
      </c>
      <c r="N109" s="53">
        <f>'Beräkna - Länk'!$C$26</f>
        <v>1</v>
      </c>
      <c r="O109" s="53">
        <f>'Beräkna - Länk'!$C$24/('Beräkna - Länk'!$C$27)^('Beräkna - Länk'!$C$25-2010)</f>
        <v>10385</v>
      </c>
      <c r="P109" s="13">
        <f t="shared" si="188"/>
        <v>3.7905249999999997</v>
      </c>
      <c r="Q109" s="13">
        <f t="shared" si="189"/>
        <v>0.19544325952499997</v>
      </c>
      <c r="R109" s="13">
        <f t="shared" si="190"/>
        <v>0.28298676108374998</v>
      </c>
      <c r="S109" s="28">
        <f t="shared" si="191"/>
        <v>6.2088515210624992E-3</v>
      </c>
      <c r="T109" s="15">
        <f t="shared" si="192"/>
        <v>3.4778171114437491E-2</v>
      </c>
      <c r="U109" s="13">
        <f t="shared" si="193"/>
        <v>0.24199973844824993</v>
      </c>
      <c r="V109" s="13">
        <f t="shared" si="194"/>
        <v>0.84092797124999985</v>
      </c>
      <c r="W109" s="15">
        <f t="shared" si="195"/>
        <v>7.3728504866924982E-3</v>
      </c>
      <c r="X109" s="15">
        <f t="shared" si="196"/>
        <v>4.1836611198269993E-2</v>
      </c>
      <c r="Y109" s="15">
        <f t="shared" si="197"/>
        <v>5.9122890894543742E-2</v>
      </c>
      <c r="Z109" s="14">
        <f t="shared" si="198"/>
        <v>0.41139955536202488</v>
      </c>
      <c r="AA109" s="14">
        <f t="shared" si="199"/>
        <v>5.8864957987499986</v>
      </c>
      <c r="AB109" s="13">
        <f t="shared" si="200"/>
        <v>1.2533845827377248E-2</v>
      </c>
      <c r="AC109" s="14">
        <f t="shared" si="201"/>
        <v>7.1122239037058999E-2</v>
      </c>
      <c r="AD109" s="13">
        <f t="shared" si="181"/>
        <v>0.13704101811683422</v>
      </c>
      <c r="AE109" s="15">
        <f t="shared" si="182"/>
        <v>1.7235539250000001E-2</v>
      </c>
      <c r="AF109" s="9">
        <v>5.0999999999999997E-2</v>
      </c>
      <c r="AG109" s="9">
        <v>1.45</v>
      </c>
      <c r="AH109" s="13">
        <v>2</v>
      </c>
      <c r="AI109" s="13">
        <v>12</v>
      </c>
      <c r="AJ109" s="14">
        <v>86</v>
      </c>
      <c r="AK109" s="13">
        <v>3</v>
      </c>
      <c r="AL109" s="12">
        <f t="shared" si="202"/>
        <v>0.19331677499999997</v>
      </c>
      <c r="AM109" s="12">
        <f t="shared" si="203"/>
        <v>0.28030932374999995</v>
      </c>
      <c r="AN109" s="18">
        <f t="shared" si="204"/>
        <v>5.6061864749999994E-3</v>
      </c>
      <c r="AO109" s="8">
        <f t="shared" si="205"/>
        <v>3.3637118849999995E-2</v>
      </c>
      <c r="AP109" s="12">
        <f t="shared" si="206"/>
        <v>0.24106601842499994</v>
      </c>
      <c r="AQ109" s="12">
        <f t="shared" si="207"/>
        <v>0.84092797124999985</v>
      </c>
      <c r="AR109" s="18">
        <f t="shared" si="208"/>
        <v>7.1647063150499981E-3</v>
      </c>
      <c r="AS109" s="8">
        <f t="shared" si="209"/>
        <v>4.1093346861749994E-2</v>
      </c>
      <c r="AT109" s="8">
        <f t="shared" si="210"/>
        <v>5.7183102044999989E-2</v>
      </c>
      <c r="AU109" s="8">
        <f t="shared" si="211"/>
        <v>0.40981223132249989</v>
      </c>
      <c r="AV109" s="8">
        <f t="shared" si="212"/>
        <v>5.8864957987499986</v>
      </c>
      <c r="AW109" s="8">
        <f t="shared" si="213"/>
        <v>1.2180000735584997E-2</v>
      </c>
      <c r="AX109" s="8">
        <f t="shared" si="214"/>
        <v>6.9858689664974979E-2</v>
      </c>
      <c r="AY109" s="495">
        <f t="shared" si="183"/>
        <v>0.13285883748517202</v>
      </c>
      <c r="AZ109" s="8">
        <f t="shared" si="215"/>
        <v>1.0352999999999999E-2</v>
      </c>
      <c r="BA109" s="9">
        <v>1.7</v>
      </c>
      <c r="BB109" s="9">
        <v>1.7</v>
      </c>
      <c r="BC109" s="9">
        <v>7</v>
      </c>
      <c r="BD109" s="9">
        <v>8.4000000000000005E-2</v>
      </c>
      <c r="BE109" s="9">
        <v>0.28999999999999998</v>
      </c>
      <c r="BF109" s="9">
        <v>1.7999999999999999E-2</v>
      </c>
      <c r="BG109" s="9">
        <v>0.13</v>
      </c>
      <c r="BH109" s="28">
        <f t="shared" si="216"/>
        <v>1.8901619999999997E-3</v>
      </c>
      <c r="BI109" s="15">
        <f t="shared" si="217"/>
        <v>1.084107E-2</v>
      </c>
      <c r="BJ109" s="13">
        <v>0.95</v>
      </c>
      <c r="BK109" s="13">
        <v>1.3</v>
      </c>
      <c r="BL109" s="14">
        <v>25</v>
      </c>
      <c r="BM109" s="14">
        <v>45</v>
      </c>
      <c r="BN109" s="14">
        <v>30</v>
      </c>
      <c r="BO109" s="8">
        <f t="shared" si="218"/>
        <v>1.8365093624999997E-3</v>
      </c>
      <c r="BP109" s="8">
        <f t="shared" si="219"/>
        <v>2.3874621712499998E-3</v>
      </c>
      <c r="BQ109" s="8">
        <f t="shared" si="220"/>
        <v>5.9686554281249994E-4</v>
      </c>
      <c r="BR109" s="8">
        <f t="shared" si="221"/>
        <v>1.0743579770624999E-3</v>
      </c>
      <c r="BS109" s="8">
        <f t="shared" si="222"/>
        <v>7.1623865137499995E-4</v>
      </c>
      <c r="BT109" s="18">
        <f t="shared" si="223"/>
        <v>1.9266819721987499E-4</v>
      </c>
      <c r="BU109" s="8">
        <f t="shared" si="224"/>
        <v>6.7326433229249986E-4</v>
      </c>
      <c r="BV109" s="8">
        <f t="shared" si="225"/>
        <v>1.8264085610062498E-3</v>
      </c>
      <c r="BW109" s="8">
        <f t="shared" si="226"/>
        <v>1.2176057073374998E-3</v>
      </c>
      <c r="BX109" s="18">
        <f t="shared" si="227"/>
        <v>3.2753593527378751E-4</v>
      </c>
      <c r="BY109" s="8">
        <f t="shared" si="228"/>
        <v>1.1445493648972497E-3</v>
      </c>
      <c r="BZ109" s="12">
        <f t="shared" si="229"/>
        <v>0.7</v>
      </c>
      <c r="CA109" s="12">
        <f t="shared" si="184"/>
        <v>0.47829508196721304</v>
      </c>
      <c r="CB109" s="9">
        <v>1.7</v>
      </c>
      <c r="CC109" s="9">
        <v>1.7</v>
      </c>
      <c r="CD109" s="9">
        <v>0.16</v>
      </c>
      <c r="CE109" s="9">
        <v>0.48</v>
      </c>
      <c r="CF109" s="9">
        <v>2.9000000000000001E-2</v>
      </c>
      <c r="CG109" s="9">
        <v>0.22</v>
      </c>
      <c r="CH109" s="28">
        <f t="shared" si="245"/>
        <v>5.0828894999999997E-5</v>
      </c>
      <c r="CI109" s="15">
        <f t="shared" si="230"/>
        <v>1.7761769999999997E-4</v>
      </c>
      <c r="CJ109" s="13">
        <v>0.15</v>
      </c>
      <c r="CK109" s="13">
        <v>1</v>
      </c>
      <c r="CL109" s="14">
        <v>2</v>
      </c>
      <c r="CM109" s="14">
        <v>23</v>
      </c>
      <c r="CN109" s="14">
        <v>75</v>
      </c>
      <c r="CO109" s="8">
        <f t="shared" si="231"/>
        <v>2.8997516249999993E-4</v>
      </c>
      <c r="CP109" s="8">
        <f t="shared" si="232"/>
        <v>2.8997516249999993E-4</v>
      </c>
      <c r="CQ109" s="18">
        <f t="shared" si="233"/>
        <v>5.799503249999999E-6</v>
      </c>
      <c r="CR109" s="8">
        <f t="shared" si="234"/>
        <v>6.6694287374999985E-5</v>
      </c>
      <c r="CS109" s="8">
        <f t="shared" si="235"/>
        <v>2.1748137187499995E-4</v>
      </c>
      <c r="CT109" s="18">
        <f t="shared" si="236"/>
        <v>1.5475974422625E-5</v>
      </c>
      <c r="CU109" s="8">
        <f t="shared" si="237"/>
        <v>7.0000004227500004E-5</v>
      </c>
      <c r="CV109" s="8">
        <f t="shared" si="238"/>
        <v>1.1338028853749997E-4</v>
      </c>
      <c r="CW109" s="8">
        <f t="shared" si="239"/>
        <v>3.6971833218749989E-4</v>
      </c>
      <c r="CX109" s="18">
        <f t="shared" si="240"/>
        <v>2.6309156518462492E-5</v>
      </c>
      <c r="CY109" s="8">
        <f t="shared" si="241"/>
        <v>1.1900000718674997E-4</v>
      </c>
      <c r="CZ109" s="12">
        <f t="shared" si="242"/>
        <v>0.25</v>
      </c>
      <c r="DA109" s="12">
        <f t="shared" si="186"/>
        <v>0.25526690391459078</v>
      </c>
      <c r="DB109" s="9">
        <v>1.7</v>
      </c>
      <c r="DC109" s="9">
        <v>1.7</v>
      </c>
      <c r="DD109" s="9">
        <v>0.14399999999999999</v>
      </c>
      <c r="DE109" s="9">
        <v>0.43</v>
      </c>
      <c r="DF109" s="9">
        <v>2.7E-2</v>
      </c>
      <c r="DG109" s="9">
        <v>0.19</v>
      </c>
      <c r="DH109" s="28">
        <f t="shared" si="243"/>
        <v>4.0828050000000005E-6</v>
      </c>
      <c r="DI109" s="29">
        <f t="shared" si="244"/>
        <v>1.8467100000000001E-5</v>
      </c>
    </row>
    <row r="110" spans="1:113" x14ac:dyDescent="0.25">
      <c r="A110" s="85">
        <v>102</v>
      </c>
      <c r="B110" s="35" t="s">
        <v>26</v>
      </c>
      <c r="C110" s="35" t="s">
        <v>28</v>
      </c>
      <c r="D110" s="19" t="s">
        <v>173</v>
      </c>
      <c r="E110" s="33">
        <v>4</v>
      </c>
      <c r="F110" s="9">
        <v>110</v>
      </c>
      <c r="G110" s="34">
        <v>18.5</v>
      </c>
      <c r="H110" s="19" t="s">
        <v>99</v>
      </c>
      <c r="I110" s="31" t="s">
        <v>99</v>
      </c>
      <c r="J110" s="32" t="s">
        <v>99</v>
      </c>
      <c r="K110" s="2" t="str">
        <f t="shared" si="187"/>
        <v>Statlig Landsbygd 4F 110 18,5 - -</v>
      </c>
      <c r="L110" s="2"/>
      <c r="M110" s="50" t="s">
        <v>86</v>
      </c>
      <c r="N110" s="53">
        <f>'Beräkna - Länk'!$C$26</f>
        <v>1</v>
      </c>
      <c r="O110" s="53">
        <f>'Beräkna - Länk'!$C$24/('Beräkna - Länk'!$C$27)^('Beräkna - Länk'!$C$25-2010)</f>
        <v>10385</v>
      </c>
      <c r="P110" s="13">
        <f t="shared" si="188"/>
        <v>3.7905249999999997</v>
      </c>
      <c r="Q110" s="13">
        <f t="shared" si="189"/>
        <v>0.24835519799999997</v>
      </c>
      <c r="R110" s="13">
        <f t="shared" si="190"/>
        <v>0.34762336196249993</v>
      </c>
      <c r="S110" s="28">
        <f t="shared" si="191"/>
        <v>4.2429810166249998E-3</v>
      </c>
      <c r="T110" s="15">
        <f t="shared" si="192"/>
        <v>4.1830850358374985E-2</v>
      </c>
      <c r="U110" s="13">
        <f t="shared" si="193"/>
        <v>0.30154953058749995</v>
      </c>
      <c r="V110" s="13">
        <f t="shared" si="194"/>
        <v>1.0348133249999998</v>
      </c>
      <c r="W110" s="15">
        <f t="shared" si="195"/>
        <v>9.0714732100459997E-3</v>
      </c>
      <c r="X110" s="15">
        <f t="shared" si="196"/>
        <v>5.4842819780320004E-2</v>
      </c>
      <c r="Y110" s="15">
        <f t="shared" si="197"/>
        <v>7.1112445609237476E-2</v>
      </c>
      <c r="Z110" s="14">
        <f t="shared" si="198"/>
        <v>0.51263420199874998</v>
      </c>
      <c r="AA110" s="14">
        <f t="shared" si="199"/>
        <v>7.2436932749999983</v>
      </c>
      <c r="AB110" s="13">
        <f t="shared" si="200"/>
        <v>1.5421504457078194E-2</v>
      </c>
      <c r="AC110" s="14">
        <f t="shared" si="201"/>
        <v>9.3232793626543964E-2</v>
      </c>
      <c r="AD110" s="13">
        <f t="shared" si="181"/>
        <v>0.12815774795574039</v>
      </c>
      <c r="AE110" s="15">
        <f t="shared" si="182"/>
        <v>1.9879944499999996E-2</v>
      </c>
      <c r="AF110" s="6">
        <v>6.5000000000000002E-2</v>
      </c>
      <c r="AG110" s="12">
        <v>1.4</v>
      </c>
      <c r="AH110" s="12">
        <v>1</v>
      </c>
      <c r="AI110" s="12">
        <v>12</v>
      </c>
      <c r="AJ110" s="7">
        <v>87</v>
      </c>
      <c r="AK110" s="12">
        <v>3</v>
      </c>
      <c r="AL110" s="12">
        <f t="shared" si="202"/>
        <v>0.24638412499999998</v>
      </c>
      <c r="AM110" s="12">
        <f t="shared" si="203"/>
        <v>0.34493777499999995</v>
      </c>
      <c r="AN110" s="18">
        <f t="shared" si="204"/>
        <v>3.4493777499999996E-3</v>
      </c>
      <c r="AO110" s="8">
        <f t="shared" si="205"/>
        <v>4.1392532999999988E-2</v>
      </c>
      <c r="AP110" s="12">
        <f t="shared" si="206"/>
        <v>0.30009586424999996</v>
      </c>
      <c r="AQ110" s="12">
        <f t="shared" si="207"/>
        <v>1.0348133249999998</v>
      </c>
      <c r="AR110" s="18">
        <f t="shared" si="208"/>
        <v>8.9614833944999996E-3</v>
      </c>
      <c r="AS110" s="8">
        <f t="shared" si="209"/>
        <v>5.4327699562499998E-2</v>
      </c>
      <c r="AT110" s="8">
        <f t="shared" si="210"/>
        <v>7.0367306099999985E-2</v>
      </c>
      <c r="AU110" s="8">
        <f t="shared" si="211"/>
        <v>0.51016296922499993</v>
      </c>
      <c r="AV110" s="8">
        <f t="shared" si="212"/>
        <v>7.2436932749999983</v>
      </c>
      <c r="AW110" s="8">
        <f t="shared" si="213"/>
        <v>1.5234521770649996E-2</v>
      </c>
      <c r="AX110" s="8">
        <f t="shared" si="214"/>
        <v>9.2357089256249983E-2</v>
      </c>
      <c r="AY110" s="495">
        <f t="shared" si="183"/>
        <v>0.12640283520378026</v>
      </c>
      <c r="AZ110" s="8">
        <f t="shared" si="215"/>
        <v>1.183E-2</v>
      </c>
      <c r="BA110" s="6">
        <v>1.7</v>
      </c>
      <c r="BB110" s="6">
        <v>1.7</v>
      </c>
      <c r="BC110" s="6">
        <v>7</v>
      </c>
      <c r="BD110" s="9">
        <v>8.5999999999999993E-2</v>
      </c>
      <c r="BE110" s="9">
        <v>0.37</v>
      </c>
      <c r="BF110" s="9">
        <v>1.7999999999999999E-2</v>
      </c>
      <c r="BG110" s="9">
        <v>0.13</v>
      </c>
      <c r="BH110" s="28">
        <f t="shared" si="216"/>
        <v>2.36418E-3</v>
      </c>
      <c r="BI110" s="15">
        <f t="shared" si="217"/>
        <v>1.43325E-2</v>
      </c>
      <c r="BJ110" s="12">
        <v>0.65</v>
      </c>
      <c r="BK110" s="12">
        <v>1.4</v>
      </c>
      <c r="BL110" s="7">
        <v>35</v>
      </c>
      <c r="BM110" s="7">
        <v>15</v>
      </c>
      <c r="BN110" s="7">
        <v>50</v>
      </c>
      <c r="BO110" s="8">
        <f t="shared" si="218"/>
        <v>1.6014968125E-3</v>
      </c>
      <c r="BP110" s="8">
        <f t="shared" si="219"/>
        <v>2.2420955374999997E-3</v>
      </c>
      <c r="BQ110" s="8">
        <f t="shared" si="220"/>
        <v>7.8473343812499984E-4</v>
      </c>
      <c r="BR110" s="8">
        <f t="shared" si="221"/>
        <v>3.3631433062499997E-4</v>
      </c>
      <c r="BS110" s="8">
        <f t="shared" si="222"/>
        <v>1.1210477687499999E-3</v>
      </c>
      <c r="BT110" s="18">
        <f t="shared" si="223"/>
        <v>8.6320678193750006E-5</v>
      </c>
      <c r="BU110" s="8">
        <f t="shared" si="224"/>
        <v>4.0806138782500007E-4</v>
      </c>
      <c r="BV110" s="8">
        <f t="shared" si="225"/>
        <v>5.7173436206249995E-4</v>
      </c>
      <c r="BW110" s="8">
        <f t="shared" si="226"/>
        <v>1.9057812068749998E-3</v>
      </c>
      <c r="BX110" s="18">
        <f t="shared" si="227"/>
        <v>1.4674515292937499E-4</v>
      </c>
      <c r="BY110" s="8">
        <f t="shared" si="228"/>
        <v>6.9370435930249993E-4</v>
      </c>
      <c r="BZ110" s="12">
        <f t="shared" si="229"/>
        <v>0.5</v>
      </c>
      <c r="CA110" s="12">
        <f t="shared" si="184"/>
        <v>0.45319587628865982</v>
      </c>
      <c r="CB110" s="6">
        <v>1.7</v>
      </c>
      <c r="CC110" s="6">
        <v>1.7</v>
      </c>
      <c r="CD110" s="15">
        <v>0.16</v>
      </c>
      <c r="CE110" s="9">
        <v>0.48</v>
      </c>
      <c r="CF110" s="9">
        <v>2.9000000000000001E-2</v>
      </c>
      <c r="CG110" s="11">
        <v>0.22</v>
      </c>
      <c r="CH110" s="28">
        <f t="shared" si="245"/>
        <v>2.2772750000000003E-5</v>
      </c>
      <c r="CI110" s="15">
        <f t="shared" si="230"/>
        <v>1.0765300000000002E-4</v>
      </c>
      <c r="CJ110" s="12">
        <v>0.15</v>
      </c>
      <c r="CK110" s="12">
        <v>1.2</v>
      </c>
      <c r="CL110" s="7">
        <v>2</v>
      </c>
      <c r="CM110" s="7">
        <v>23</v>
      </c>
      <c r="CN110" s="7">
        <v>75</v>
      </c>
      <c r="CO110" s="8">
        <f t="shared" si="231"/>
        <v>3.695761875E-4</v>
      </c>
      <c r="CP110" s="8">
        <f t="shared" si="232"/>
        <v>4.43491425E-4</v>
      </c>
      <c r="CQ110" s="18">
        <f t="shared" si="233"/>
        <v>8.8698285000000007E-6</v>
      </c>
      <c r="CR110" s="8">
        <f t="shared" si="234"/>
        <v>1.0200302775E-4</v>
      </c>
      <c r="CS110" s="8">
        <f t="shared" si="235"/>
        <v>3.3261856875000002E-4</v>
      </c>
      <c r="CT110" s="18">
        <f t="shared" si="236"/>
        <v>2.3669137352249996E-5</v>
      </c>
      <c r="CU110" s="8">
        <f t="shared" si="237"/>
        <v>1.0705882999500001E-4</v>
      </c>
      <c r="CV110" s="8">
        <f t="shared" si="238"/>
        <v>1.7340514717500001E-4</v>
      </c>
      <c r="CW110" s="8">
        <f t="shared" si="239"/>
        <v>5.6545156687499998E-4</v>
      </c>
      <c r="CX110" s="18">
        <f t="shared" si="240"/>
        <v>4.0237533498824993E-5</v>
      </c>
      <c r="CY110" s="8">
        <f t="shared" si="241"/>
        <v>1.8200001099150001E-4</v>
      </c>
      <c r="CZ110" s="12">
        <f t="shared" si="242"/>
        <v>0.25</v>
      </c>
      <c r="DA110" s="12">
        <f t="shared" si="186"/>
        <v>0.25526690391459078</v>
      </c>
      <c r="DB110" s="6">
        <v>1.7</v>
      </c>
      <c r="DC110" s="6">
        <v>1.7</v>
      </c>
      <c r="DD110" s="9">
        <v>0.14399999999999999</v>
      </c>
      <c r="DE110" s="9">
        <v>0.43</v>
      </c>
      <c r="DF110" s="15">
        <v>2.7E-2</v>
      </c>
      <c r="DG110" s="13">
        <v>0.19</v>
      </c>
      <c r="DH110" s="28">
        <f t="shared" si="243"/>
        <v>6.2442899999999998E-6</v>
      </c>
      <c r="DI110" s="29">
        <f t="shared" si="244"/>
        <v>2.8243800000000006E-5</v>
      </c>
    </row>
    <row r="111" spans="1:113" x14ac:dyDescent="0.25">
      <c r="A111" s="85">
        <v>103</v>
      </c>
      <c r="B111" s="35" t="s">
        <v>26</v>
      </c>
      <c r="C111" s="35" t="s">
        <v>28</v>
      </c>
      <c r="D111" s="19" t="s">
        <v>173</v>
      </c>
      <c r="E111" s="33">
        <v>4</v>
      </c>
      <c r="F111" s="9">
        <v>110</v>
      </c>
      <c r="G111" s="38" t="s">
        <v>34</v>
      </c>
      <c r="H111" s="19" t="s">
        <v>99</v>
      </c>
      <c r="I111" s="31" t="s">
        <v>99</v>
      </c>
      <c r="J111" s="32" t="s">
        <v>99</v>
      </c>
      <c r="K111" s="2" t="str">
        <f t="shared" si="187"/>
        <v>Statlig Landsbygd 4F 110 &gt;20,5 - -</v>
      </c>
      <c r="L111" s="2"/>
      <c r="M111" s="50" t="s">
        <v>87</v>
      </c>
      <c r="N111" s="53">
        <f>'Beräkna - Länk'!$C$26</f>
        <v>1</v>
      </c>
      <c r="O111" s="53">
        <f>'Beräkna - Länk'!$C$24/('Beräkna - Länk'!$C$27)^('Beräkna - Länk'!$C$25-2010)</f>
        <v>10385</v>
      </c>
      <c r="P111" s="13">
        <f t="shared" si="188"/>
        <v>3.7905249999999997</v>
      </c>
      <c r="Q111" s="13">
        <f t="shared" si="189"/>
        <v>0.23318741221249997</v>
      </c>
      <c r="R111" s="13">
        <f t="shared" si="190"/>
        <v>0.38419851673999994</v>
      </c>
      <c r="S111" s="28">
        <f t="shared" si="191"/>
        <v>4.9980952924000002E-3</v>
      </c>
      <c r="T111" s="15">
        <f t="shared" si="192"/>
        <v>4.7743648610099991E-2</v>
      </c>
      <c r="U111" s="13">
        <f t="shared" si="193"/>
        <v>0.33145677283749997</v>
      </c>
      <c r="V111" s="13">
        <f t="shared" si="194"/>
        <v>0.89020479624999993</v>
      </c>
      <c r="W111" s="15">
        <f t="shared" si="195"/>
        <v>1.0118152341438647E-2</v>
      </c>
      <c r="X111" s="15">
        <f t="shared" si="196"/>
        <v>6.0918360508205503E-2</v>
      </c>
      <c r="Y111" s="15">
        <f t="shared" si="197"/>
        <v>8.1164202637169988E-2</v>
      </c>
      <c r="Z111" s="14">
        <f t="shared" si="198"/>
        <v>0.56347651382374997</v>
      </c>
      <c r="AA111" s="14">
        <f t="shared" si="199"/>
        <v>6.2314335737499995</v>
      </c>
      <c r="AB111" s="13">
        <f t="shared" si="200"/>
        <v>1.7200858980445703E-2</v>
      </c>
      <c r="AC111" s="14">
        <f t="shared" si="201"/>
        <v>0.10356121286394933</v>
      </c>
      <c r="AD111" s="13">
        <f t="shared" si="181"/>
        <v>0.13263108110339847</v>
      </c>
      <c r="AE111" s="15">
        <f t="shared" si="182"/>
        <v>2.2730966799999999E-2</v>
      </c>
      <c r="AF111" s="6">
        <v>6.0999999999999999E-2</v>
      </c>
      <c r="AG111" s="6">
        <v>1.65</v>
      </c>
      <c r="AH111" s="12">
        <v>1.1000000000000001</v>
      </c>
      <c r="AI111" s="12">
        <v>12.4</v>
      </c>
      <c r="AJ111" s="7">
        <v>86.5</v>
      </c>
      <c r="AK111" s="12">
        <v>2.3333333333333335</v>
      </c>
      <c r="AL111" s="12">
        <f t="shared" si="202"/>
        <v>0.23122202499999997</v>
      </c>
      <c r="AM111" s="12">
        <f t="shared" si="203"/>
        <v>0.38151634124999995</v>
      </c>
      <c r="AN111" s="18">
        <f t="shared" si="204"/>
        <v>4.1966797537499999E-3</v>
      </c>
      <c r="AO111" s="8">
        <f t="shared" si="205"/>
        <v>4.7308026314999994E-2</v>
      </c>
      <c r="AP111" s="12">
        <f t="shared" si="206"/>
        <v>0.33001163518124998</v>
      </c>
      <c r="AQ111" s="12">
        <f t="shared" si="207"/>
        <v>0.89020479624999993</v>
      </c>
      <c r="AR111" s="18">
        <f t="shared" si="208"/>
        <v>1.0008699696352498E-2</v>
      </c>
      <c r="AS111" s="8">
        <f t="shared" si="209"/>
        <v>6.0405482310112502E-2</v>
      </c>
      <c r="AT111" s="8">
        <f t="shared" si="210"/>
        <v>8.0423644735499983E-2</v>
      </c>
      <c r="AU111" s="8">
        <f t="shared" si="211"/>
        <v>0.56101977980812501</v>
      </c>
      <c r="AV111" s="8">
        <f t="shared" si="212"/>
        <v>6.2314335737499995</v>
      </c>
      <c r="AW111" s="8">
        <f t="shared" si="213"/>
        <v>1.7014789483799246E-2</v>
      </c>
      <c r="AX111" s="8">
        <f t="shared" si="214"/>
        <v>0.10268931992719124</v>
      </c>
      <c r="AY111" s="495">
        <f t="shared" si="183"/>
        <v>0.13106423211014595</v>
      </c>
      <c r="AZ111" s="8">
        <f t="shared" si="215"/>
        <v>1.3587749999999999E-2</v>
      </c>
      <c r="BA111" s="6">
        <v>1.7</v>
      </c>
      <c r="BB111" s="6">
        <v>1.7</v>
      </c>
      <c r="BC111" s="6">
        <v>7</v>
      </c>
      <c r="BD111" s="9">
        <v>8.5999999999999993E-2</v>
      </c>
      <c r="BE111" s="9">
        <v>0.37</v>
      </c>
      <c r="BF111" s="9">
        <v>1.7999999999999999E-2</v>
      </c>
      <c r="BG111" s="9">
        <v>0.13</v>
      </c>
      <c r="BH111" s="28">
        <f t="shared" si="216"/>
        <v>2.6404520999999998E-3</v>
      </c>
      <c r="BI111" s="15">
        <f t="shared" si="217"/>
        <v>1.5935914500000002E-2</v>
      </c>
      <c r="BJ111" s="12">
        <v>0.7</v>
      </c>
      <c r="BK111" s="12">
        <v>1.4</v>
      </c>
      <c r="BL111" s="7">
        <v>35</v>
      </c>
      <c r="BM111" s="7">
        <v>15</v>
      </c>
      <c r="BN111" s="7">
        <v>50</v>
      </c>
      <c r="BO111" s="8">
        <f t="shared" si="218"/>
        <v>1.6185541749999996E-3</v>
      </c>
      <c r="BP111" s="8">
        <f t="shared" si="219"/>
        <v>2.2659758449999992E-3</v>
      </c>
      <c r="BQ111" s="8">
        <f t="shared" si="220"/>
        <v>7.9309154574999966E-4</v>
      </c>
      <c r="BR111" s="8">
        <f t="shared" si="221"/>
        <v>3.3989637674999986E-4</v>
      </c>
      <c r="BS111" s="8">
        <f t="shared" si="222"/>
        <v>1.1329879224999996E-3</v>
      </c>
      <c r="BT111" s="18">
        <f t="shared" si="223"/>
        <v>8.724007003249998E-5</v>
      </c>
      <c r="BU111" s="8">
        <f t="shared" si="224"/>
        <v>4.1240760378999987E-4</v>
      </c>
      <c r="BV111" s="8">
        <f t="shared" si="225"/>
        <v>5.7782384047499981E-4</v>
      </c>
      <c r="BW111" s="8">
        <f t="shared" si="226"/>
        <v>1.9260794682499991E-3</v>
      </c>
      <c r="BX111" s="18">
        <f t="shared" si="227"/>
        <v>1.4830811905524997E-4</v>
      </c>
      <c r="BY111" s="8">
        <f t="shared" si="228"/>
        <v>7.0109292644299974E-4</v>
      </c>
      <c r="BZ111" s="12">
        <f t="shared" si="229"/>
        <v>0.5</v>
      </c>
      <c r="CA111" s="12">
        <f t="shared" si="184"/>
        <v>0.45319587628865982</v>
      </c>
      <c r="CB111" s="6">
        <v>1.7</v>
      </c>
      <c r="CC111" s="6">
        <v>1.7</v>
      </c>
      <c r="CD111" s="15">
        <v>0.16</v>
      </c>
      <c r="CE111" s="9">
        <v>0.48</v>
      </c>
      <c r="CF111" s="9">
        <v>2.9000000000000001E-2</v>
      </c>
      <c r="CG111" s="11">
        <v>0.22</v>
      </c>
      <c r="CH111" s="28">
        <f t="shared" si="245"/>
        <v>2.3015299999999996E-5</v>
      </c>
      <c r="CI111" s="15">
        <f t="shared" si="230"/>
        <v>1.0879959999999997E-4</v>
      </c>
      <c r="CJ111" s="12">
        <v>0.15</v>
      </c>
      <c r="CK111" s="12">
        <v>1.2</v>
      </c>
      <c r="CL111" s="7">
        <v>2</v>
      </c>
      <c r="CM111" s="7">
        <v>23</v>
      </c>
      <c r="CN111" s="7">
        <v>75</v>
      </c>
      <c r="CO111" s="8">
        <f t="shared" si="231"/>
        <v>3.4683303749999996E-4</v>
      </c>
      <c r="CP111" s="8">
        <f t="shared" si="232"/>
        <v>4.1619964499999993E-4</v>
      </c>
      <c r="CQ111" s="18">
        <f t="shared" si="233"/>
        <v>8.3239928999999995E-6</v>
      </c>
      <c r="CR111" s="8">
        <f t="shared" si="234"/>
        <v>9.5725918349999991E-5</v>
      </c>
      <c r="CS111" s="8">
        <f t="shared" si="235"/>
        <v>3.1214973374999995E-4</v>
      </c>
      <c r="CT111" s="18">
        <f t="shared" si="236"/>
        <v>2.2212575053649996E-5</v>
      </c>
      <c r="CU111" s="8">
        <f t="shared" si="237"/>
        <v>1.0047059430299999E-4</v>
      </c>
      <c r="CV111" s="8">
        <f t="shared" si="238"/>
        <v>1.6273406119499999E-4</v>
      </c>
      <c r="CW111" s="8">
        <f t="shared" si="239"/>
        <v>5.3065454737499991E-4</v>
      </c>
      <c r="CX111" s="18">
        <f t="shared" si="240"/>
        <v>3.7761377591204993E-5</v>
      </c>
      <c r="CY111" s="8">
        <f t="shared" si="241"/>
        <v>1.7080001031509999E-4</v>
      </c>
      <c r="CZ111" s="12">
        <f t="shared" si="242"/>
        <v>0.25</v>
      </c>
      <c r="DA111" s="12">
        <f t="shared" si="186"/>
        <v>0.25526690391459078</v>
      </c>
      <c r="DB111" s="6">
        <v>1.7</v>
      </c>
      <c r="DC111" s="6">
        <v>1.7</v>
      </c>
      <c r="DD111" s="9">
        <v>0.14399999999999999</v>
      </c>
      <c r="DE111" s="9">
        <v>0.43</v>
      </c>
      <c r="DF111" s="15">
        <v>2.7E-2</v>
      </c>
      <c r="DG111" s="13">
        <v>0.19</v>
      </c>
      <c r="DH111" s="28">
        <f t="shared" si="243"/>
        <v>5.8600259999999992E-6</v>
      </c>
      <c r="DI111" s="29">
        <f t="shared" si="244"/>
        <v>2.6505720000000001E-5</v>
      </c>
    </row>
    <row r="112" spans="1:113" x14ac:dyDescent="0.25">
      <c r="A112" s="85">
        <v>104</v>
      </c>
      <c r="B112" s="19" t="s">
        <v>36</v>
      </c>
      <c r="C112" s="31" t="s">
        <v>24</v>
      </c>
      <c r="D112" s="19" t="s">
        <v>173</v>
      </c>
      <c r="E112" s="33">
        <v>4</v>
      </c>
      <c r="F112" s="9">
        <v>40</v>
      </c>
      <c r="G112" s="32" t="s">
        <v>99</v>
      </c>
      <c r="H112" s="9" t="s">
        <v>11</v>
      </c>
      <c r="I112" s="19" t="s">
        <v>4</v>
      </c>
      <c r="J112" s="32" t="s">
        <v>99</v>
      </c>
      <c r="K112" s="2" t="str">
        <f t="shared" si="187"/>
        <v>Kommunal Tätort 4F 40 - City C</v>
      </c>
      <c r="L112" s="2"/>
      <c r="M112" s="32" t="s">
        <v>99</v>
      </c>
      <c r="N112" s="53">
        <f>'Beräkna - Länk'!$C$26</f>
        <v>1</v>
      </c>
      <c r="O112" s="53">
        <f>'Beräkna - Länk'!$C$24/('Beräkna - Länk'!$C$27)^('Beräkna - Länk'!$C$25-2010)</f>
        <v>10385</v>
      </c>
      <c r="P112" s="13">
        <f t="shared" si="188"/>
        <v>3.7905249999999997</v>
      </c>
      <c r="Q112" s="13">
        <f t="shared" si="189"/>
        <v>1.5484294624999997</v>
      </c>
      <c r="R112" s="13">
        <f t="shared" si="190"/>
        <v>1.8004993749999998</v>
      </c>
      <c r="S112" s="28">
        <f t="shared" si="191"/>
        <v>1.3899855175E-2</v>
      </c>
      <c r="T112" s="15">
        <f t="shared" si="192"/>
        <v>0.21440346557499995</v>
      </c>
      <c r="U112" s="13">
        <f t="shared" si="193"/>
        <v>1.57219605425</v>
      </c>
      <c r="V112" s="13">
        <f t="shared" si="194"/>
        <v>3.1088622541666666</v>
      </c>
      <c r="W112" s="15">
        <f t="shared" si="195"/>
        <v>4.9594251144549989E-2</v>
      </c>
      <c r="X112" s="15">
        <f t="shared" si="196"/>
        <v>0.29258474943624996</v>
      </c>
      <c r="Y112" s="15">
        <f t="shared" si="197"/>
        <v>0.32160519836249996</v>
      </c>
      <c r="Z112" s="14">
        <f t="shared" si="198"/>
        <v>2.358294081375</v>
      </c>
      <c r="AA112" s="14">
        <f t="shared" si="199"/>
        <v>21.762035779166666</v>
      </c>
      <c r="AB112" s="13">
        <f t="shared" si="200"/>
        <v>7.4391376716824997E-2</v>
      </c>
      <c r="AC112" s="14">
        <f t="shared" si="201"/>
        <v>0.43887712415437502</v>
      </c>
      <c r="AD112" s="13">
        <f t="shared" si="181"/>
        <v>0.12454716804577108</v>
      </c>
      <c r="AE112" s="15">
        <f t="shared" si="182"/>
        <v>8.8511499999999993E-2</v>
      </c>
      <c r="AF112" s="8">
        <v>0.28499999999999998</v>
      </c>
      <c r="AG112" s="12">
        <v>1.2333333333333334</v>
      </c>
      <c r="AH112" s="12">
        <v>0.2</v>
      </c>
      <c r="AI112" s="12">
        <v>7.8</v>
      </c>
      <c r="AJ112" s="7">
        <v>92</v>
      </c>
      <c r="AK112" s="12">
        <v>2.3333333333333335</v>
      </c>
      <c r="AL112" s="12">
        <f t="shared" si="202"/>
        <v>1.0802996249999999</v>
      </c>
      <c r="AM112" s="12">
        <f t="shared" si="203"/>
        <v>1.3323695375</v>
      </c>
      <c r="AN112" s="18">
        <f t="shared" si="204"/>
        <v>2.6647390749999999E-3</v>
      </c>
      <c r="AO112" s="8">
        <f t="shared" si="205"/>
        <v>0.10392482392499999</v>
      </c>
      <c r="AP112" s="12">
        <f t="shared" si="206"/>
        <v>1.2257799745</v>
      </c>
      <c r="AQ112" s="12">
        <f t="shared" si="207"/>
        <v>3.1088622541666666</v>
      </c>
      <c r="AR112" s="18">
        <f t="shared" si="208"/>
        <v>2.9442702039674994E-2</v>
      </c>
      <c r="AS112" s="8">
        <f t="shared" si="209"/>
        <v>0.18845034738399999</v>
      </c>
      <c r="AT112" s="8">
        <f t="shared" si="210"/>
        <v>0.15588723588749998</v>
      </c>
      <c r="AU112" s="8">
        <f t="shared" si="211"/>
        <v>1.83866996175</v>
      </c>
      <c r="AV112" s="8">
        <f t="shared" si="212"/>
        <v>21.762035779166666</v>
      </c>
      <c r="AW112" s="8">
        <f t="shared" si="213"/>
        <v>4.4164053059512494E-2</v>
      </c>
      <c r="AX112" s="8">
        <f t="shared" si="214"/>
        <v>0.28267552107600002</v>
      </c>
      <c r="AY112" s="495">
        <f t="shared" si="183"/>
        <v>7.9386257505003333E-2</v>
      </c>
      <c r="AZ112" s="8">
        <f t="shared" si="215"/>
        <v>2.8120000000000003E-2</v>
      </c>
      <c r="BA112" s="6">
        <v>1.5</v>
      </c>
      <c r="BB112" s="6">
        <v>1.5</v>
      </c>
      <c r="BC112" s="6">
        <v>7</v>
      </c>
      <c r="BD112" s="15">
        <v>7.0999999999999994E-2</v>
      </c>
      <c r="BE112" s="13">
        <v>0.28000000000000003</v>
      </c>
      <c r="BF112" s="15">
        <v>1.7999999999999999E-2</v>
      </c>
      <c r="BG112" s="13">
        <v>0.13</v>
      </c>
      <c r="BH112" s="28">
        <f t="shared" si="216"/>
        <v>7.7674469999999994E-3</v>
      </c>
      <c r="BI112" s="15">
        <f t="shared" si="217"/>
        <v>4.9716160000000002E-2</v>
      </c>
      <c r="BJ112" s="12">
        <v>20</v>
      </c>
      <c r="BK112" s="12">
        <v>1</v>
      </c>
      <c r="BL112" s="7">
        <v>4.5</v>
      </c>
      <c r="BM112" s="7">
        <v>28.5</v>
      </c>
      <c r="BN112" s="7">
        <v>67</v>
      </c>
      <c r="BO112" s="8">
        <f t="shared" si="218"/>
        <v>0.21605992499999999</v>
      </c>
      <c r="BP112" s="8">
        <f t="shared" si="219"/>
        <v>0.21605992499999999</v>
      </c>
      <c r="BQ112" s="8">
        <f t="shared" si="220"/>
        <v>9.7226966249999991E-3</v>
      </c>
      <c r="BR112" s="8">
        <f t="shared" si="221"/>
        <v>6.157707862499999E-2</v>
      </c>
      <c r="BS112" s="8">
        <f t="shared" si="222"/>
        <v>0.14476014975000001</v>
      </c>
      <c r="BT112" s="18">
        <f t="shared" si="223"/>
        <v>1.1026618272374998E-2</v>
      </c>
      <c r="BU112" s="8">
        <f t="shared" si="224"/>
        <v>5.4814402972499982E-2</v>
      </c>
      <c r="BV112" s="8">
        <f t="shared" si="225"/>
        <v>9.2365617937499978E-2</v>
      </c>
      <c r="BW112" s="8">
        <f t="shared" si="226"/>
        <v>0.21714022462500002</v>
      </c>
      <c r="BX112" s="18">
        <f t="shared" si="227"/>
        <v>1.6539927408562499E-2</v>
      </c>
      <c r="BY112" s="8">
        <f t="shared" si="228"/>
        <v>8.2221604458749986E-2</v>
      </c>
      <c r="BZ112" s="12">
        <f t="shared" si="229"/>
        <v>0.32999999999999996</v>
      </c>
      <c r="CA112" s="12">
        <f t="shared" si="184"/>
        <v>0.2880203045685279</v>
      </c>
      <c r="CB112" s="6">
        <v>1.5</v>
      </c>
      <c r="CC112" s="6">
        <v>1.5</v>
      </c>
      <c r="CD112" s="15">
        <v>0.125</v>
      </c>
      <c r="CE112" s="13">
        <v>0.42</v>
      </c>
      <c r="CF112" s="15">
        <v>2.3E-2</v>
      </c>
      <c r="CG112" s="13">
        <v>0.2</v>
      </c>
      <c r="CH112" s="28">
        <f t="shared" si="245"/>
        <v>2.9089949999999997E-3</v>
      </c>
      <c r="CI112" s="15">
        <f t="shared" si="230"/>
        <v>1.4460899999999997E-2</v>
      </c>
      <c r="CJ112" s="12">
        <v>23.333333333333336</v>
      </c>
      <c r="CK112" s="12">
        <v>1</v>
      </c>
      <c r="CL112" s="7">
        <v>0.6</v>
      </c>
      <c r="CM112" s="7">
        <v>19.399999999999999</v>
      </c>
      <c r="CN112" s="7">
        <v>80</v>
      </c>
      <c r="CO112" s="8">
        <f t="shared" si="231"/>
        <v>0.25206991249999999</v>
      </c>
      <c r="CP112" s="8">
        <f t="shared" si="232"/>
        <v>0.25206991249999999</v>
      </c>
      <c r="CQ112" s="18">
        <f t="shared" si="233"/>
        <v>1.5124194749999999E-3</v>
      </c>
      <c r="CR112" s="8">
        <f t="shared" si="234"/>
        <v>4.890156302499999E-2</v>
      </c>
      <c r="CS112" s="8">
        <f t="shared" si="235"/>
        <v>0.20165593000000001</v>
      </c>
      <c r="CT112" s="18">
        <f t="shared" si="236"/>
        <v>9.1249308324999993E-3</v>
      </c>
      <c r="CU112" s="8">
        <f t="shared" si="237"/>
        <v>4.9319999079750002E-2</v>
      </c>
      <c r="CV112" s="8">
        <f t="shared" si="238"/>
        <v>7.3352344537499989E-2</v>
      </c>
      <c r="CW112" s="8">
        <f t="shared" si="239"/>
        <v>0.302483895</v>
      </c>
      <c r="CX112" s="18">
        <f t="shared" si="240"/>
        <v>1.3687396248749999E-2</v>
      </c>
      <c r="CY112" s="8">
        <f t="shared" si="241"/>
        <v>7.3979998619624995E-2</v>
      </c>
      <c r="CZ112" s="12">
        <f t="shared" si="242"/>
        <v>0.19999999999999998</v>
      </c>
      <c r="DA112" s="12">
        <f t="shared" si="186"/>
        <v>0.20006012024048095</v>
      </c>
      <c r="DB112" s="6">
        <v>1.5</v>
      </c>
      <c r="DC112" s="6">
        <v>1.5</v>
      </c>
      <c r="DD112" s="15">
        <v>0.1</v>
      </c>
      <c r="DE112" s="13">
        <v>0.39</v>
      </c>
      <c r="DF112" s="15">
        <v>2.1000000000000001E-2</v>
      </c>
      <c r="DG112" s="13">
        <v>0.15</v>
      </c>
      <c r="DH112" s="28">
        <f t="shared" si="243"/>
        <v>2.4073000000000002E-3</v>
      </c>
      <c r="DI112" s="29">
        <f t="shared" si="244"/>
        <v>1.3011390000000001E-2</v>
      </c>
    </row>
    <row r="113" spans="1:113" x14ac:dyDescent="0.25">
      <c r="A113" s="85">
        <v>105</v>
      </c>
      <c r="B113" s="19" t="s">
        <v>36</v>
      </c>
      <c r="C113" s="31" t="s">
        <v>24</v>
      </c>
      <c r="D113" s="19" t="s">
        <v>173</v>
      </c>
      <c r="E113" s="33">
        <v>4</v>
      </c>
      <c r="F113" s="9">
        <v>40</v>
      </c>
      <c r="G113" s="32" t="s">
        <v>99</v>
      </c>
      <c r="H113" s="9" t="s">
        <v>11</v>
      </c>
      <c r="I113" s="19" t="s">
        <v>5</v>
      </c>
      <c r="J113" s="32" t="s">
        <v>99</v>
      </c>
      <c r="K113" s="2" t="str">
        <f t="shared" si="187"/>
        <v>Kommunal Tätort 4F 40 - City M</v>
      </c>
      <c r="L113" s="2"/>
      <c r="M113" s="32" t="s">
        <v>99</v>
      </c>
      <c r="N113" s="53">
        <f>'Beräkna - Länk'!$C$26</f>
        <v>1</v>
      </c>
      <c r="O113" s="53">
        <f>'Beräkna - Länk'!$C$24/('Beräkna - Länk'!$C$27)^('Beräkna - Länk'!$C$25-2010)</f>
        <v>10385</v>
      </c>
      <c r="P113" s="13">
        <f t="shared" si="188"/>
        <v>3.7905249999999997</v>
      </c>
      <c r="Q113" s="13">
        <f t="shared" si="189"/>
        <v>1.3987037250000001</v>
      </c>
      <c r="R113" s="13">
        <f t="shared" si="190"/>
        <v>1.7398509750000002</v>
      </c>
      <c r="S113" s="28">
        <f t="shared" si="191"/>
        <v>1.1633121225000001E-2</v>
      </c>
      <c r="T113" s="15">
        <f t="shared" si="192"/>
        <v>0.19476096502500001</v>
      </c>
      <c r="U113" s="13">
        <f t="shared" si="193"/>
        <v>1.53345688875</v>
      </c>
      <c r="V113" s="13">
        <f t="shared" si="194"/>
        <v>3.1840410000000001</v>
      </c>
      <c r="W113" s="15">
        <f t="shared" si="195"/>
        <v>4.6269630943875005E-2</v>
      </c>
      <c r="X113" s="15">
        <f t="shared" si="196"/>
        <v>0.27633131938350003</v>
      </c>
      <c r="Y113" s="15">
        <f t="shared" si="197"/>
        <v>0.29214144753749999</v>
      </c>
      <c r="Z113" s="14">
        <f t="shared" si="198"/>
        <v>2.300185333125</v>
      </c>
      <c r="AA113" s="14">
        <f t="shared" si="199"/>
        <v>22.288287</v>
      </c>
      <c r="AB113" s="13">
        <f t="shared" si="200"/>
        <v>6.940444641581249E-2</v>
      </c>
      <c r="AC113" s="14">
        <f t="shared" si="201"/>
        <v>0.41449697907525002</v>
      </c>
      <c r="AD113" s="13">
        <f t="shared" si="181"/>
        <v>0.11665869683412049</v>
      </c>
      <c r="AE113" s="15">
        <f t="shared" si="182"/>
        <v>8.0140500000000003E-2</v>
      </c>
      <c r="AF113" s="8">
        <v>0.27</v>
      </c>
      <c r="AG113" s="12">
        <v>1.3333333333333335</v>
      </c>
      <c r="AH113" s="12">
        <v>0.2</v>
      </c>
      <c r="AI113" s="12">
        <v>7.8</v>
      </c>
      <c r="AJ113" s="7">
        <v>92</v>
      </c>
      <c r="AK113" s="12">
        <v>2.3333333333333335</v>
      </c>
      <c r="AL113" s="12">
        <f t="shared" si="202"/>
        <v>1.0234417499999999</v>
      </c>
      <c r="AM113" s="12">
        <f t="shared" si="203"/>
        <v>1.3645890000000001</v>
      </c>
      <c r="AN113" s="18">
        <f t="shared" si="204"/>
        <v>2.7291780000000005E-3</v>
      </c>
      <c r="AO113" s="8">
        <f t="shared" si="205"/>
        <v>0.10643794200000001</v>
      </c>
      <c r="AP113" s="12">
        <f t="shared" si="206"/>
        <v>1.2554218800000001</v>
      </c>
      <c r="AQ113" s="12">
        <f t="shared" si="207"/>
        <v>3.1840410000000001</v>
      </c>
      <c r="AR113" s="18">
        <f t="shared" si="208"/>
        <v>3.0154687722000004E-2</v>
      </c>
      <c r="AS113" s="8">
        <f t="shared" si="209"/>
        <v>0.19300746816000003</v>
      </c>
      <c r="AT113" s="8">
        <f t="shared" si="210"/>
        <v>0.15965691300000001</v>
      </c>
      <c r="AU113" s="8">
        <f t="shared" si="211"/>
        <v>1.8831328200000002</v>
      </c>
      <c r="AV113" s="8">
        <f t="shared" si="212"/>
        <v>22.288287</v>
      </c>
      <c r="AW113" s="8">
        <f t="shared" si="213"/>
        <v>4.5232031583000001E-2</v>
      </c>
      <c r="AX113" s="8">
        <f t="shared" si="214"/>
        <v>0.28951120224000004</v>
      </c>
      <c r="AY113" s="495">
        <f t="shared" si="183"/>
        <v>7.9386257505003333E-2</v>
      </c>
      <c r="AZ113" s="8">
        <f t="shared" si="215"/>
        <v>2.8800000000000006E-2</v>
      </c>
      <c r="BA113" s="6">
        <v>1.5</v>
      </c>
      <c r="BB113" s="6">
        <v>1.5</v>
      </c>
      <c r="BC113" s="6">
        <v>7</v>
      </c>
      <c r="BD113" s="15">
        <v>7.0999999999999994E-2</v>
      </c>
      <c r="BE113" s="13">
        <v>0.28000000000000003</v>
      </c>
      <c r="BF113" s="15">
        <v>1.7999999999999999E-2</v>
      </c>
      <c r="BG113" s="13">
        <v>0.13</v>
      </c>
      <c r="BH113" s="28">
        <f t="shared" si="216"/>
        <v>7.9552800000000021E-3</v>
      </c>
      <c r="BI113" s="15">
        <f t="shared" si="217"/>
        <v>5.0918400000000009E-2</v>
      </c>
      <c r="BJ113" s="12">
        <v>16.666666666666668</v>
      </c>
      <c r="BK113" s="12">
        <v>1</v>
      </c>
      <c r="BL113" s="7">
        <v>4.5</v>
      </c>
      <c r="BM113" s="7">
        <v>28.5</v>
      </c>
      <c r="BN113" s="7">
        <v>67</v>
      </c>
      <c r="BO113" s="8">
        <f t="shared" si="218"/>
        <v>0.17057362500000001</v>
      </c>
      <c r="BP113" s="8">
        <f t="shared" si="219"/>
        <v>0.17057362500000001</v>
      </c>
      <c r="BQ113" s="8">
        <f t="shared" si="220"/>
        <v>7.675813125E-3</v>
      </c>
      <c r="BR113" s="8">
        <f t="shared" si="221"/>
        <v>4.8613483124999995E-2</v>
      </c>
      <c r="BS113" s="8">
        <f t="shared" si="222"/>
        <v>0.11428432875000001</v>
      </c>
      <c r="BT113" s="18">
        <f t="shared" si="223"/>
        <v>8.705224951875E-3</v>
      </c>
      <c r="BU113" s="8">
        <f t="shared" si="224"/>
        <v>4.3274528662499999E-2</v>
      </c>
      <c r="BV113" s="8">
        <f t="shared" si="225"/>
        <v>7.2920224687499993E-2</v>
      </c>
      <c r="BW113" s="8">
        <f t="shared" si="226"/>
        <v>0.17142649312500002</v>
      </c>
      <c r="BX113" s="18">
        <f t="shared" si="227"/>
        <v>1.30578374278125E-2</v>
      </c>
      <c r="BY113" s="8">
        <f t="shared" si="228"/>
        <v>6.4911792993750009E-2</v>
      </c>
      <c r="BZ113" s="12">
        <f t="shared" si="229"/>
        <v>0.32999999999999996</v>
      </c>
      <c r="CA113" s="12">
        <f t="shared" si="184"/>
        <v>0.2880203045685279</v>
      </c>
      <c r="CB113" s="6">
        <v>1.5</v>
      </c>
      <c r="CC113" s="6">
        <v>1.5</v>
      </c>
      <c r="CD113" s="15">
        <v>0.125</v>
      </c>
      <c r="CE113" s="13">
        <v>0.42</v>
      </c>
      <c r="CF113" s="15">
        <v>2.3E-2</v>
      </c>
      <c r="CG113" s="13">
        <v>0.2</v>
      </c>
      <c r="CH113" s="28">
        <f t="shared" si="245"/>
        <v>2.2965750000000004E-3</v>
      </c>
      <c r="CI113" s="15">
        <f t="shared" si="230"/>
        <v>1.1416500000000001E-2</v>
      </c>
      <c r="CJ113" s="12">
        <v>20</v>
      </c>
      <c r="CK113" s="12">
        <v>1</v>
      </c>
      <c r="CL113" s="7">
        <v>0.6</v>
      </c>
      <c r="CM113" s="7">
        <v>19.399999999999999</v>
      </c>
      <c r="CN113" s="7">
        <v>80</v>
      </c>
      <c r="CO113" s="8">
        <f t="shared" si="231"/>
        <v>0.20468834999999999</v>
      </c>
      <c r="CP113" s="8">
        <f t="shared" si="232"/>
        <v>0.20468834999999999</v>
      </c>
      <c r="CQ113" s="18">
        <f t="shared" si="233"/>
        <v>1.2281301000000001E-3</v>
      </c>
      <c r="CR113" s="8">
        <f t="shared" si="234"/>
        <v>3.9709539899999993E-2</v>
      </c>
      <c r="CS113" s="8">
        <f t="shared" si="235"/>
        <v>0.16375068000000001</v>
      </c>
      <c r="CT113" s="18">
        <f t="shared" si="236"/>
        <v>7.4097182699999998E-3</v>
      </c>
      <c r="CU113" s="8">
        <f t="shared" si="237"/>
        <v>4.0049322561000002E-2</v>
      </c>
      <c r="CV113" s="8">
        <f t="shared" si="238"/>
        <v>5.956430984999999E-2</v>
      </c>
      <c r="CW113" s="8">
        <f t="shared" si="239"/>
        <v>0.24562602</v>
      </c>
      <c r="CX113" s="18">
        <f t="shared" si="240"/>
        <v>1.1114577404999999E-2</v>
      </c>
      <c r="CY113" s="8">
        <f t="shared" si="241"/>
        <v>6.0073983841499992E-2</v>
      </c>
      <c r="CZ113" s="12">
        <f t="shared" si="242"/>
        <v>0.19999999999999998</v>
      </c>
      <c r="DA113" s="12">
        <f t="shared" si="186"/>
        <v>0.20006012024048095</v>
      </c>
      <c r="DB113" s="6">
        <v>1.5</v>
      </c>
      <c r="DC113" s="6">
        <v>1.5</v>
      </c>
      <c r="DD113" s="15">
        <v>0.1</v>
      </c>
      <c r="DE113" s="13">
        <v>0.39</v>
      </c>
      <c r="DF113" s="15">
        <v>2.1000000000000001E-2</v>
      </c>
      <c r="DG113" s="13">
        <v>0.15</v>
      </c>
      <c r="DH113" s="28">
        <f t="shared" si="243"/>
        <v>1.9548E-3</v>
      </c>
      <c r="DI113" s="29">
        <f t="shared" si="244"/>
        <v>1.0565640000000001E-2</v>
      </c>
    </row>
    <row r="114" spans="1:113" x14ac:dyDescent="0.25">
      <c r="A114" s="85">
        <v>106</v>
      </c>
      <c r="B114" s="19" t="s">
        <v>36</v>
      </c>
      <c r="C114" s="31" t="s">
        <v>24</v>
      </c>
      <c r="D114" s="19" t="s">
        <v>173</v>
      </c>
      <c r="E114" s="33">
        <v>4</v>
      </c>
      <c r="F114" s="9">
        <v>40</v>
      </c>
      <c r="G114" s="32" t="s">
        <v>99</v>
      </c>
      <c r="H114" s="19" t="s">
        <v>10</v>
      </c>
      <c r="I114" s="19" t="s">
        <v>4</v>
      </c>
      <c r="J114" s="32" t="s">
        <v>99</v>
      </c>
      <c r="K114" s="2" t="str">
        <f t="shared" si="187"/>
        <v>Kommunal Tätort 4F 40 - GIF C</v>
      </c>
      <c r="L114" s="2"/>
      <c r="M114" s="32" t="s">
        <v>99</v>
      </c>
      <c r="N114" s="53">
        <f>'Beräkna - Länk'!$C$26</f>
        <v>1</v>
      </c>
      <c r="O114" s="53">
        <f>'Beräkna - Länk'!$C$24/('Beräkna - Länk'!$C$27)^('Beräkna - Länk'!$C$25-2010)</f>
        <v>10385</v>
      </c>
      <c r="P114" s="13">
        <f t="shared" si="188"/>
        <v>3.7905249999999997</v>
      </c>
      <c r="Q114" s="13">
        <f t="shared" si="189"/>
        <v>1.1401899200000001</v>
      </c>
      <c r="R114" s="13">
        <f t="shared" si="190"/>
        <v>1.5950529199999997</v>
      </c>
      <c r="S114" s="28">
        <f t="shared" si="191"/>
        <v>8.3694791999999983E-3</v>
      </c>
      <c r="T114" s="15">
        <f t="shared" si="192"/>
        <v>0.16108215039999996</v>
      </c>
      <c r="U114" s="13">
        <f t="shared" si="193"/>
        <v>1.4256012903999999</v>
      </c>
      <c r="V114" s="13">
        <f t="shared" si="194"/>
        <v>3.1840409999999997</v>
      </c>
      <c r="W114" s="15">
        <f t="shared" si="195"/>
        <v>4.0116975851199999E-2</v>
      </c>
      <c r="X114" s="15">
        <f t="shared" si="196"/>
        <v>0.24443609839199998</v>
      </c>
      <c r="Y114" s="15">
        <f t="shared" si="197"/>
        <v>0.24162322559999994</v>
      </c>
      <c r="Z114" s="14">
        <f t="shared" si="198"/>
        <v>2.1384019355999997</v>
      </c>
      <c r="AA114" s="14">
        <f t="shared" si="199"/>
        <v>22.288286999999997</v>
      </c>
      <c r="AB114" s="13">
        <f t="shared" si="200"/>
        <v>6.0175463776799991E-2</v>
      </c>
      <c r="AC114" s="14">
        <f t="shared" si="201"/>
        <v>0.36665414758800002</v>
      </c>
      <c r="AD114" s="13">
        <f t="shared" si="181"/>
        <v>0.10466976460729793</v>
      </c>
      <c r="AE114" s="15">
        <f t="shared" si="182"/>
        <v>6.5951999999999983E-2</v>
      </c>
      <c r="AF114" s="8">
        <v>0.24</v>
      </c>
      <c r="AG114" s="12">
        <v>1.5</v>
      </c>
      <c r="AH114" s="12">
        <v>0.2</v>
      </c>
      <c r="AI114" s="12">
        <v>7.8</v>
      </c>
      <c r="AJ114" s="7">
        <v>92</v>
      </c>
      <c r="AK114" s="12">
        <v>2.3333333333333335</v>
      </c>
      <c r="AL114" s="12">
        <f t="shared" si="202"/>
        <v>0.90972599999999992</v>
      </c>
      <c r="AM114" s="12">
        <f t="shared" si="203"/>
        <v>1.3645889999999998</v>
      </c>
      <c r="AN114" s="18">
        <f t="shared" si="204"/>
        <v>2.7291780000000001E-3</v>
      </c>
      <c r="AO114" s="8">
        <f t="shared" si="205"/>
        <v>0.10643794199999998</v>
      </c>
      <c r="AP114" s="12">
        <f t="shared" si="206"/>
        <v>1.2554218799999999</v>
      </c>
      <c r="AQ114" s="12">
        <f t="shared" si="207"/>
        <v>3.1840409999999997</v>
      </c>
      <c r="AR114" s="18">
        <f t="shared" si="208"/>
        <v>3.0154687721999997E-2</v>
      </c>
      <c r="AS114" s="8">
        <f t="shared" si="209"/>
        <v>0.19300746816</v>
      </c>
      <c r="AT114" s="8">
        <f t="shared" si="210"/>
        <v>0.15965691299999996</v>
      </c>
      <c r="AU114" s="8">
        <f t="shared" si="211"/>
        <v>1.8831328199999997</v>
      </c>
      <c r="AV114" s="8">
        <f t="shared" si="212"/>
        <v>22.288286999999997</v>
      </c>
      <c r="AW114" s="8">
        <f t="shared" si="213"/>
        <v>4.5232031582999987E-2</v>
      </c>
      <c r="AX114" s="8">
        <f t="shared" si="214"/>
        <v>0.28951120223999993</v>
      </c>
      <c r="AY114" s="495">
        <f t="shared" si="183"/>
        <v>7.9386257505003319E-2</v>
      </c>
      <c r="AZ114" s="8">
        <f t="shared" si="215"/>
        <v>2.8799999999999999E-2</v>
      </c>
      <c r="BA114" s="6">
        <v>1.5</v>
      </c>
      <c r="BB114" s="6">
        <v>1.5</v>
      </c>
      <c r="BC114" s="6">
        <v>7</v>
      </c>
      <c r="BD114" s="15">
        <v>7.0999999999999994E-2</v>
      </c>
      <c r="BE114" s="13">
        <v>0.28000000000000003</v>
      </c>
      <c r="BF114" s="15">
        <v>1.7999999999999999E-2</v>
      </c>
      <c r="BG114" s="13">
        <v>0.13</v>
      </c>
      <c r="BH114" s="28">
        <f t="shared" si="216"/>
        <v>7.9552800000000003E-3</v>
      </c>
      <c r="BI114" s="15">
        <f t="shared" si="217"/>
        <v>5.0918400000000003E-2</v>
      </c>
      <c r="BJ114" s="12">
        <v>12</v>
      </c>
      <c r="BK114" s="12">
        <v>1</v>
      </c>
      <c r="BL114" s="7">
        <v>4.5</v>
      </c>
      <c r="BM114" s="7">
        <v>28.5</v>
      </c>
      <c r="BN114" s="7">
        <v>67</v>
      </c>
      <c r="BO114" s="8">
        <f t="shared" si="218"/>
        <v>0.10916711999999999</v>
      </c>
      <c r="BP114" s="8">
        <f t="shared" si="219"/>
        <v>0.10916711999999999</v>
      </c>
      <c r="BQ114" s="8">
        <f t="shared" si="220"/>
        <v>4.9125203999999994E-3</v>
      </c>
      <c r="BR114" s="8">
        <f t="shared" si="221"/>
        <v>3.1112629199999995E-2</v>
      </c>
      <c r="BS114" s="8">
        <f t="shared" si="222"/>
        <v>7.3141970400000006E-2</v>
      </c>
      <c r="BT114" s="18">
        <f t="shared" si="223"/>
        <v>5.5713439691999992E-3</v>
      </c>
      <c r="BU114" s="8">
        <f t="shared" si="224"/>
        <v>2.7695698343999993E-2</v>
      </c>
      <c r="BV114" s="8">
        <f t="shared" si="225"/>
        <v>4.6668943799999994E-2</v>
      </c>
      <c r="BW114" s="8">
        <f t="shared" si="226"/>
        <v>0.10971295560000001</v>
      </c>
      <c r="BX114" s="18">
        <f t="shared" si="227"/>
        <v>8.3570159537999997E-3</v>
      </c>
      <c r="BY114" s="8">
        <f t="shared" si="228"/>
        <v>4.1543547516E-2</v>
      </c>
      <c r="BZ114" s="12">
        <f t="shared" si="229"/>
        <v>0.32999999999999996</v>
      </c>
      <c r="CA114" s="12">
        <f t="shared" si="184"/>
        <v>0.2880203045685279</v>
      </c>
      <c r="CB114" s="6">
        <v>1.5</v>
      </c>
      <c r="CC114" s="6">
        <v>1.5</v>
      </c>
      <c r="CD114" s="15">
        <v>0.125</v>
      </c>
      <c r="CE114" s="13">
        <v>0.42</v>
      </c>
      <c r="CF114" s="15">
        <v>2.3E-2</v>
      </c>
      <c r="CG114" s="13">
        <v>0.2</v>
      </c>
      <c r="CH114" s="28">
        <f t="shared" si="245"/>
        <v>1.469808E-3</v>
      </c>
      <c r="CI114" s="15">
        <f t="shared" si="230"/>
        <v>7.3065599999999984E-3</v>
      </c>
      <c r="CJ114" s="12">
        <v>13.333333333333334</v>
      </c>
      <c r="CK114" s="12">
        <v>1</v>
      </c>
      <c r="CL114" s="7">
        <v>0.6</v>
      </c>
      <c r="CM114" s="7">
        <v>19.399999999999999</v>
      </c>
      <c r="CN114" s="7">
        <v>80</v>
      </c>
      <c r="CO114" s="8">
        <f t="shared" si="231"/>
        <v>0.12129679999999998</v>
      </c>
      <c r="CP114" s="8">
        <f t="shared" si="232"/>
        <v>0.12129679999999998</v>
      </c>
      <c r="CQ114" s="18">
        <f t="shared" si="233"/>
        <v>7.2778079999999987E-4</v>
      </c>
      <c r="CR114" s="8">
        <f t="shared" si="234"/>
        <v>2.3531579199999993E-2</v>
      </c>
      <c r="CS114" s="8">
        <f t="shared" si="235"/>
        <v>9.7037439999999989E-2</v>
      </c>
      <c r="CT114" s="18">
        <f t="shared" si="236"/>
        <v>4.3909441600000002E-3</v>
      </c>
      <c r="CU114" s="8">
        <f t="shared" si="237"/>
        <v>2.3732931887999999E-2</v>
      </c>
      <c r="CV114" s="8">
        <f t="shared" si="238"/>
        <v>3.5297368799999992E-2</v>
      </c>
      <c r="CW114" s="8">
        <f t="shared" si="239"/>
        <v>0.14555615999999999</v>
      </c>
      <c r="CX114" s="18">
        <f t="shared" si="240"/>
        <v>6.5864162399999994E-3</v>
      </c>
      <c r="CY114" s="8">
        <f t="shared" si="241"/>
        <v>3.5599397831999995E-2</v>
      </c>
      <c r="CZ114" s="12">
        <f t="shared" si="242"/>
        <v>0.19999999999999998</v>
      </c>
      <c r="DA114" s="12">
        <f t="shared" si="186"/>
        <v>0.20006012024048095</v>
      </c>
      <c r="DB114" s="6">
        <v>1.5</v>
      </c>
      <c r="DC114" s="6">
        <v>1.5</v>
      </c>
      <c r="DD114" s="15">
        <v>0.1</v>
      </c>
      <c r="DE114" s="13">
        <v>0.39</v>
      </c>
      <c r="DF114" s="15">
        <v>2.1000000000000001E-2</v>
      </c>
      <c r="DG114" s="13">
        <v>0.15</v>
      </c>
      <c r="DH114" s="28">
        <f t="shared" si="243"/>
        <v>1.1584000000000002E-3</v>
      </c>
      <c r="DI114" s="29">
        <f t="shared" si="244"/>
        <v>6.2611200000000002E-3</v>
      </c>
    </row>
    <row r="115" spans="1:113" x14ac:dyDescent="0.25">
      <c r="A115" s="85">
        <v>107</v>
      </c>
      <c r="B115" s="19" t="s">
        <v>36</v>
      </c>
      <c r="C115" s="31" t="s">
        <v>24</v>
      </c>
      <c r="D115" s="19" t="s">
        <v>173</v>
      </c>
      <c r="E115" s="33">
        <v>4</v>
      </c>
      <c r="F115" s="9">
        <v>40</v>
      </c>
      <c r="G115" s="32" t="s">
        <v>99</v>
      </c>
      <c r="H115" s="33" t="s">
        <v>25</v>
      </c>
      <c r="I115" s="19" t="s">
        <v>4</v>
      </c>
      <c r="J115" s="32" t="s">
        <v>99</v>
      </c>
      <c r="K115" s="2" t="str">
        <f t="shared" si="187"/>
        <v>Kommunal Tätort 4F 40 - Tangent C</v>
      </c>
      <c r="L115" s="2"/>
      <c r="M115" s="32" t="s">
        <v>99</v>
      </c>
      <c r="N115" s="53">
        <f>'Beräkna - Länk'!$C$26</f>
        <v>1</v>
      </c>
      <c r="O115" s="53">
        <f>'Beräkna - Länk'!$C$24/('Beräkna - Länk'!$C$27)^('Beräkna - Länk'!$C$25-2010)</f>
        <v>10385</v>
      </c>
      <c r="P115" s="13">
        <f t="shared" si="188"/>
        <v>3.7905249999999997</v>
      </c>
      <c r="Q115" s="13">
        <f t="shared" si="189"/>
        <v>1.330474275</v>
      </c>
      <c r="R115" s="13">
        <f t="shared" si="190"/>
        <v>1.6716215250000002</v>
      </c>
      <c r="S115" s="28">
        <f t="shared" si="191"/>
        <v>9.893270249999999E-3</v>
      </c>
      <c r="T115" s="15">
        <f t="shared" si="192"/>
        <v>0.17842001175</v>
      </c>
      <c r="U115" s="13">
        <f t="shared" si="193"/>
        <v>1.4833082430000002</v>
      </c>
      <c r="V115" s="13">
        <f t="shared" si="194"/>
        <v>3.1840410000000001</v>
      </c>
      <c r="W115" s="15">
        <f t="shared" si="195"/>
        <v>4.329363290850001E-2</v>
      </c>
      <c r="X115" s="15">
        <f t="shared" si="196"/>
        <v>0.26100152655750003</v>
      </c>
      <c r="Y115" s="15">
        <f t="shared" si="197"/>
        <v>0.26763001762499999</v>
      </c>
      <c r="Z115" s="14">
        <f t="shared" si="198"/>
        <v>2.2249623645000001</v>
      </c>
      <c r="AA115" s="14">
        <f t="shared" si="199"/>
        <v>22.288287</v>
      </c>
      <c r="AB115" s="13">
        <f t="shared" si="200"/>
        <v>6.4940449362750008E-2</v>
      </c>
      <c r="AC115" s="14">
        <f t="shared" si="201"/>
        <v>0.39150228983625007</v>
      </c>
      <c r="AD115" s="13">
        <f t="shared" si="181"/>
        <v>0.11089905255265489</v>
      </c>
      <c r="AE115" s="15">
        <f t="shared" si="182"/>
        <v>7.3215000000000002E-2</v>
      </c>
      <c r="AF115" s="8">
        <v>0.27</v>
      </c>
      <c r="AG115" s="12">
        <v>1.3333333333333335</v>
      </c>
      <c r="AH115" s="12">
        <v>0.2</v>
      </c>
      <c r="AI115" s="12">
        <v>7.8</v>
      </c>
      <c r="AJ115" s="7">
        <v>92</v>
      </c>
      <c r="AK115" s="12">
        <v>2.3333333333333335</v>
      </c>
      <c r="AL115" s="12">
        <f t="shared" si="202"/>
        <v>1.0234417499999999</v>
      </c>
      <c r="AM115" s="12">
        <f t="shared" si="203"/>
        <v>1.3645890000000001</v>
      </c>
      <c r="AN115" s="18">
        <f t="shared" si="204"/>
        <v>2.7291780000000005E-3</v>
      </c>
      <c r="AO115" s="8">
        <f t="shared" si="205"/>
        <v>0.10643794200000001</v>
      </c>
      <c r="AP115" s="12">
        <f t="shared" si="206"/>
        <v>1.2554218800000001</v>
      </c>
      <c r="AQ115" s="12">
        <f t="shared" si="207"/>
        <v>3.1840410000000001</v>
      </c>
      <c r="AR115" s="18">
        <f t="shared" si="208"/>
        <v>3.0154687722000004E-2</v>
      </c>
      <c r="AS115" s="8">
        <f t="shared" si="209"/>
        <v>0.19300746816000003</v>
      </c>
      <c r="AT115" s="8">
        <f t="shared" si="210"/>
        <v>0.15965691300000001</v>
      </c>
      <c r="AU115" s="8">
        <f t="shared" si="211"/>
        <v>1.8831328200000002</v>
      </c>
      <c r="AV115" s="8">
        <f t="shared" si="212"/>
        <v>22.288287</v>
      </c>
      <c r="AW115" s="8">
        <f t="shared" si="213"/>
        <v>4.5232031583000001E-2</v>
      </c>
      <c r="AX115" s="8">
        <f t="shared" si="214"/>
        <v>0.28951120224000004</v>
      </c>
      <c r="AY115" s="495">
        <f t="shared" si="183"/>
        <v>7.9386257505003333E-2</v>
      </c>
      <c r="AZ115" s="8">
        <f t="shared" si="215"/>
        <v>2.8800000000000006E-2</v>
      </c>
      <c r="BA115" s="6">
        <v>1.5</v>
      </c>
      <c r="BB115" s="6">
        <v>1.5</v>
      </c>
      <c r="BC115" s="6">
        <v>7</v>
      </c>
      <c r="BD115" s="15">
        <v>7.0999999999999994E-2</v>
      </c>
      <c r="BE115" s="13">
        <v>0.28000000000000003</v>
      </c>
      <c r="BF115" s="15">
        <v>1.7999999999999999E-2</v>
      </c>
      <c r="BG115" s="13">
        <v>0.13</v>
      </c>
      <c r="BH115" s="28">
        <f t="shared" si="216"/>
        <v>7.9552800000000021E-3</v>
      </c>
      <c r="BI115" s="15">
        <f t="shared" si="217"/>
        <v>5.0918400000000009E-2</v>
      </c>
      <c r="BJ115" s="12">
        <v>13.333333333333334</v>
      </c>
      <c r="BK115" s="12">
        <v>1</v>
      </c>
      <c r="BL115" s="7">
        <v>4.5</v>
      </c>
      <c r="BM115" s="7">
        <v>28.5</v>
      </c>
      <c r="BN115" s="7">
        <v>67</v>
      </c>
      <c r="BO115" s="8">
        <f t="shared" si="218"/>
        <v>0.13645889999999999</v>
      </c>
      <c r="BP115" s="8">
        <f t="shared" si="219"/>
        <v>0.13645889999999999</v>
      </c>
      <c r="BQ115" s="8">
        <f t="shared" si="220"/>
        <v>6.1406504999999998E-3</v>
      </c>
      <c r="BR115" s="8">
        <f t="shared" si="221"/>
        <v>3.8890786499999996E-2</v>
      </c>
      <c r="BS115" s="8">
        <f t="shared" si="222"/>
        <v>9.1427463E-2</v>
      </c>
      <c r="BT115" s="18">
        <f t="shared" si="223"/>
        <v>6.9641799615000003E-3</v>
      </c>
      <c r="BU115" s="8">
        <f t="shared" si="224"/>
        <v>3.4619622930000003E-2</v>
      </c>
      <c r="BV115" s="8">
        <f t="shared" si="225"/>
        <v>5.8336179749999995E-2</v>
      </c>
      <c r="BW115" s="8">
        <f t="shared" si="226"/>
        <v>0.13714119450000001</v>
      </c>
      <c r="BX115" s="18">
        <f t="shared" si="227"/>
        <v>1.044626994225E-2</v>
      </c>
      <c r="BY115" s="8">
        <f t="shared" si="228"/>
        <v>5.1929434395000001E-2</v>
      </c>
      <c r="BZ115" s="12">
        <f t="shared" si="229"/>
        <v>0.32999999999999996</v>
      </c>
      <c r="CA115" s="12">
        <f t="shared" si="184"/>
        <v>0.2880203045685279</v>
      </c>
      <c r="CB115" s="6">
        <v>1.5</v>
      </c>
      <c r="CC115" s="6">
        <v>1.5</v>
      </c>
      <c r="CD115" s="15">
        <v>0.125</v>
      </c>
      <c r="CE115" s="13">
        <v>0.42</v>
      </c>
      <c r="CF115" s="15">
        <v>2.3E-2</v>
      </c>
      <c r="CG115" s="13">
        <v>0.2</v>
      </c>
      <c r="CH115" s="28">
        <f t="shared" si="245"/>
        <v>1.8372600000000003E-3</v>
      </c>
      <c r="CI115" s="15">
        <f t="shared" si="230"/>
        <v>9.133200000000001E-3</v>
      </c>
      <c r="CJ115" s="12">
        <v>16.666666666666668</v>
      </c>
      <c r="CK115" s="12">
        <v>1</v>
      </c>
      <c r="CL115" s="7">
        <v>0.6</v>
      </c>
      <c r="CM115" s="7">
        <v>19.399999999999999</v>
      </c>
      <c r="CN115" s="7">
        <v>80</v>
      </c>
      <c r="CO115" s="8">
        <f t="shared" si="231"/>
        <v>0.17057362500000001</v>
      </c>
      <c r="CP115" s="8">
        <f t="shared" si="232"/>
        <v>0.17057362500000001</v>
      </c>
      <c r="CQ115" s="18">
        <f t="shared" si="233"/>
        <v>1.02344175E-3</v>
      </c>
      <c r="CR115" s="8">
        <f t="shared" si="234"/>
        <v>3.3091283249999999E-2</v>
      </c>
      <c r="CS115" s="8">
        <f t="shared" si="235"/>
        <v>0.13645890000000002</v>
      </c>
      <c r="CT115" s="18">
        <f t="shared" si="236"/>
        <v>6.174765225E-3</v>
      </c>
      <c r="CU115" s="8">
        <f t="shared" si="237"/>
        <v>3.3374435467499998E-2</v>
      </c>
      <c r="CV115" s="8">
        <f t="shared" si="238"/>
        <v>4.9636924875000002E-2</v>
      </c>
      <c r="CW115" s="8">
        <f t="shared" si="239"/>
        <v>0.20468835000000002</v>
      </c>
      <c r="CX115" s="18">
        <f t="shared" si="240"/>
        <v>9.2621478375000017E-3</v>
      </c>
      <c r="CY115" s="8">
        <f t="shared" si="241"/>
        <v>5.006165320125E-2</v>
      </c>
      <c r="CZ115" s="12">
        <f t="shared" si="242"/>
        <v>0.19999999999999998</v>
      </c>
      <c r="DA115" s="12">
        <f t="shared" si="186"/>
        <v>0.20006012024048095</v>
      </c>
      <c r="DB115" s="6">
        <v>1.5</v>
      </c>
      <c r="DC115" s="6">
        <v>1.5</v>
      </c>
      <c r="DD115" s="15">
        <v>0.1</v>
      </c>
      <c r="DE115" s="13">
        <v>0.39</v>
      </c>
      <c r="DF115" s="15">
        <v>2.1000000000000001E-2</v>
      </c>
      <c r="DG115" s="13">
        <v>0.15</v>
      </c>
      <c r="DH115" s="28">
        <f t="shared" si="243"/>
        <v>1.6290000000000002E-3</v>
      </c>
      <c r="DI115" s="29">
        <f t="shared" si="244"/>
        <v>8.8047000000000004E-3</v>
      </c>
    </row>
    <row r="116" spans="1:113" x14ac:dyDescent="0.25">
      <c r="A116" s="85">
        <v>108</v>
      </c>
      <c r="B116" s="19" t="s">
        <v>36</v>
      </c>
      <c r="C116" s="31" t="s">
        <v>24</v>
      </c>
      <c r="D116" s="19" t="s">
        <v>173</v>
      </c>
      <c r="E116" s="33">
        <v>4</v>
      </c>
      <c r="F116" s="9">
        <v>50</v>
      </c>
      <c r="G116" s="32" t="s">
        <v>99</v>
      </c>
      <c r="H116" s="9" t="s">
        <v>11</v>
      </c>
      <c r="I116" s="19" t="s">
        <v>4</v>
      </c>
      <c r="J116" s="32" t="s">
        <v>99</v>
      </c>
      <c r="K116" s="2" t="str">
        <f t="shared" si="187"/>
        <v>Kommunal Tätort 4F 50 - City C</v>
      </c>
      <c r="L116" s="2"/>
      <c r="M116" s="32" t="s">
        <v>99</v>
      </c>
      <c r="N116" s="53">
        <f>'Beräkna - Länk'!$C$26</f>
        <v>1</v>
      </c>
      <c r="O116" s="53">
        <f>'Beräkna - Länk'!$C$24/('Beräkna - Länk'!$C$27)^('Beräkna - Länk'!$C$25-2010)</f>
        <v>10385</v>
      </c>
      <c r="P116" s="13">
        <f t="shared" si="188"/>
        <v>3.7905249999999997</v>
      </c>
      <c r="Q116" s="13">
        <f t="shared" si="189"/>
        <v>1.7114220375000002</v>
      </c>
      <c r="R116" s="13">
        <f t="shared" si="190"/>
        <v>1.9900256250000004</v>
      </c>
      <c r="S116" s="28">
        <f t="shared" si="191"/>
        <v>1.6099307306250001E-2</v>
      </c>
      <c r="T116" s="15">
        <f t="shared" si="192"/>
        <v>0.24359903675625</v>
      </c>
      <c r="U116" s="13">
        <f t="shared" si="193"/>
        <v>1.7303272809375001</v>
      </c>
      <c r="V116" s="13">
        <f t="shared" si="194"/>
        <v>3.4361109125000007</v>
      </c>
      <c r="W116" s="15">
        <f t="shared" si="195"/>
        <v>5.5152664685343744E-2</v>
      </c>
      <c r="X116" s="15">
        <f t="shared" si="196"/>
        <v>0.32428144168087503</v>
      </c>
      <c r="Y116" s="15">
        <f t="shared" si="197"/>
        <v>0.36539855513437502</v>
      </c>
      <c r="Z116" s="14">
        <f t="shared" si="198"/>
        <v>2.5954909214062503</v>
      </c>
      <c r="AA116" s="14">
        <f t="shared" si="199"/>
        <v>24.052776387500003</v>
      </c>
      <c r="AB116" s="13">
        <f t="shared" si="200"/>
        <v>8.2728997028015616E-2</v>
      </c>
      <c r="AC116" s="14">
        <f t="shared" si="201"/>
        <v>0.4864221625213126</v>
      </c>
      <c r="AD116" s="13">
        <f t="shared" si="181"/>
        <v>0.12814890822250669</v>
      </c>
      <c r="AE116" s="15">
        <f t="shared" si="182"/>
        <v>0.100645125</v>
      </c>
      <c r="AF116" s="8">
        <v>0.315</v>
      </c>
      <c r="AG116" s="12">
        <v>1.2333333333333334</v>
      </c>
      <c r="AH116" s="12">
        <v>0.25</v>
      </c>
      <c r="AI116" s="12">
        <v>8.25</v>
      </c>
      <c r="AJ116" s="7">
        <v>91.5</v>
      </c>
      <c r="AK116" s="12">
        <v>2.3333333333333335</v>
      </c>
      <c r="AL116" s="12">
        <f t="shared" si="202"/>
        <v>1.194015375</v>
      </c>
      <c r="AM116" s="12">
        <f t="shared" si="203"/>
        <v>1.4726189625000001</v>
      </c>
      <c r="AN116" s="18">
        <f t="shared" si="204"/>
        <v>3.6815474062500005E-3</v>
      </c>
      <c r="AO116" s="8">
        <f t="shared" si="205"/>
        <v>0.12149106440625002</v>
      </c>
      <c r="AP116" s="12">
        <f t="shared" si="206"/>
        <v>1.3474463506875001</v>
      </c>
      <c r="AQ116" s="12">
        <f t="shared" si="207"/>
        <v>3.4361109125000007</v>
      </c>
      <c r="AR116" s="18">
        <f t="shared" si="208"/>
        <v>3.2879899885218743E-2</v>
      </c>
      <c r="AS116" s="8">
        <f t="shared" si="209"/>
        <v>0.20918552362312501</v>
      </c>
      <c r="AT116" s="8">
        <f t="shared" si="210"/>
        <v>0.18223659660937502</v>
      </c>
      <c r="AU116" s="8">
        <f t="shared" si="211"/>
        <v>2.0211695260312501</v>
      </c>
      <c r="AV116" s="8">
        <f t="shared" si="212"/>
        <v>24.052776387500003</v>
      </c>
      <c r="AW116" s="8">
        <f t="shared" si="213"/>
        <v>4.9319849827828124E-2</v>
      </c>
      <c r="AX116" s="8">
        <f t="shared" si="214"/>
        <v>0.31377828543468755</v>
      </c>
      <c r="AY116" s="495">
        <f t="shared" si="183"/>
        <v>8.4236864053377825E-2</v>
      </c>
      <c r="AZ116" s="8">
        <f t="shared" si="215"/>
        <v>3.3022500000000003E-2</v>
      </c>
      <c r="BA116" s="6">
        <v>1.5</v>
      </c>
      <c r="BB116" s="6">
        <v>1.5</v>
      </c>
      <c r="BC116" s="6">
        <v>7</v>
      </c>
      <c r="BD116" s="15">
        <v>7.0999999999999994E-2</v>
      </c>
      <c r="BE116" s="13">
        <v>0.28000000000000003</v>
      </c>
      <c r="BF116" s="15">
        <v>1.7999999999999999E-2</v>
      </c>
      <c r="BG116" s="13">
        <v>0.13</v>
      </c>
      <c r="BH116" s="28">
        <f t="shared" si="216"/>
        <v>8.6742337499999995E-3</v>
      </c>
      <c r="BI116" s="15">
        <f t="shared" si="217"/>
        <v>5.5186425000000004E-2</v>
      </c>
      <c r="BJ116" s="12">
        <v>20</v>
      </c>
      <c r="BK116" s="12">
        <v>1</v>
      </c>
      <c r="BL116" s="7">
        <v>4.5</v>
      </c>
      <c r="BM116" s="7">
        <v>28.5</v>
      </c>
      <c r="BN116" s="7">
        <v>67</v>
      </c>
      <c r="BO116" s="8">
        <f t="shared" si="218"/>
        <v>0.238803075</v>
      </c>
      <c r="BP116" s="8">
        <f t="shared" si="219"/>
        <v>0.238803075</v>
      </c>
      <c r="BQ116" s="8">
        <f t="shared" si="220"/>
        <v>1.0746138375E-2</v>
      </c>
      <c r="BR116" s="8">
        <f t="shared" si="221"/>
        <v>6.8058876374999994E-2</v>
      </c>
      <c r="BS116" s="8">
        <f t="shared" si="222"/>
        <v>0.15999806025000002</v>
      </c>
      <c r="BT116" s="18">
        <f t="shared" si="223"/>
        <v>1.2187314932625001E-2</v>
      </c>
      <c r="BU116" s="8">
        <f t="shared" si="224"/>
        <v>6.0584340127499997E-2</v>
      </c>
      <c r="BV116" s="8">
        <f t="shared" si="225"/>
        <v>0.10208831456249999</v>
      </c>
      <c r="BW116" s="8">
        <f t="shared" si="226"/>
        <v>0.23999709037500003</v>
      </c>
      <c r="BX116" s="18">
        <f t="shared" si="227"/>
        <v>1.8280972398937501E-2</v>
      </c>
      <c r="BY116" s="8">
        <f t="shared" si="228"/>
        <v>9.087651019125001E-2</v>
      </c>
      <c r="BZ116" s="12">
        <f t="shared" si="229"/>
        <v>0.32999999999999996</v>
      </c>
      <c r="CA116" s="12">
        <f t="shared" si="184"/>
        <v>0.28802030456852795</v>
      </c>
      <c r="CB116" s="6">
        <v>1.5</v>
      </c>
      <c r="CC116" s="6">
        <v>1.5</v>
      </c>
      <c r="CD116" s="15">
        <v>0.125</v>
      </c>
      <c r="CE116" s="13">
        <v>0.42</v>
      </c>
      <c r="CF116" s="15">
        <v>2.3E-2</v>
      </c>
      <c r="CG116" s="13">
        <v>0.2</v>
      </c>
      <c r="CH116" s="28">
        <f t="shared" si="245"/>
        <v>3.2152050000000005E-3</v>
      </c>
      <c r="CI116" s="15">
        <f t="shared" si="230"/>
        <v>1.59831E-2</v>
      </c>
      <c r="CJ116" s="12">
        <v>23.333333333333336</v>
      </c>
      <c r="CK116" s="12">
        <v>1</v>
      </c>
      <c r="CL116" s="7">
        <v>0.6</v>
      </c>
      <c r="CM116" s="7">
        <v>19.399999999999999</v>
      </c>
      <c r="CN116" s="7">
        <v>80</v>
      </c>
      <c r="CO116" s="8">
        <f t="shared" si="231"/>
        <v>0.27860358750000003</v>
      </c>
      <c r="CP116" s="8">
        <f t="shared" si="232"/>
        <v>0.27860358750000003</v>
      </c>
      <c r="CQ116" s="18">
        <f t="shared" si="233"/>
        <v>1.6716215250000002E-3</v>
      </c>
      <c r="CR116" s="8">
        <f t="shared" si="234"/>
        <v>5.4049095974999996E-2</v>
      </c>
      <c r="CS116" s="8">
        <f t="shared" si="235"/>
        <v>0.22288287000000004</v>
      </c>
      <c r="CT116" s="18">
        <f t="shared" si="236"/>
        <v>1.00854498675E-2</v>
      </c>
      <c r="CU116" s="8">
        <f t="shared" si="237"/>
        <v>5.4511577930250001E-2</v>
      </c>
      <c r="CV116" s="8">
        <f t="shared" si="238"/>
        <v>8.1073643962499997E-2</v>
      </c>
      <c r="CW116" s="8">
        <f t="shared" si="239"/>
        <v>0.33432430500000004</v>
      </c>
      <c r="CX116" s="18">
        <f t="shared" si="240"/>
        <v>1.5128174801250002E-2</v>
      </c>
      <c r="CY116" s="8">
        <f t="shared" si="241"/>
        <v>8.1767366895375004E-2</v>
      </c>
      <c r="CZ116" s="12">
        <f t="shared" si="242"/>
        <v>0.19999999999999998</v>
      </c>
      <c r="DA116" s="12">
        <f t="shared" si="186"/>
        <v>0.20006012024048095</v>
      </c>
      <c r="DB116" s="6">
        <v>1.5</v>
      </c>
      <c r="DC116" s="6">
        <v>1.5</v>
      </c>
      <c r="DD116" s="15">
        <v>0.1</v>
      </c>
      <c r="DE116" s="13">
        <v>0.39</v>
      </c>
      <c r="DF116" s="15">
        <v>2.1000000000000001E-2</v>
      </c>
      <c r="DG116" s="13">
        <v>0.15</v>
      </c>
      <c r="DH116" s="28">
        <f t="shared" si="243"/>
        <v>2.6607000000000002E-3</v>
      </c>
      <c r="DI116" s="29">
        <f t="shared" si="244"/>
        <v>1.4381010000000001E-2</v>
      </c>
    </row>
    <row r="117" spans="1:113" x14ac:dyDescent="0.25">
      <c r="A117" s="85">
        <v>109</v>
      </c>
      <c r="B117" s="19" t="s">
        <v>36</v>
      </c>
      <c r="C117" s="31" t="s">
        <v>24</v>
      </c>
      <c r="D117" s="19" t="s">
        <v>173</v>
      </c>
      <c r="E117" s="33">
        <v>4</v>
      </c>
      <c r="F117" s="9">
        <v>50</v>
      </c>
      <c r="G117" s="32" t="s">
        <v>99</v>
      </c>
      <c r="H117" s="9" t="s">
        <v>11</v>
      </c>
      <c r="I117" s="19" t="s">
        <v>5</v>
      </c>
      <c r="J117" s="32" t="s">
        <v>99</v>
      </c>
      <c r="K117" s="2" t="str">
        <f t="shared" si="187"/>
        <v>Kommunal Tätort 4F 50 - City M</v>
      </c>
      <c r="L117" s="2"/>
      <c r="M117" s="32" t="s">
        <v>99</v>
      </c>
      <c r="N117" s="53">
        <f>'Beräkna - Länk'!$C$26</f>
        <v>1</v>
      </c>
      <c r="O117" s="53">
        <f>'Beräkna - Länk'!$C$24/('Beräkna - Länk'!$C$27)^('Beräkna - Länk'!$C$25-2010)</f>
        <v>10385</v>
      </c>
      <c r="P117" s="13">
        <f t="shared" si="188"/>
        <v>3.7905249999999997</v>
      </c>
      <c r="Q117" s="13">
        <f t="shared" si="189"/>
        <v>1.523032945</v>
      </c>
      <c r="R117" s="13">
        <f t="shared" si="190"/>
        <v>1.894504395</v>
      </c>
      <c r="S117" s="28">
        <f t="shared" si="191"/>
        <v>1.3410119345000001E-2</v>
      </c>
      <c r="T117" s="15">
        <f t="shared" si="192"/>
        <v>0.218759536905</v>
      </c>
      <c r="U117" s="13">
        <f t="shared" si="193"/>
        <v>1.6623347387499998</v>
      </c>
      <c r="V117" s="13">
        <f t="shared" si="194"/>
        <v>3.4670668666666669</v>
      </c>
      <c r="W117" s="15">
        <f t="shared" si="195"/>
        <v>5.0723497818874988E-2</v>
      </c>
      <c r="X117" s="15">
        <f t="shared" si="196"/>
        <v>0.30180049366669998</v>
      </c>
      <c r="Y117" s="15">
        <f t="shared" si="197"/>
        <v>0.32813930535749997</v>
      </c>
      <c r="Z117" s="14">
        <f t="shared" si="198"/>
        <v>2.4935021081249995</v>
      </c>
      <c r="AA117" s="14">
        <f t="shared" si="199"/>
        <v>24.269468066666668</v>
      </c>
      <c r="AB117" s="13">
        <f t="shared" si="200"/>
        <v>7.6085246728312489E-2</v>
      </c>
      <c r="AC117" s="14">
        <f t="shared" si="201"/>
        <v>0.45270074050004994</v>
      </c>
      <c r="AD117" s="13">
        <f t="shared" si="181"/>
        <v>0.12047379765328653</v>
      </c>
      <c r="AE117" s="15">
        <f t="shared" si="182"/>
        <v>9.0106100000000008E-2</v>
      </c>
      <c r="AF117" s="8">
        <v>0.29399999999999998</v>
      </c>
      <c r="AG117" s="12">
        <v>1.3333333333333335</v>
      </c>
      <c r="AH117" s="12">
        <v>0.25</v>
      </c>
      <c r="AI117" s="12">
        <v>8.25</v>
      </c>
      <c r="AJ117" s="7">
        <v>91.5</v>
      </c>
      <c r="AK117" s="12">
        <v>2.3333333333333335</v>
      </c>
      <c r="AL117" s="12">
        <f t="shared" si="202"/>
        <v>1.1144143499999999</v>
      </c>
      <c r="AM117" s="12">
        <f t="shared" si="203"/>
        <v>1.4858857999999999</v>
      </c>
      <c r="AN117" s="18">
        <f t="shared" si="204"/>
        <v>3.7147144999999998E-3</v>
      </c>
      <c r="AO117" s="8">
        <f t="shared" si="205"/>
        <v>0.12258557849999999</v>
      </c>
      <c r="AP117" s="12">
        <f t="shared" si="206"/>
        <v>1.3595855069999998</v>
      </c>
      <c r="AQ117" s="12">
        <f t="shared" si="207"/>
        <v>3.4670668666666669</v>
      </c>
      <c r="AR117" s="18">
        <f t="shared" si="208"/>
        <v>3.3176115199499992E-2</v>
      </c>
      <c r="AS117" s="8">
        <f t="shared" si="209"/>
        <v>0.21107007788999999</v>
      </c>
      <c r="AT117" s="8">
        <f t="shared" si="210"/>
        <v>0.18387836774999999</v>
      </c>
      <c r="AU117" s="8">
        <f t="shared" si="211"/>
        <v>2.0393782604999995</v>
      </c>
      <c r="AV117" s="8">
        <f t="shared" si="212"/>
        <v>24.269468066666668</v>
      </c>
      <c r="AW117" s="8">
        <f t="shared" si="213"/>
        <v>4.9764172799249981E-2</v>
      </c>
      <c r="AX117" s="8">
        <f t="shared" si="214"/>
        <v>0.31660511683499992</v>
      </c>
      <c r="AY117" s="495">
        <f t="shared" si="183"/>
        <v>8.4236864053377838E-2</v>
      </c>
      <c r="AZ117" s="8">
        <f t="shared" si="215"/>
        <v>3.3320000000000002E-2</v>
      </c>
      <c r="BA117" s="6">
        <v>1.5</v>
      </c>
      <c r="BB117" s="6">
        <v>1.5</v>
      </c>
      <c r="BC117" s="6">
        <v>7</v>
      </c>
      <c r="BD117" s="15">
        <v>7.0999999999999994E-2</v>
      </c>
      <c r="BE117" s="13">
        <v>0.28000000000000003</v>
      </c>
      <c r="BF117" s="15">
        <v>1.7999999999999999E-2</v>
      </c>
      <c r="BG117" s="13">
        <v>0.13</v>
      </c>
      <c r="BH117" s="28">
        <f t="shared" si="216"/>
        <v>8.7523799999999988E-3</v>
      </c>
      <c r="BI117" s="15">
        <f t="shared" si="217"/>
        <v>5.56836E-2</v>
      </c>
      <c r="BJ117" s="12">
        <v>16.666666666666668</v>
      </c>
      <c r="BK117" s="12">
        <v>1</v>
      </c>
      <c r="BL117" s="7">
        <v>4.5</v>
      </c>
      <c r="BM117" s="7">
        <v>28.5</v>
      </c>
      <c r="BN117" s="7">
        <v>67</v>
      </c>
      <c r="BO117" s="8">
        <f t="shared" si="218"/>
        <v>0.18573572499999999</v>
      </c>
      <c r="BP117" s="8">
        <f t="shared" si="219"/>
        <v>0.18573572499999999</v>
      </c>
      <c r="BQ117" s="8">
        <f t="shared" si="220"/>
        <v>8.3581076249999997E-3</v>
      </c>
      <c r="BR117" s="8">
        <f t="shared" si="221"/>
        <v>5.2934681624999994E-2</v>
      </c>
      <c r="BS117" s="8">
        <f t="shared" si="222"/>
        <v>0.12444293575</v>
      </c>
      <c r="BT117" s="18">
        <f t="shared" si="223"/>
        <v>9.4790227253749998E-3</v>
      </c>
      <c r="BU117" s="8">
        <f t="shared" si="224"/>
        <v>4.7121153432499993E-2</v>
      </c>
      <c r="BV117" s="8">
        <f t="shared" si="225"/>
        <v>7.9402022437499997E-2</v>
      </c>
      <c r="BW117" s="8">
        <f t="shared" si="226"/>
        <v>0.186664403625</v>
      </c>
      <c r="BX117" s="18">
        <f t="shared" si="227"/>
        <v>1.42185340880625E-2</v>
      </c>
      <c r="BY117" s="8">
        <f t="shared" si="228"/>
        <v>7.068173014875001E-2</v>
      </c>
      <c r="BZ117" s="12">
        <f t="shared" si="229"/>
        <v>0.32999999999999996</v>
      </c>
      <c r="CA117" s="12">
        <f t="shared" si="184"/>
        <v>0.28802030456852801</v>
      </c>
      <c r="CB117" s="6">
        <v>1.5</v>
      </c>
      <c r="CC117" s="6">
        <v>1.5</v>
      </c>
      <c r="CD117" s="15">
        <v>0.125</v>
      </c>
      <c r="CE117" s="13">
        <v>0.42</v>
      </c>
      <c r="CF117" s="15">
        <v>2.3E-2</v>
      </c>
      <c r="CG117" s="13">
        <v>0.2</v>
      </c>
      <c r="CH117" s="28">
        <f t="shared" si="245"/>
        <v>2.5007150000000001E-3</v>
      </c>
      <c r="CI117" s="15">
        <f t="shared" si="230"/>
        <v>1.2431299999999999E-2</v>
      </c>
      <c r="CJ117" s="12">
        <v>20</v>
      </c>
      <c r="CK117" s="12">
        <v>1</v>
      </c>
      <c r="CL117" s="7">
        <v>0.6</v>
      </c>
      <c r="CM117" s="7">
        <v>19.399999999999999</v>
      </c>
      <c r="CN117" s="7">
        <v>80</v>
      </c>
      <c r="CO117" s="8">
        <f t="shared" si="231"/>
        <v>0.22288286999999998</v>
      </c>
      <c r="CP117" s="8">
        <f t="shared" si="232"/>
        <v>0.22288286999999998</v>
      </c>
      <c r="CQ117" s="18">
        <f t="shared" si="233"/>
        <v>1.3372972199999999E-3</v>
      </c>
      <c r="CR117" s="8">
        <f t="shared" si="234"/>
        <v>4.3239276779999995E-2</v>
      </c>
      <c r="CS117" s="8">
        <f t="shared" si="235"/>
        <v>0.178306296</v>
      </c>
      <c r="CT117" s="18">
        <f t="shared" si="236"/>
        <v>8.0683598939999979E-3</v>
      </c>
      <c r="CU117" s="8">
        <f t="shared" si="237"/>
        <v>4.3609262344199998E-2</v>
      </c>
      <c r="CV117" s="8">
        <f t="shared" si="238"/>
        <v>6.4858915169999989E-2</v>
      </c>
      <c r="CW117" s="8">
        <f t="shared" si="239"/>
        <v>0.26745944399999999</v>
      </c>
      <c r="CX117" s="18">
        <f t="shared" si="240"/>
        <v>1.2102539841E-2</v>
      </c>
      <c r="CY117" s="8">
        <f t="shared" si="241"/>
        <v>6.5413893516300003E-2</v>
      </c>
      <c r="CZ117" s="12">
        <f t="shared" si="242"/>
        <v>0.19999999999999998</v>
      </c>
      <c r="DA117" s="12">
        <f t="shared" si="186"/>
        <v>0.20006012024048098</v>
      </c>
      <c r="DB117" s="6">
        <v>1.5</v>
      </c>
      <c r="DC117" s="6">
        <v>1.5</v>
      </c>
      <c r="DD117" s="15">
        <v>0.1</v>
      </c>
      <c r="DE117" s="13">
        <v>0.39</v>
      </c>
      <c r="DF117" s="15">
        <v>2.1000000000000001E-2</v>
      </c>
      <c r="DG117" s="13">
        <v>0.15</v>
      </c>
      <c r="DH117" s="28">
        <f t="shared" si="243"/>
        <v>2.1285599999999998E-3</v>
      </c>
      <c r="DI117" s="29">
        <f t="shared" si="244"/>
        <v>1.1504808E-2</v>
      </c>
    </row>
    <row r="118" spans="1:113" x14ac:dyDescent="0.25">
      <c r="A118" s="85">
        <v>110</v>
      </c>
      <c r="B118" s="19" t="s">
        <v>36</v>
      </c>
      <c r="C118" s="31" t="s">
        <v>24</v>
      </c>
      <c r="D118" s="19" t="s">
        <v>173</v>
      </c>
      <c r="E118" s="33">
        <v>4</v>
      </c>
      <c r="F118" s="9">
        <v>50</v>
      </c>
      <c r="G118" s="32" t="s">
        <v>99</v>
      </c>
      <c r="H118" s="19" t="s">
        <v>10</v>
      </c>
      <c r="I118" s="19" t="s">
        <v>4</v>
      </c>
      <c r="J118" s="32" t="s">
        <v>99</v>
      </c>
      <c r="K118" s="2" t="str">
        <f t="shared" si="187"/>
        <v>Kommunal Tätort 4F 50 - GIF C</v>
      </c>
      <c r="L118" s="2"/>
      <c r="M118" s="32" t="s">
        <v>99</v>
      </c>
      <c r="N118" s="53">
        <f>'Beräkna - Länk'!$C$26</f>
        <v>1</v>
      </c>
      <c r="O118" s="53">
        <f>'Beräkna - Länk'!$C$24/('Beräkna - Länk'!$C$27)^('Beräkna - Länk'!$C$25-2010)</f>
        <v>10385</v>
      </c>
      <c r="P118" s="13">
        <f t="shared" si="188"/>
        <v>3.7905249999999997</v>
      </c>
      <c r="Q118" s="13">
        <f t="shared" si="189"/>
        <v>1.28271366</v>
      </c>
      <c r="R118" s="13">
        <f t="shared" si="190"/>
        <v>1.7944345349999999</v>
      </c>
      <c r="S118" s="28">
        <f t="shared" si="191"/>
        <v>1.01832454125E-2</v>
      </c>
      <c r="T118" s="15">
        <f t="shared" si="192"/>
        <v>0.18812565101250001</v>
      </c>
      <c r="U118" s="13">
        <f t="shared" si="193"/>
        <v>1.596125638575</v>
      </c>
      <c r="V118" s="13">
        <f t="shared" si="194"/>
        <v>3.5820461250000002</v>
      </c>
      <c r="W118" s="15">
        <f t="shared" si="195"/>
        <v>4.5483917655037495E-2</v>
      </c>
      <c r="X118" s="15">
        <f t="shared" si="196"/>
        <v>0.27592705989224997</v>
      </c>
      <c r="Y118" s="15">
        <f t="shared" si="197"/>
        <v>0.28218847651874995</v>
      </c>
      <c r="Z118" s="14">
        <f t="shared" si="198"/>
        <v>2.3941884578625001</v>
      </c>
      <c r="AA118" s="14">
        <f t="shared" si="199"/>
        <v>25.074322875</v>
      </c>
      <c r="AB118" s="13">
        <f t="shared" si="200"/>
        <v>6.822587648255625E-2</v>
      </c>
      <c r="AC118" s="14">
        <f t="shared" si="201"/>
        <v>0.41389058983837501</v>
      </c>
      <c r="AD118" s="13">
        <f t="shared" si="181"/>
        <v>0.10882753497585734</v>
      </c>
      <c r="AE118" s="15">
        <f t="shared" si="182"/>
        <v>7.7132249999999986E-2</v>
      </c>
      <c r="AF118" s="8">
        <v>0.27</v>
      </c>
      <c r="AG118" s="12">
        <v>1.5</v>
      </c>
      <c r="AH118" s="12">
        <v>0.25</v>
      </c>
      <c r="AI118" s="12">
        <v>8.25</v>
      </c>
      <c r="AJ118" s="7">
        <v>91.5</v>
      </c>
      <c r="AK118" s="12">
        <v>2.3333333333333335</v>
      </c>
      <c r="AL118" s="12">
        <f t="shared" si="202"/>
        <v>1.0234417499999999</v>
      </c>
      <c r="AM118" s="12">
        <f t="shared" si="203"/>
        <v>1.5351626249999999</v>
      </c>
      <c r="AN118" s="18">
        <f t="shared" si="204"/>
        <v>3.8379065624999996E-3</v>
      </c>
      <c r="AO118" s="8">
        <f t="shared" si="205"/>
        <v>0.12665091656249999</v>
      </c>
      <c r="AP118" s="12">
        <f t="shared" si="206"/>
        <v>1.404673801875</v>
      </c>
      <c r="AQ118" s="12">
        <f t="shared" si="207"/>
        <v>3.5820461250000002</v>
      </c>
      <c r="AR118" s="18">
        <f t="shared" si="208"/>
        <v>3.4276343509687494E-2</v>
      </c>
      <c r="AS118" s="8">
        <f t="shared" si="209"/>
        <v>0.21806985088124997</v>
      </c>
      <c r="AT118" s="8">
        <f t="shared" si="210"/>
        <v>0.18997637484374999</v>
      </c>
      <c r="AU118" s="8">
        <f t="shared" si="211"/>
        <v>2.1070107028125</v>
      </c>
      <c r="AV118" s="8">
        <f t="shared" si="212"/>
        <v>25.074322875</v>
      </c>
      <c r="AW118" s="8">
        <f t="shared" si="213"/>
        <v>5.1414515264531245E-2</v>
      </c>
      <c r="AX118" s="8">
        <f t="shared" si="214"/>
        <v>0.32710477632187501</v>
      </c>
      <c r="AY118" s="495">
        <f t="shared" si="183"/>
        <v>8.4236864053377811E-2</v>
      </c>
      <c r="AZ118" s="8">
        <f t="shared" si="215"/>
        <v>3.4425000000000004E-2</v>
      </c>
      <c r="BA118" s="6">
        <v>1.5</v>
      </c>
      <c r="BB118" s="6">
        <v>1.5</v>
      </c>
      <c r="BC118" s="6">
        <v>7</v>
      </c>
      <c r="BD118" s="15">
        <v>7.0999999999999994E-2</v>
      </c>
      <c r="BE118" s="13">
        <v>0.28000000000000003</v>
      </c>
      <c r="BF118" s="15">
        <v>1.7999999999999999E-2</v>
      </c>
      <c r="BG118" s="13">
        <v>0.13</v>
      </c>
      <c r="BH118" s="28">
        <f t="shared" si="216"/>
        <v>9.0426374999999989E-3</v>
      </c>
      <c r="BI118" s="15">
        <f t="shared" si="217"/>
        <v>5.7530249999999998E-2</v>
      </c>
      <c r="BJ118" s="12">
        <v>12</v>
      </c>
      <c r="BK118" s="12">
        <v>1</v>
      </c>
      <c r="BL118" s="7">
        <v>4.5</v>
      </c>
      <c r="BM118" s="7">
        <v>28.5</v>
      </c>
      <c r="BN118" s="7">
        <v>67</v>
      </c>
      <c r="BO118" s="8">
        <f t="shared" si="218"/>
        <v>0.12281300999999999</v>
      </c>
      <c r="BP118" s="8">
        <f t="shared" si="219"/>
        <v>0.12281300999999999</v>
      </c>
      <c r="BQ118" s="8">
        <f t="shared" si="220"/>
        <v>5.5265854499999996E-3</v>
      </c>
      <c r="BR118" s="8">
        <f t="shared" si="221"/>
        <v>3.5001707849999994E-2</v>
      </c>
      <c r="BS118" s="8">
        <f t="shared" si="222"/>
        <v>8.2284716699999996E-2</v>
      </c>
      <c r="BT118" s="18">
        <f t="shared" si="223"/>
        <v>6.2677619653499998E-3</v>
      </c>
      <c r="BU118" s="8">
        <f t="shared" si="224"/>
        <v>3.1157660636999995E-2</v>
      </c>
      <c r="BV118" s="8">
        <f t="shared" si="225"/>
        <v>5.2502561774999991E-2</v>
      </c>
      <c r="BW118" s="8">
        <f t="shared" si="226"/>
        <v>0.12342707505</v>
      </c>
      <c r="BX118" s="18">
        <f t="shared" si="227"/>
        <v>9.4016429480249988E-3</v>
      </c>
      <c r="BY118" s="8">
        <f t="shared" si="228"/>
        <v>4.6736490955499997E-2</v>
      </c>
      <c r="BZ118" s="12">
        <f t="shared" si="229"/>
        <v>0.32999999999999996</v>
      </c>
      <c r="CA118" s="12">
        <f t="shared" si="184"/>
        <v>0.28802030456852795</v>
      </c>
      <c r="CB118" s="6">
        <v>1.5</v>
      </c>
      <c r="CC118" s="6">
        <v>1.5</v>
      </c>
      <c r="CD118" s="15">
        <v>0.125</v>
      </c>
      <c r="CE118" s="13">
        <v>0.42</v>
      </c>
      <c r="CF118" s="15">
        <v>2.3E-2</v>
      </c>
      <c r="CG118" s="13">
        <v>0.2</v>
      </c>
      <c r="CH118" s="28">
        <f t="shared" si="245"/>
        <v>1.6535340000000001E-3</v>
      </c>
      <c r="CI118" s="15">
        <f t="shared" si="230"/>
        <v>8.2198799999999989E-3</v>
      </c>
      <c r="CJ118" s="12">
        <v>13.333333333333334</v>
      </c>
      <c r="CK118" s="12">
        <v>1</v>
      </c>
      <c r="CL118" s="7">
        <v>0.6</v>
      </c>
      <c r="CM118" s="7">
        <v>19.399999999999999</v>
      </c>
      <c r="CN118" s="7">
        <v>80</v>
      </c>
      <c r="CO118" s="8">
        <f t="shared" si="231"/>
        <v>0.13645889999999999</v>
      </c>
      <c r="CP118" s="8">
        <f t="shared" si="232"/>
        <v>0.13645889999999999</v>
      </c>
      <c r="CQ118" s="18">
        <f t="shared" si="233"/>
        <v>8.187534E-4</v>
      </c>
      <c r="CR118" s="8">
        <f t="shared" si="234"/>
        <v>2.6473026599999994E-2</v>
      </c>
      <c r="CS118" s="8">
        <f t="shared" si="235"/>
        <v>0.10916712000000001</v>
      </c>
      <c r="CT118" s="18">
        <f t="shared" si="236"/>
        <v>4.9398121800000002E-3</v>
      </c>
      <c r="CU118" s="8">
        <f t="shared" si="237"/>
        <v>2.6699548373999998E-2</v>
      </c>
      <c r="CV118" s="8">
        <f t="shared" si="238"/>
        <v>3.9709539899999993E-2</v>
      </c>
      <c r="CW118" s="8">
        <f t="shared" si="239"/>
        <v>0.16375068000000001</v>
      </c>
      <c r="CX118" s="18">
        <f t="shared" si="240"/>
        <v>7.4097182700000007E-3</v>
      </c>
      <c r="CY118" s="8">
        <f t="shared" si="241"/>
        <v>4.0049322560999995E-2</v>
      </c>
      <c r="CZ118" s="12">
        <f t="shared" si="242"/>
        <v>0.19999999999999998</v>
      </c>
      <c r="DA118" s="12">
        <f t="shared" si="186"/>
        <v>0.20006012024048092</v>
      </c>
      <c r="DB118" s="6">
        <v>1.5</v>
      </c>
      <c r="DC118" s="6">
        <v>1.5</v>
      </c>
      <c r="DD118" s="15">
        <v>0.1</v>
      </c>
      <c r="DE118" s="13">
        <v>0.39</v>
      </c>
      <c r="DF118" s="15">
        <v>2.1000000000000001E-2</v>
      </c>
      <c r="DG118" s="13">
        <v>0.15</v>
      </c>
      <c r="DH118" s="28">
        <f t="shared" si="243"/>
        <v>1.3032000000000002E-3</v>
      </c>
      <c r="DI118" s="29">
        <f t="shared" si="244"/>
        <v>7.0437599999999996E-3</v>
      </c>
    </row>
    <row r="119" spans="1:113" x14ac:dyDescent="0.25">
      <c r="A119" s="85">
        <v>111</v>
      </c>
      <c r="B119" s="19" t="s">
        <v>36</v>
      </c>
      <c r="C119" s="31" t="s">
        <v>24</v>
      </c>
      <c r="D119" s="19" t="s">
        <v>173</v>
      </c>
      <c r="E119" s="33">
        <v>4</v>
      </c>
      <c r="F119" s="9">
        <v>50</v>
      </c>
      <c r="G119" s="32" t="s">
        <v>99</v>
      </c>
      <c r="H119" s="19" t="s">
        <v>10</v>
      </c>
      <c r="I119" s="19" t="s">
        <v>5</v>
      </c>
      <c r="J119" s="32" t="s">
        <v>99</v>
      </c>
      <c r="K119" s="2" t="str">
        <f t="shared" si="187"/>
        <v>Kommunal Tätort 4F 50 - GIF M</v>
      </c>
      <c r="L119" s="2"/>
      <c r="M119" s="32" t="s">
        <v>99</v>
      </c>
      <c r="N119" s="53">
        <f>'Beräkna - Länk'!$C$26</f>
        <v>1</v>
      </c>
      <c r="O119" s="53">
        <f>'Beräkna - Länk'!$C$24/('Beräkna - Länk'!$C$27)^('Beräkna - Länk'!$C$25-2010)</f>
        <v>10385</v>
      </c>
      <c r="P119" s="13">
        <f t="shared" si="188"/>
        <v>3.7905249999999997</v>
      </c>
      <c r="Q119" s="13">
        <f t="shared" si="189"/>
        <v>1.1145280657499999</v>
      </c>
      <c r="R119" s="13">
        <f t="shared" si="190"/>
        <v>1.5750768532499997</v>
      </c>
      <c r="S119" s="28">
        <f t="shared" si="191"/>
        <v>8.2069793932499982E-3</v>
      </c>
      <c r="T119" s="15">
        <f t="shared" si="192"/>
        <v>0.15989332804424999</v>
      </c>
      <c r="U119" s="13">
        <f t="shared" si="193"/>
        <v>1.4069765458124996</v>
      </c>
      <c r="V119" s="13">
        <f t="shared" si="194"/>
        <v>3.2238415124999995</v>
      </c>
      <c r="W119" s="15">
        <f t="shared" si="195"/>
        <v>3.9217341176381239E-2</v>
      </c>
      <c r="X119" s="15">
        <f t="shared" si="196"/>
        <v>0.23945552593856995</v>
      </c>
      <c r="Y119" s="15">
        <f t="shared" si="197"/>
        <v>0.23983999206637494</v>
      </c>
      <c r="Z119" s="14">
        <f t="shared" si="198"/>
        <v>2.1104648187187496</v>
      </c>
      <c r="AA119" s="14">
        <f t="shared" si="199"/>
        <v>22.566890587499998</v>
      </c>
      <c r="AB119" s="13">
        <f t="shared" si="200"/>
        <v>5.8826011764571862E-2</v>
      </c>
      <c r="AC119" s="14">
        <f t="shared" si="201"/>
        <v>0.35918328890785495</v>
      </c>
      <c r="AD119" s="13">
        <f t="shared" si="181"/>
        <v>0.10517096946157947</v>
      </c>
      <c r="AE119" s="15">
        <f t="shared" si="182"/>
        <v>6.5438684999999983E-2</v>
      </c>
      <c r="AF119" s="8">
        <v>0.24299999999999999</v>
      </c>
      <c r="AG119" s="12">
        <v>1.5</v>
      </c>
      <c r="AH119" s="12">
        <v>0.25</v>
      </c>
      <c r="AI119" s="12">
        <v>8.25</v>
      </c>
      <c r="AJ119" s="7">
        <v>91.5</v>
      </c>
      <c r="AK119" s="12">
        <v>2.3333333333333335</v>
      </c>
      <c r="AL119" s="12">
        <f t="shared" si="202"/>
        <v>0.92109757499999989</v>
      </c>
      <c r="AM119" s="12">
        <f t="shared" si="203"/>
        <v>1.3816463624999997</v>
      </c>
      <c r="AN119" s="18">
        <f t="shared" si="204"/>
        <v>3.4541159062499993E-3</v>
      </c>
      <c r="AO119" s="8">
        <f t="shared" si="205"/>
        <v>0.11398582490624998</v>
      </c>
      <c r="AP119" s="12">
        <f t="shared" si="206"/>
        <v>1.2642064216874997</v>
      </c>
      <c r="AQ119" s="12">
        <f t="shared" si="207"/>
        <v>3.2238415124999995</v>
      </c>
      <c r="AR119" s="18">
        <f t="shared" si="208"/>
        <v>3.0848709158718741E-2</v>
      </c>
      <c r="AS119" s="8">
        <f t="shared" si="209"/>
        <v>0.19626286579312496</v>
      </c>
      <c r="AT119" s="8">
        <f t="shared" si="210"/>
        <v>0.17097873735937497</v>
      </c>
      <c r="AU119" s="8">
        <f t="shared" si="211"/>
        <v>1.8963096325312496</v>
      </c>
      <c r="AV119" s="8">
        <f t="shared" si="212"/>
        <v>22.566890587499998</v>
      </c>
      <c r="AW119" s="8">
        <f t="shared" si="213"/>
        <v>4.6273063738078116E-2</v>
      </c>
      <c r="AX119" s="8">
        <f t="shared" si="214"/>
        <v>0.29439429868968747</v>
      </c>
      <c r="AY119" s="495">
        <f t="shared" si="183"/>
        <v>8.4236864053377811E-2</v>
      </c>
      <c r="AZ119" s="8">
        <f t="shared" si="215"/>
        <v>3.09825E-2</v>
      </c>
      <c r="BA119" s="6">
        <v>1.5</v>
      </c>
      <c r="BB119" s="6">
        <v>1.5</v>
      </c>
      <c r="BC119" s="6">
        <v>7</v>
      </c>
      <c r="BD119" s="15">
        <v>7.0999999999999994E-2</v>
      </c>
      <c r="BE119" s="13">
        <v>0.28000000000000003</v>
      </c>
      <c r="BF119" s="15">
        <v>1.7999999999999999E-2</v>
      </c>
      <c r="BG119" s="13">
        <v>0.13</v>
      </c>
      <c r="BH119" s="28">
        <f t="shared" si="216"/>
        <v>8.1383737499999987E-3</v>
      </c>
      <c r="BI119" s="15">
        <f t="shared" si="217"/>
        <v>5.1777224999999996E-2</v>
      </c>
      <c r="BJ119" s="12">
        <v>10</v>
      </c>
      <c r="BK119" s="12">
        <v>1</v>
      </c>
      <c r="BL119" s="7">
        <v>4.5</v>
      </c>
      <c r="BM119" s="7">
        <v>28.5</v>
      </c>
      <c r="BN119" s="7">
        <v>67</v>
      </c>
      <c r="BO119" s="8">
        <f t="shared" si="218"/>
        <v>9.21097575E-2</v>
      </c>
      <c r="BP119" s="8">
        <f t="shared" si="219"/>
        <v>9.21097575E-2</v>
      </c>
      <c r="BQ119" s="8">
        <f t="shared" si="220"/>
        <v>4.1449390874999997E-3</v>
      </c>
      <c r="BR119" s="8">
        <f t="shared" si="221"/>
        <v>2.6251280887499999E-2</v>
      </c>
      <c r="BS119" s="8">
        <f t="shared" si="222"/>
        <v>6.1713537525000001E-2</v>
      </c>
      <c r="BT119" s="18">
        <f t="shared" si="223"/>
        <v>4.7008214740125003E-3</v>
      </c>
      <c r="BU119" s="8">
        <f t="shared" si="224"/>
        <v>2.3368245477749999E-2</v>
      </c>
      <c r="BV119" s="8">
        <f t="shared" si="225"/>
        <v>3.9376921331249995E-2</v>
      </c>
      <c r="BW119" s="8">
        <f t="shared" si="226"/>
        <v>9.2570306287500001E-2</v>
      </c>
      <c r="BX119" s="18">
        <f t="shared" si="227"/>
        <v>7.0512322110187495E-3</v>
      </c>
      <c r="BY119" s="8">
        <f t="shared" si="228"/>
        <v>3.5052368216624996E-2</v>
      </c>
      <c r="BZ119" s="12">
        <f t="shared" si="229"/>
        <v>0.32999999999999996</v>
      </c>
      <c r="CA119" s="12">
        <f t="shared" si="184"/>
        <v>0.2880203045685279</v>
      </c>
      <c r="CB119" s="6">
        <v>1.5</v>
      </c>
      <c r="CC119" s="6">
        <v>1.5</v>
      </c>
      <c r="CD119" s="15">
        <v>0.125</v>
      </c>
      <c r="CE119" s="13">
        <v>0.42</v>
      </c>
      <c r="CF119" s="15">
        <v>2.3E-2</v>
      </c>
      <c r="CG119" s="13">
        <v>0.2</v>
      </c>
      <c r="CH119" s="28">
        <f t="shared" si="245"/>
        <v>1.2401505000000001E-3</v>
      </c>
      <c r="CI119" s="15">
        <f t="shared" si="230"/>
        <v>6.16491E-3</v>
      </c>
      <c r="CJ119" s="12">
        <v>11</v>
      </c>
      <c r="CK119" s="12">
        <v>1</v>
      </c>
      <c r="CL119" s="7">
        <v>0.6</v>
      </c>
      <c r="CM119" s="7">
        <v>19.399999999999999</v>
      </c>
      <c r="CN119" s="7">
        <v>80</v>
      </c>
      <c r="CO119" s="8">
        <f t="shared" si="231"/>
        <v>0.10132073324999999</v>
      </c>
      <c r="CP119" s="8">
        <f t="shared" si="232"/>
        <v>0.10132073324999999</v>
      </c>
      <c r="CQ119" s="18">
        <f t="shared" si="233"/>
        <v>6.0792439949999995E-4</v>
      </c>
      <c r="CR119" s="8">
        <f t="shared" si="234"/>
        <v>1.9656222250499997E-2</v>
      </c>
      <c r="CS119" s="8">
        <f t="shared" si="235"/>
        <v>8.1056586599999994E-2</v>
      </c>
      <c r="CT119" s="18">
        <f t="shared" si="236"/>
        <v>3.6678105436500001E-3</v>
      </c>
      <c r="CU119" s="8">
        <f t="shared" si="237"/>
        <v>1.9824414667694999E-2</v>
      </c>
      <c r="CV119" s="8">
        <f t="shared" si="238"/>
        <v>2.9484333375749995E-2</v>
      </c>
      <c r="CW119" s="8">
        <f t="shared" si="239"/>
        <v>0.1215848799</v>
      </c>
      <c r="CX119" s="18">
        <f t="shared" si="240"/>
        <v>5.5017158154749991E-3</v>
      </c>
      <c r="CY119" s="8">
        <f t="shared" si="241"/>
        <v>2.9736622001542496E-2</v>
      </c>
      <c r="CZ119" s="12">
        <f t="shared" si="242"/>
        <v>0.19999999999999998</v>
      </c>
      <c r="DA119" s="12">
        <f t="shared" si="186"/>
        <v>0.20006012024048095</v>
      </c>
      <c r="DB119" s="6">
        <v>1.5</v>
      </c>
      <c r="DC119" s="6">
        <v>1.5</v>
      </c>
      <c r="DD119" s="15">
        <v>0.1</v>
      </c>
      <c r="DE119" s="13">
        <v>0.39</v>
      </c>
      <c r="DF119" s="15">
        <v>2.1000000000000001E-2</v>
      </c>
      <c r="DG119" s="13">
        <v>0.15</v>
      </c>
      <c r="DH119" s="28">
        <f t="shared" si="243"/>
        <v>9.6762600000000008E-4</v>
      </c>
      <c r="DI119" s="29">
        <f t="shared" si="244"/>
        <v>5.2299918000000001E-3</v>
      </c>
    </row>
    <row r="120" spans="1:113" x14ac:dyDescent="0.25">
      <c r="A120" s="85">
        <v>112</v>
      </c>
      <c r="B120" s="19" t="s">
        <v>36</v>
      </c>
      <c r="C120" s="31" t="s">
        <v>24</v>
      </c>
      <c r="D120" s="19" t="s">
        <v>173</v>
      </c>
      <c r="E120" s="33">
        <v>4</v>
      </c>
      <c r="F120" s="9">
        <v>50</v>
      </c>
      <c r="G120" s="32" t="s">
        <v>99</v>
      </c>
      <c r="H120" s="19" t="s">
        <v>10</v>
      </c>
      <c r="I120" s="19" t="s">
        <v>6</v>
      </c>
      <c r="J120" s="32" t="s">
        <v>99</v>
      </c>
      <c r="K120" s="2" t="str">
        <f t="shared" si="187"/>
        <v>Kommunal Tätort 4F 50 - GIF Y</v>
      </c>
      <c r="L120" s="2"/>
      <c r="M120" s="32" t="s">
        <v>99</v>
      </c>
      <c r="N120" s="53">
        <f>'Beräkna - Länk'!$C$26</f>
        <v>1</v>
      </c>
      <c r="O120" s="53">
        <f>'Beräkna - Länk'!$C$24/('Beräkna - Länk'!$C$27)^('Beräkna - Länk'!$C$25-2010)</f>
        <v>10385</v>
      </c>
      <c r="P120" s="13">
        <f t="shared" si="188"/>
        <v>3.7905249999999997</v>
      </c>
      <c r="Q120" s="13">
        <f t="shared" si="189"/>
        <v>0.96772103249999974</v>
      </c>
      <c r="R120" s="13">
        <f t="shared" si="190"/>
        <v>1.5287187324999998</v>
      </c>
      <c r="S120" s="28">
        <f t="shared" si="191"/>
        <v>6.5608681014999986E-3</v>
      </c>
      <c r="T120" s="15">
        <f t="shared" si="192"/>
        <v>0.14555365825349995</v>
      </c>
      <c r="U120" s="13">
        <f t="shared" si="193"/>
        <v>1.3766042061449997</v>
      </c>
      <c r="V120" s="13">
        <f t="shared" si="194"/>
        <v>3.272486583333333</v>
      </c>
      <c r="W120" s="15">
        <f t="shared" si="195"/>
        <v>3.6757368725722495E-2</v>
      </c>
      <c r="X120" s="15">
        <f t="shared" si="196"/>
        <v>0.22734022264178994</v>
      </c>
      <c r="Y120" s="15">
        <f t="shared" si="197"/>
        <v>0.21833048738024993</v>
      </c>
      <c r="Z120" s="14">
        <f t="shared" si="198"/>
        <v>2.0649063092174993</v>
      </c>
      <c r="AA120" s="14">
        <f t="shared" si="199"/>
        <v>22.907406083333331</v>
      </c>
      <c r="AB120" s="13">
        <f t="shared" si="200"/>
        <v>5.5136053088583728E-2</v>
      </c>
      <c r="AC120" s="14">
        <f t="shared" si="201"/>
        <v>0.34101033396268499</v>
      </c>
      <c r="AD120" s="13">
        <f t="shared" si="181"/>
        <v>9.8214509931945471E-2</v>
      </c>
      <c r="AE120" s="15">
        <f t="shared" si="182"/>
        <v>5.9329869999999986E-2</v>
      </c>
      <c r="AF120" s="8">
        <v>0.22199999999999998</v>
      </c>
      <c r="AG120" s="12">
        <v>1.6666666666666667</v>
      </c>
      <c r="AH120" s="12">
        <v>0.25</v>
      </c>
      <c r="AI120" s="12">
        <v>8.25</v>
      </c>
      <c r="AJ120" s="7">
        <v>91.5</v>
      </c>
      <c r="AK120" s="12">
        <v>2.3333333333333335</v>
      </c>
      <c r="AL120" s="12">
        <f t="shared" si="202"/>
        <v>0.84149654999999979</v>
      </c>
      <c r="AM120" s="12">
        <f t="shared" si="203"/>
        <v>1.4024942499999997</v>
      </c>
      <c r="AN120" s="18">
        <f t="shared" si="204"/>
        <v>3.5062356249999991E-3</v>
      </c>
      <c r="AO120" s="8">
        <f t="shared" si="205"/>
        <v>0.11570577562499997</v>
      </c>
      <c r="AP120" s="12">
        <f t="shared" si="206"/>
        <v>1.2832822387499996</v>
      </c>
      <c r="AQ120" s="12">
        <f t="shared" si="207"/>
        <v>3.272486583333333</v>
      </c>
      <c r="AR120" s="18">
        <f t="shared" si="208"/>
        <v>3.1314190366874994E-2</v>
      </c>
      <c r="AS120" s="8">
        <f t="shared" si="209"/>
        <v>0.19922430821249995</v>
      </c>
      <c r="AT120" s="8">
        <f t="shared" si="210"/>
        <v>0.17355866343749995</v>
      </c>
      <c r="AU120" s="8">
        <f t="shared" si="211"/>
        <v>1.9249233581249994</v>
      </c>
      <c r="AV120" s="8">
        <f t="shared" si="212"/>
        <v>22.907406083333331</v>
      </c>
      <c r="AW120" s="8">
        <f t="shared" si="213"/>
        <v>4.6971285550312485E-2</v>
      </c>
      <c r="AX120" s="8">
        <f t="shared" si="214"/>
        <v>0.29883646231874994</v>
      </c>
      <c r="AY120" s="495">
        <f t="shared" si="183"/>
        <v>8.4236864053377825E-2</v>
      </c>
      <c r="AZ120" s="8">
        <f t="shared" si="215"/>
        <v>3.1449999999999999E-2</v>
      </c>
      <c r="BA120" s="6">
        <v>1.5</v>
      </c>
      <c r="BB120" s="6">
        <v>1.5</v>
      </c>
      <c r="BC120" s="6">
        <v>7</v>
      </c>
      <c r="BD120" s="15">
        <v>7.0999999999999994E-2</v>
      </c>
      <c r="BE120" s="13">
        <v>0.28000000000000003</v>
      </c>
      <c r="BF120" s="15">
        <v>1.7999999999999999E-2</v>
      </c>
      <c r="BG120" s="13">
        <v>0.13</v>
      </c>
      <c r="BH120" s="28">
        <f t="shared" si="216"/>
        <v>8.2611749999999991E-3</v>
      </c>
      <c r="BI120" s="15">
        <f t="shared" si="217"/>
        <v>5.2558499999999994E-2</v>
      </c>
      <c r="BJ120" s="12">
        <v>7.0000000000000009</v>
      </c>
      <c r="BK120" s="12">
        <v>1</v>
      </c>
      <c r="BL120" s="7">
        <v>4.5</v>
      </c>
      <c r="BM120" s="7">
        <v>28.5</v>
      </c>
      <c r="BN120" s="7">
        <v>67</v>
      </c>
      <c r="BO120" s="8">
        <f t="shared" si="218"/>
        <v>5.8904758499999987E-2</v>
      </c>
      <c r="BP120" s="8">
        <f t="shared" si="219"/>
        <v>5.8904758499999987E-2</v>
      </c>
      <c r="BQ120" s="8">
        <f t="shared" si="220"/>
        <v>2.6507141324999994E-3</v>
      </c>
      <c r="BR120" s="8">
        <f t="shared" si="221"/>
        <v>1.6787856172499994E-2</v>
      </c>
      <c r="BS120" s="8">
        <f t="shared" si="222"/>
        <v>3.9466188194999995E-2</v>
      </c>
      <c r="BT120" s="18">
        <f t="shared" si="223"/>
        <v>3.0062043500474998E-3</v>
      </c>
      <c r="BU120" s="8">
        <f t="shared" si="224"/>
        <v>1.4944137231449999E-2</v>
      </c>
      <c r="BV120" s="8">
        <f t="shared" si="225"/>
        <v>2.5181784258749992E-2</v>
      </c>
      <c r="BW120" s="8">
        <f t="shared" si="226"/>
        <v>5.9199282292499988E-2</v>
      </c>
      <c r="BX120" s="18">
        <f t="shared" si="227"/>
        <v>4.5093065250712489E-3</v>
      </c>
      <c r="BY120" s="8">
        <f t="shared" si="228"/>
        <v>2.2416205847174995E-2</v>
      </c>
      <c r="BZ120" s="12">
        <f t="shared" si="229"/>
        <v>0.32999999999999996</v>
      </c>
      <c r="CA120" s="12">
        <f t="shared" si="184"/>
        <v>0.28802030456852795</v>
      </c>
      <c r="CB120" s="6">
        <v>1.5</v>
      </c>
      <c r="CC120" s="6">
        <v>1.5</v>
      </c>
      <c r="CD120" s="15">
        <v>0.125</v>
      </c>
      <c r="CE120" s="13">
        <v>0.42</v>
      </c>
      <c r="CF120" s="15">
        <v>2.3E-2</v>
      </c>
      <c r="CG120" s="13">
        <v>0.2</v>
      </c>
      <c r="CH120" s="28">
        <f t="shared" si="245"/>
        <v>7.9308390000000007E-4</v>
      </c>
      <c r="CI120" s="15">
        <f t="shared" si="230"/>
        <v>3.942498E-3</v>
      </c>
      <c r="CJ120" s="12">
        <v>8</v>
      </c>
      <c r="CK120" s="12">
        <v>1</v>
      </c>
      <c r="CL120" s="7">
        <v>0.6</v>
      </c>
      <c r="CM120" s="7">
        <v>19.399999999999999</v>
      </c>
      <c r="CN120" s="7">
        <v>80</v>
      </c>
      <c r="CO120" s="8">
        <f t="shared" si="231"/>
        <v>6.7319723999999984E-2</v>
      </c>
      <c r="CP120" s="8">
        <f t="shared" si="232"/>
        <v>6.7319723999999984E-2</v>
      </c>
      <c r="CQ120" s="18">
        <f t="shared" si="233"/>
        <v>4.0391834399999989E-4</v>
      </c>
      <c r="CR120" s="8">
        <f t="shared" si="234"/>
        <v>1.3060026455999995E-2</v>
      </c>
      <c r="CS120" s="8">
        <f t="shared" si="235"/>
        <v>5.3855779199999988E-2</v>
      </c>
      <c r="CT120" s="18">
        <f t="shared" si="236"/>
        <v>2.4369740087999995E-3</v>
      </c>
      <c r="CU120" s="8">
        <f t="shared" si="237"/>
        <v>1.3171777197839997E-2</v>
      </c>
      <c r="CV120" s="8">
        <f t="shared" si="238"/>
        <v>1.9590039683999992E-2</v>
      </c>
      <c r="CW120" s="8">
        <f t="shared" si="239"/>
        <v>8.0783668799999986E-2</v>
      </c>
      <c r="CX120" s="18">
        <f t="shared" si="240"/>
        <v>3.6554610131999993E-3</v>
      </c>
      <c r="CY120" s="8">
        <f t="shared" si="241"/>
        <v>1.9757665796759995E-2</v>
      </c>
      <c r="CZ120" s="12">
        <f t="shared" si="242"/>
        <v>0.19999999999999998</v>
      </c>
      <c r="DA120" s="12">
        <f t="shared" si="186"/>
        <v>0.20006012024048092</v>
      </c>
      <c r="DB120" s="6">
        <v>1.5</v>
      </c>
      <c r="DC120" s="6">
        <v>1.5</v>
      </c>
      <c r="DD120" s="15">
        <v>0.1</v>
      </c>
      <c r="DE120" s="13">
        <v>0.39</v>
      </c>
      <c r="DF120" s="15">
        <v>2.1000000000000001E-2</v>
      </c>
      <c r="DG120" s="13">
        <v>0.15</v>
      </c>
      <c r="DH120" s="28">
        <f t="shared" si="243"/>
        <v>6.4291199999999993E-4</v>
      </c>
      <c r="DI120" s="29">
        <f t="shared" si="244"/>
        <v>3.4749215999999995E-3</v>
      </c>
    </row>
    <row r="121" spans="1:113" x14ac:dyDescent="0.25">
      <c r="A121" s="85">
        <v>113</v>
      </c>
      <c r="B121" s="19" t="s">
        <v>36</v>
      </c>
      <c r="C121" s="31" t="s">
        <v>24</v>
      </c>
      <c r="D121" s="19" t="s">
        <v>173</v>
      </c>
      <c r="E121" s="33">
        <v>4</v>
      </c>
      <c r="F121" s="9">
        <v>50</v>
      </c>
      <c r="G121" s="32" t="s">
        <v>99</v>
      </c>
      <c r="H121" s="33" t="s">
        <v>25</v>
      </c>
      <c r="I121" s="19" t="s">
        <v>4</v>
      </c>
      <c r="J121" s="32" t="s">
        <v>99</v>
      </c>
      <c r="K121" s="2" t="str">
        <f t="shared" si="187"/>
        <v>Kommunal Tätort 4F 50 - Tangent C</v>
      </c>
      <c r="L121" s="2"/>
      <c r="M121" s="32" t="s">
        <v>99</v>
      </c>
      <c r="N121" s="53">
        <f>'Beräkna - Länk'!$C$26</f>
        <v>1</v>
      </c>
      <c r="O121" s="53">
        <f>'Beräkna - Länk'!$C$24/('Beräkna - Länk'!$C$27)^('Beräkna - Länk'!$C$25-2010)</f>
        <v>10385</v>
      </c>
      <c r="P121" s="13">
        <f t="shared" si="188"/>
        <v>3.7905249999999997</v>
      </c>
      <c r="Q121" s="13">
        <f t="shared" si="189"/>
        <v>1.4487386549999999</v>
      </c>
      <c r="R121" s="13">
        <f t="shared" si="190"/>
        <v>1.8202101049999999</v>
      </c>
      <c r="S121" s="28">
        <f t="shared" si="191"/>
        <v>1.1515614949999997E-2</v>
      </c>
      <c r="T121" s="15">
        <f t="shared" si="192"/>
        <v>0.20096605444999999</v>
      </c>
      <c r="U121" s="13">
        <f t="shared" si="193"/>
        <v>1.6077284355999997</v>
      </c>
      <c r="V121" s="13">
        <f t="shared" si="194"/>
        <v>3.4670668666666669</v>
      </c>
      <c r="W121" s="15">
        <f t="shared" si="195"/>
        <v>4.7482966624799991E-2</v>
      </c>
      <c r="X121" s="15">
        <f t="shared" si="196"/>
        <v>0.28510805258950001</v>
      </c>
      <c r="Y121" s="15">
        <f t="shared" si="197"/>
        <v>0.30144908167500001</v>
      </c>
      <c r="Z121" s="14">
        <f t="shared" si="198"/>
        <v>2.4115926533999992</v>
      </c>
      <c r="AA121" s="14">
        <f t="shared" si="199"/>
        <v>24.269468066666668</v>
      </c>
      <c r="AB121" s="13">
        <f t="shared" si="200"/>
        <v>7.1224449937199993E-2</v>
      </c>
      <c r="AC121" s="14">
        <f t="shared" si="201"/>
        <v>0.42766207888424995</v>
      </c>
      <c r="AD121" s="13">
        <f t="shared" si="181"/>
        <v>0.11486808916763246</v>
      </c>
      <c r="AE121" s="15">
        <f t="shared" si="182"/>
        <v>8.2565E-2</v>
      </c>
      <c r="AF121" s="8">
        <v>0.29399999999999998</v>
      </c>
      <c r="AG121" s="12">
        <v>1.3333333333333335</v>
      </c>
      <c r="AH121" s="12">
        <v>0.25</v>
      </c>
      <c r="AI121" s="12">
        <v>8.25</v>
      </c>
      <c r="AJ121" s="7">
        <v>91.5</v>
      </c>
      <c r="AK121" s="12">
        <v>2.3333333333333335</v>
      </c>
      <c r="AL121" s="12">
        <f t="shared" si="202"/>
        <v>1.1144143499999999</v>
      </c>
      <c r="AM121" s="12">
        <f t="shared" si="203"/>
        <v>1.4858857999999999</v>
      </c>
      <c r="AN121" s="18">
        <f t="shared" si="204"/>
        <v>3.7147144999999998E-3</v>
      </c>
      <c r="AO121" s="8">
        <f t="shared" si="205"/>
        <v>0.12258557849999999</v>
      </c>
      <c r="AP121" s="12">
        <f t="shared" si="206"/>
        <v>1.3595855069999998</v>
      </c>
      <c r="AQ121" s="12">
        <f t="shared" si="207"/>
        <v>3.4670668666666669</v>
      </c>
      <c r="AR121" s="18">
        <f t="shared" si="208"/>
        <v>3.3176115199499992E-2</v>
      </c>
      <c r="AS121" s="8">
        <f t="shared" si="209"/>
        <v>0.21107007788999999</v>
      </c>
      <c r="AT121" s="8">
        <f t="shared" si="210"/>
        <v>0.18387836774999999</v>
      </c>
      <c r="AU121" s="8">
        <f t="shared" si="211"/>
        <v>2.0393782604999995</v>
      </c>
      <c r="AV121" s="8">
        <f t="shared" si="212"/>
        <v>24.269468066666668</v>
      </c>
      <c r="AW121" s="8">
        <f t="shared" si="213"/>
        <v>4.9764172799249981E-2</v>
      </c>
      <c r="AX121" s="8">
        <f t="shared" si="214"/>
        <v>0.31660511683499992</v>
      </c>
      <c r="AY121" s="495">
        <f t="shared" si="183"/>
        <v>8.4236864053377838E-2</v>
      </c>
      <c r="AZ121" s="8">
        <f t="shared" si="215"/>
        <v>3.3320000000000002E-2</v>
      </c>
      <c r="BA121" s="6">
        <v>1.5</v>
      </c>
      <c r="BB121" s="6">
        <v>1.5</v>
      </c>
      <c r="BC121" s="6">
        <v>7</v>
      </c>
      <c r="BD121" s="15">
        <v>7.0999999999999994E-2</v>
      </c>
      <c r="BE121" s="13">
        <v>0.28000000000000003</v>
      </c>
      <c r="BF121" s="15">
        <v>1.7999999999999999E-2</v>
      </c>
      <c r="BG121" s="13">
        <v>0.13</v>
      </c>
      <c r="BH121" s="28">
        <f t="shared" si="216"/>
        <v>8.7523799999999988E-3</v>
      </c>
      <c r="BI121" s="15">
        <f t="shared" si="217"/>
        <v>5.56836E-2</v>
      </c>
      <c r="BJ121" s="12">
        <v>13.333333333333334</v>
      </c>
      <c r="BK121" s="12">
        <v>1</v>
      </c>
      <c r="BL121" s="7">
        <v>4.5</v>
      </c>
      <c r="BM121" s="7">
        <v>28.5</v>
      </c>
      <c r="BN121" s="7">
        <v>67</v>
      </c>
      <c r="BO121" s="8">
        <f t="shared" si="218"/>
        <v>0.14858857999999997</v>
      </c>
      <c r="BP121" s="8">
        <f t="shared" si="219"/>
        <v>0.14858857999999997</v>
      </c>
      <c r="BQ121" s="8">
        <f t="shared" si="220"/>
        <v>6.686486099999998E-3</v>
      </c>
      <c r="BR121" s="8">
        <f t="shared" si="221"/>
        <v>4.2347745299999989E-2</v>
      </c>
      <c r="BS121" s="8">
        <f t="shared" si="222"/>
        <v>9.9554348599999981E-2</v>
      </c>
      <c r="BT121" s="18">
        <f t="shared" si="223"/>
        <v>7.5832181803000007E-3</v>
      </c>
      <c r="BU121" s="8">
        <f t="shared" si="224"/>
        <v>3.7696922745999992E-2</v>
      </c>
      <c r="BV121" s="8">
        <f t="shared" si="225"/>
        <v>6.3521617949999984E-2</v>
      </c>
      <c r="BW121" s="8">
        <f t="shared" si="226"/>
        <v>0.14933152289999996</v>
      </c>
      <c r="BX121" s="18">
        <f t="shared" si="227"/>
        <v>1.1374827270449996E-2</v>
      </c>
      <c r="BY121" s="8">
        <f t="shared" si="228"/>
        <v>5.6545384118999981E-2</v>
      </c>
      <c r="BZ121" s="12">
        <f t="shared" si="229"/>
        <v>0.32999999999999996</v>
      </c>
      <c r="CA121" s="12">
        <f t="shared" si="184"/>
        <v>0.2880203045685279</v>
      </c>
      <c r="CB121" s="6">
        <v>1.5</v>
      </c>
      <c r="CC121" s="6">
        <v>1.5</v>
      </c>
      <c r="CD121" s="15">
        <v>0.125</v>
      </c>
      <c r="CE121" s="13">
        <v>0.42</v>
      </c>
      <c r="CF121" s="15">
        <v>2.3E-2</v>
      </c>
      <c r="CG121" s="13">
        <v>0.2</v>
      </c>
      <c r="CH121" s="28">
        <f t="shared" si="245"/>
        <v>2.0005720000000004E-3</v>
      </c>
      <c r="CI121" s="15">
        <f t="shared" si="230"/>
        <v>9.9450399999999987E-3</v>
      </c>
      <c r="CJ121" s="12">
        <v>16.666666666666668</v>
      </c>
      <c r="CK121" s="12">
        <v>1</v>
      </c>
      <c r="CL121" s="7">
        <v>0.6</v>
      </c>
      <c r="CM121" s="7">
        <v>19.399999999999999</v>
      </c>
      <c r="CN121" s="7">
        <v>80</v>
      </c>
      <c r="CO121" s="8">
        <f t="shared" si="231"/>
        <v>0.18573572499999999</v>
      </c>
      <c r="CP121" s="8">
        <f t="shared" si="232"/>
        <v>0.18573572499999999</v>
      </c>
      <c r="CQ121" s="18">
        <f t="shared" si="233"/>
        <v>1.1144143499999999E-3</v>
      </c>
      <c r="CR121" s="8">
        <f t="shared" si="234"/>
        <v>3.6032730649999997E-2</v>
      </c>
      <c r="CS121" s="8">
        <f t="shared" si="235"/>
        <v>0.14858858</v>
      </c>
      <c r="CT121" s="18">
        <f t="shared" si="236"/>
        <v>6.723633245E-3</v>
      </c>
      <c r="CU121" s="8">
        <f t="shared" si="237"/>
        <v>3.6341051953499993E-2</v>
      </c>
      <c r="CV121" s="8">
        <f t="shared" si="238"/>
        <v>5.4049095974999996E-2</v>
      </c>
      <c r="CW121" s="8">
        <f t="shared" si="239"/>
        <v>0.22288287000000001</v>
      </c>
      <c r="CX121" s="18">
        <f t="shared" si="240"/>
        <v>1.00854498675E-2</v>
      </c>
      <c r="CY121" s="8">
        <f t="shared" si="241"/>
        <v>5.4511577930249994E-2</v>
      </c>
      <c r="CZ121" s="12">
        <f t="shared" si="242"/>
        <v>0.19999999999999998</v>
      </c>
      <c r="DA121" s="12">
        <f t="shared" si="186"/>
        <v>0.20006012024048095</v>
      </c>
      <c r="DB121" s="6">
        <v>1.5</v>
      </c>
      <c r="DC121" s="6">
        <v>1.5</v>
      </c>
      <c r="DD121" s="15">
        <v>0.1</v>
      </c>
      <c r="DE121" s="13">
        <v>0.39</v>
      </c>
      <c r="DF121" s="15">
        <v>2.1000000000000001E-2</v>
      </c>
      <c r="DG121" s="13">
        <v>0.15</v>
      </c>
      <c r="DH121" s="28">
        <f t="shared" si="243"/>
        <v>1.7738000000000001E-3</v>
      </c>
      <c r="DI121" s="29">
        <f t="shared" si="244"/>
        <v>9.5873399999999998E-3</v>
      </c>
    </row>
    <row r="122" spans="1:113" x14ac:dyDescent="0.25">
      <c r="A122" s="85">
        <v>114</v>
      </c>
      <c r="B122" s="19" t="s">
        <v>36</v>
      </c>
      <c r="C122" s="31" t="s">
        <v>24</v>
      </c>
      <c r="D122" s="19" t="s">
        <v>173</v>
      </c>
      <c r="E122" s="33">
        <v>4</v>
      </c>
      <c r="F122" s="9">
        <v>50</v>
      </c>
      <c r="G122" s="32" t="s">
        <v>99</v>
      </c>
      <c r="H122" s="33" t="s">
        <v>25</v>
      </c>
      <c r="I122" s="19" t="s">
        <v>5</v>
      </c>
      <c r="J122" s="32" t="s">
        <v>99</v>
      </c>
      <c r="K122" s="2" t="str">
        <f t="shared" si="187"/>
        <v>Kommunal Tätort 4F 50 - Tangent M</v>
      </c>
      <c r="L122" s="2"/>
      <c r="M122" s="32" t="s">
        <v>99</v>
      </c>
      <c r="N122" s="53">
        <f>'Beräkna - Länk'!$C$26</f>
        <v>1</v>
      </c>
      <c r="O122" s="53">
        <f>'Beräkna - Länk'!$C$24/('Beräkna - Länk'!$C$27)^('Beräkna - Länk'!$C$25-2010)</f>
        <v>10385</v>
      </c>
      <c r="P122" s="13">
        <f t="shared" si="188"/>
        <v>3.7905249999999997</v>
      </c>
      <c r="Q122" s="13">
        <f t="shared" si="189"/>
        <v>1.2508732499999999</v>
      </c>
      <c r="R122" s="13">
        <f t="shared" si="190"/>
        <v>1.7178659300000001</v>
      </c>
      <c r="S122" s="28">
        <f t="shared" si="191"/>
        <v>9.7234547300000009E-3</v>
      </c>
      <c r="T122" s="15">
        <f t="shared" si="192"/>
        <v>0.18024249616999999</v>
      </c>
      <c r="U122" s="13">
        <f t="shared" si="193"/>
        <v>1.5278999791000003</v>
      </c>
      <c r="V122" s="13">
        <f t="shared" si="194"/>
        <v>3.4246129866666672</v>
      </c>
      <c r="W122" s="15">
        <f t="shared" si="195"/>
        <v>4.3558158486149995E-2</v>
      </c>
      <c r="X122" s="15">
        <f t="shared" si="196"/>
        <v>0.26421078212979998</v>
      </c>
      <c r="Y122" s="15">
        <f t="shared" si="197"/>
        <v>0.27036374425499998</v>
      </c>
      <c r="Z122" s="14">
        <f t="shared" si="198"/>
        <v>2.2918499686500002</v>
      </c>
      <c r="AA122" s="14">
        <f t="shared" si="199"/>
        <v>23.972290906666672</v>
      </c>
      <c r="AB122" s="13">
        <f t="shared" si="200"/>
        <v>6.5337237729225006E-2</v>
      </c>
      <c r="AC122" s="14">
        <f t="shared" si="201"/>
        <v>0.39631617319470014</v>
      </c>
      <c r="AD122" s="13">
        <f t="shared" si="181"/>
        <v>0.10890126030666272</v>
      </c>
      <c r="AE122" s="15">
        <f t="shared" si="182"/>
        <v>7.389140000000001E-2</v>
      </c>
      <c r="AF122" s="8">
        <v>0.26400000000000001</v>
      </c>
      <c r="AG122" s="12">
        <v>1.4666666666666668</v>
      </c>
      <c r="AH122" s="12">
        <v>0.25</v>
      </c>
      <c r="AI122" s="12">
        <v>8.25</v>
      </c>
      <c r="AJ122" s="7">
        <v>91.5</v>
      </c>
      <c r="AK122" s="12">
        <v>2.3333333333333335</v>
      </c>
      <c r="AL122" s="12">
        <f t="shared" si="202"/>
        <v>1.0006986</v>
      </c>
      <c r="AM122" s="12">
        <f t="shared" si="203"/>
        <v>1.4676912800000002</v>
      </c>
      <c r="AN122" s="18">
        <f t="shared" si="204"/>
        <v>3.6692282000000006E-3</v>
      </c>
      <c r="AO122" s="8">
        <f t="shared" si="205"/>
        <v>0.1210845306</v>
      </c>
      <c r="AP122" s="12">
        <f t="shared" si="206"/>
        <v>1.3429375212000003</v>
      </c>
      <c r="AQ122" s="12">
        <f t="shared" si="207"/>
        <v>3.4246129866666672</v>
      </c>
      <c r="AR122" s="18">
        <f t="shared" si="208"/>
        <v>3.2769877054199995E-2</v>
      </c>
      <c r="AS122" s="8">
        <f t="shared" si="209"/>
        <v>0.20848554632399999</v>
      </c>
      <c r="AT122" s="8">
        <f t="shared" si="210"/>
        <v>0.1816267959</v>
      </c>
      <c r="AU122" s="8">
        <f t="shared" si="211"/>
        <v>2.0144062818000004</v>
      </c>
      <c r="AV122" s="8">
        <f t="shared" si="212"/>
        <v>23.972290906666672</v>
      </c>
      <c r="AW122" s="8">
        <f t="shared" si="213"/>
        <v>4.9154815581299999E-2</v>
      </c>
      <c r="AX122" s="8">
        <f t="shared" si="214"/>
        <v>0.31272831948600011</v>
      </c>
      <c r="AY122" s="495">
        <f t="shared" si="183"/>
        <v>8.4236864053377811E-2</v>
      </c>
      <c r="AZ122" s="8">
        <f t="shared" si="215"/>
        <v>3.2912000000000011E-2</v>
      </c>
      <c r="BA122" s="6">
        <v>1.5</v>
      </c>
      <c r="BB122" s="6">
        <v>1.5</v>
      </c>
      <c r="BC122" s="6">
        <v>7</v>
      </c>
      <c r="BD122" s="15">
        <v>7.0999999999999994E-2</v>
      </c>
      <c r="BE122" s="13">
        <v>0.28000000000000003</v>
      </c>
      <c r="BF122" s="15">
        <v>1.7999999999999999E-2</v>
      </c>
      <c r="BG122" s="13">
        <v>0.13</v>
      </c>
      <c r="BH122" s="28">
        <f t="shared" si="216"/>
        <v>8.6452079999999997E-3</v>
      </c>
      <c r="BI122" s="15">
        <f t="shared" si="217"/>
        <v>5.5001760000000004E-2</v>
      </c>
      <c r="BJ122" s="12">
        <v>11.666666666666668</v>
      </c>
      <c r="BK122" s="12">
        <v>1</v>
      </c>
      <c r="BL122" s="7">
        <v>4.5</v>
      </c>
      <c r="BM122" s="7">
        <v>28.5</v>
      </c>
      <c r="BN122" s="7">
        <v>67</v>
      </c>
      <c r="BO122" s="8">
        <f t="shared" si="218"/>
        <v>0.11674817000000001</v>
      </c>
      <c r="BP122" s="8">
        <f t="shared" si="219"/>
        <v>0.11674817000000001</v>
      </c>
      <c r="BQ122" s="8">
        <f t="shared" si="220"/>
        <v>5.2536676500000001E-3</v>
      </c>
      <c r="BR122" s="8">
        <f t="shared" si="221"/>
        <v>3.3273228449999998E-2</v>
      </c>
      <c r="BS122" s="8">
        <f t="shared" si="222"/>
        <v>7.8221273900000013E-2</v>
      </c>
      <c r="BT122" s="18">
        <f t="shared" si="223"/>
        <v>5.9582428559500017E-3</v>
      </c>
      <c r="BU122" s="8">
        <f t="shared" si="224"/>
        <v>2.9619010728999997E-2</v>
      </c>
      <c r="BV122" s="8">
        <f t="shared" si="225"/>
        <v>4.9909842674999996E-2</v>
      </c>
      <c r="BW122" s="8">
        <f t="shared" si="226"/>
        <v>0.11733191085000003</v>
      </c>
      <c r="BX122" s="18">
        <f t="shared" si="227"/>
        <v>8.9373642839249996E-3</v>
      </c>
      <c r="BY122" s="8">
        <f t="shared" si="228"/>
        <v>4.4428516093500001E-2</v>
      </c>
      <c r="BZ122" s="12">
        <f t="shared" si="229"/>
        <v>0.32999999999999996</v>
      </c>
      <c r="CA122" s="12">
        <f t="shared" si="184"/>
        <v>0.2880203045685279</v>
      </c>
      <c r="CB122" s="6">
        <v>1.5</v>
      </c>
      <c r="CC122" s="6">
        <v>1.5</v>
      </c>
      <c r="CD122" s="15">
        <v>0.125</v>
      </c>
      <c r="CE122" s="13">
        <v>0.42</v>
      </c>
      <c r="CF122" s="15">
        <v>2.3E-2</v>
      </c>
      <c r="CG122" s="13">
        <v>0.2</v>
      </c>
      <c r="CH122" s="28">
        <f t="shared" si="245"/>
        <v>1.5718780000000005E-3</v>
      </c>
      <c r="CI122" s="15">
        <f t="shared" si="230"/>
        <v>7.81396E-3</v>
      </c>
      <c r="CJ122" s="12">
        <v>13.333333333333334</v>
      </c>
      <c r="CK122" s="12">
        <v>1</v>
      </c>
      <c r="CL122" s="7">
        <v>0.6</v>
      </c>
      <c r="CM122" s="7">
        <v>19.399999999999999</v>
      </c>
      <c r="CN122" s="7">
        <v>80</v>
      </c>
      <c r="CO122" s="8">
        <f t="shared" si="231"/>
        <v>0.13342647999999999</v>
      </c>
      <c r="CP122" s="8">
        <f t="shared" si="232"/>
        <v>0.13342647999999999</v>
      </c>
      <c r="CQ122" s="18">
        <f t="shared" si="233"/>
        <v>8.0055887999999989E-4</v>
      </c>
      <c r="CR122" s="8">
        <f t="shared" si="234"/>
        <v>2.5884737119999994E-2</v>
      </c>
      <c r="CS122" s="8">
        <f t="shared" si="235"/>
        <v>0.10674118399999999</v>
      </c>
      <c r="CT122" s="18">
        <f t="shared" si="236"/>
        <v>4.8300385759999995E-3</v>
      </c>
      <c r="CU122" s="8">
        <f t="shared" si="237"/>
        <v>2.6106225076799997E-2</v>
      </c>
      <c r="CV122" s="8">
        <f t="shared" si="238"/>
        <v>3.8827105679999988E-2</v>
      </c>
      <c r="CW122" s="8">
        <f t="shared" si="239"/>
        <v>0.16011177599999998</v>
      </c>
      <c r="CX122" s="18">
        <f t="shared" si="240"/>
        <v>7.2450578639999992E-3</v>
      </c>
      <c r="CY122" s="8">
        <f t="shared" si="241"/>
        <v>3.9159337615199991E-2</v>
      </c>
      <c r="CZ122" s="12">
        <f t="shared" si="242"/>
        <v>0.19999999999999998</v>
      </c>
      <c r="DA122" s="12">
        <f t="shared" si="186"/>
        <v>0.20006012024048095</v>
      </c>
      <c r="DB122" s="6">
        <v>1.5</v>
      </c>
      <c r="DC122" s="6">
        <v>1.5</v>
      </c>
      <c r="DD122" s="15">
        <v>0.1</v>
      </c>
      <c r="DE122" s="13">
        <v>0.39</v>
      </c>
      <c r="DF122" s="15">
        <v>2.1000000000000001E-2</v>
      </c>
      <c r="DG122" s="13">
        <v>0.15</v>
      </c>
      <c r="DH122" s="28">
        <f t="shared" si="243"/>
        <v>1.2742400000000001E-3</v>
      </c>
      <c r="DI122" s="29">
        <f t="shared" si="244"/>
        <v>6.8872320000000001E-3</v>
      </c>
    </row>
    <row r="123" spans="1:113" x14ac:dyDescent="0.25">
      <c r="A123" s="85">
        <v>115</v>
      </c>
      <c r="B123" s="19" t="s">
        <v>36</v>
      </c>
      <c r="C123" s="31" t="s">
        <v>24</v>
      </c>
      <c r="D123" s="19" t="s">
        <v>173</v>
      </c>
      <c r="E123" s="33">
        <v>4</v>
      </c>
      <c r="F123" s="9">
        <v>50</v>
      </c>
      <c r="G123" s="32" t="s">
        <v>99</v>
      </c>
      <c r="H123" s="33" t="s">
        <v>25</v>
      </c>
      <c r="I123" s="19" t="s">
        <v>6</v>
      </c>
      <c r="J123" s="32" t="s">
        <v>99</v>
      </c>
      <c r="K123" s="2" t="str">
        <f t="shared" si="187"/>
        <v>Kommunal Tätort 4F 50 - Tangent Y</v>
      </c>
      <c r="L123" s="2"/>
      <c r="M123" s="32" t="s">
        <v>99</v>
      </c>
      <c r="N123" s="53">
        <f>'Beräkna - Länk'!$C$26</f>
        <v>1</v>
      </c>
      <c r="O123" s="53">
        <f>'Beräkna - Länk'!$C$24/('Beräkna - Länk'!$C$27)^('Beräkna - Länk'!$C$25-2010)</f>
        <v>10385</v>
      </c>
      <c r="P123" s="13">
        <f t="shared" si="188"/>
        <v>3.7905249999999997</v>
      </c>
      <c r="Q123" s="13">
        <f t="shared" si="189"/>
        <v>1.1145280657499999</v>
      </c>
      <c r="R123" s="13">
        <f t="shared" si="190"/>
        <v>1.66718661075</v>
      </c>
      <c r="S123" s="28">
        <f t="shared" si="191"/>
        <v>8.4372537870000004E-3</v>
      </c>
      <c r="T123" s="15">
        <f t="shared" si="192"/>
        <v>0.16749238303800001</v>
      </c>
      <c r="U123" s="13">
        <f t="shared" si="193"/>
        <v>1.4912569739249999</v>
      </c>
      <c r="V123" s="13">
        <f t="shared" si="194"/>
        <v>3.43876428</v>
      </c>
      <c r="W123" s="15">
        <f t="shared" si="195"/>
        <v>4.1273921786962507E-2</v>
      </c>
      <c r="X123" s="15">
        <f t="shared" si="196"/>
        <v>0.25253971699144501</v>
      </c>
      <c r="Y123" s="15">
        <f t="shared" si="197"/>
        <v>0.25123857455699999</v>
      </c>
      <c r="Z123" s="14">
        <f t="shared" si="198"/>
        <v>2.2368854608874997</v>
      </c>
      <c r="AA123" s="14">
        <f t="shared" si="199"/>
        <v>24.071349959999999</v>
      </c>
      <c r="AB123" s="13">
        <f t="shared" si="200"/>
        <v>6.1910882680443743E-2</v>
      </c>
      <c r="AC123" s="14">
        <f t="shared" si="201"/>
        <v>0.37880957548716754</v>
      </c>
      <c r="AD123" s="13">
        <f t="shared" si="181"/>
        <v>0.10401340013724811</v>
      </c>
      <c r="AE123" s="15">
        <f t="shared" si="182"/>
        <v>6.8506560000000008E-2</v>
      </c>
      <c r="AF123" s="8">
        <v>0.24299999999999999</v>
      </c>
      <c r="AG123" s="12">
        <v>1.6</v>
      </c>
      <c r="AH123" s="12">
        <v>0.25</v>
      </c>
      <c r="AI123" s="12">
        <v>8.25</v>
      </c>
      <c r="AJ123" s="7">
        <v>91.5</v>
      </c>
      <c r="AK123" s="12">
        <v>2.3333333333333335</v>
      </c>
      <c r="AL123" s="12">
        <f t="shared" si="202"/>
        <v>0.92109757499999989</v>
      </c>
      <c r="AM123" s="12">
        <f t="shared" si="203"/>
        <v>1.47375612</v>
      </c>
      <c r="AN123" s="18">
        <f t="shared" si="204"/>
        <v>3.6843903000000002E-3</v>
      </c>
      <c r="AO123" s="8">
        <f t="shared" si="205"/>
        <v>0.1215848799</v>
      </c>
      <c r="AP123" s="12">
        <f t="shared" si="206"/>
        <v>1.3484868498</v>
      </c>
      <c r="AQ123" s="12">
        <f t="shared" si="207"/>
        <v>3.43876428</v>
      </c>
      <c r="AR123" s="18">
        <f t="shared" si="208"/>
        <v>3.2905289769300003E-2</v>
      </c>
      <c r="AS123" s="8">
        <f t="shared" si="209"/>
        <v>0.20934705684600002</v>
      </c>
      <c r="AT123" s="8">
        <f t="shared" si="210"/>
        <v>0.18237731985</v>
      </c>
      <c r="AU123" s="8">
        <f t="shared" si="211"/>
        <v>2.0227302746999998</v>
      </c>
      <c r="AV123" s="8">
        <f t="shared" si="212"/>
        <v>24.071349959999999</v>
      </c>
      <c r="AW123" s="8">
        <f t="shared" si="213"/>
        <v>4.9357934653949991E-2</v>
      </c>
      <c r="AX123" s="8">
        <f t="shared" si="214"/>
        <v>0.31402058526900001</v>
      </c>
      <c r="AY123" s="495">
        <f t="shared" si="183"/>
        <v>8.4236864053377825E-2</v>
      </c>
      <c r="AZ123" s="8">
        <f t="shared" si="215"/>
        <v>3.3048000000000001E-2</v>
      </c>
      <c r="BA123" s="6">
        <v>1.5</v>
      </c>
      <c r="BB123" s="6">
        <v>1.5</v>
      </c>
      <c r="BC123" s="6">
        <v>7</v>
      </c>
      <c r="BD123" s="15">
        <v>7.0999999999999994E-2</v>
      </c>
      <c r="BE123" s="13">
        <v>0.28000000000000003</v>
      </c>
      <c r="BF123" s="15">
        <v>1.7999999999999999E-2</v>
      </c>
      <c r="BG123" s="13">
        <v>0.13</v>
      </c>
      <c r="BH123" s="28">
        <f t="shared" si="216"/>
        <v>8.6809320000000006E-3</v>
      </c>
      <c r="BI123" s="15">
        <f t="shared" si="217"/>
        <v>5.5229040000000007E-2</v>
      </c>
      <c r="BJ123" s="12">
        <v>10</v>
      </c>
      <c r="BK123" s="12">
        <v>1</v>
      </c>
      <c r="BL123" s="7">
        <v>4.5</v>
      </c>
      <c r="BM123" s="7">
        <v>28.5</v>
      </c>
      <c r="BN123" s="7">
        <v>67</v>
      </c>
      <c r="BO123" s="8">
        <f t="shared" si="218"/>
        <v>9.21097575E-2</v>
      </c>
      <c r="BP123" s="8">
        <f t="shared" si="219"/>
        <v>9.21097575E-2</v>
      </c>
      <c r="BQ123" s="8">
        <f t="shared" si="220"/>
        <v>4.1449390874999997E-3</v>
      </c>
      <c r="BR123" s="8">
        <f t="shared" si="221"/>
        <v>2.6251280887499999E-2</v>
      </c>
      <c r="BS123" s="8">
        <f t="shared" si="222"/>
        <v>6.1713537525000001E-2</v>
      </c>
      <c r="BT123" s="18">
        <f t="shared" si="223"/>
        <v>4.7008214740125003E-3</v>
      </c>
      <c r="BU123" s="8">
        <f t="shared" si="224"/>
        <v>2.3368245477749999E-2</v>
      </c>
      <c r="BV123" s="8">
        <f t="shared" si="225"/>
        <v>3.9376921331249995E-2</v>
      </c>
      <c r="BW123" s="8">
        <f t="shared" si="226"/>
        <v>9.2570306287500001E-2</v>
      </c>
      <c r="BX123" s="18">
        <f t="shared" si="227"/>
        <v>7.0512322110187495E-3</v>
      </c>
      <c r="BY123" s="8">
        <f t="shared" si="228"/>
        <v>3.5052368216624996E-2</v>
      </c>
      <c r="BZ123" s="12">
        <f t="shared" si="229"/>
        <v>0.32999999999999996</v>
      </c>
      <c r="CA123" s="12">
        <f t="shared" si="184"/>
        <v>0.2880203045685279</v>
      </c>
      <c r="CB123" s="6">
        <v>1.5</v>
      </c>
      <c r="CC123" s="6">
        <v>1.5</v>
      </c>
      <c r="CD123" s="15">
        <v>0.125</v>
      </c>
      <c r="CE123" s="13">
        <v>0.42</v>
      </c>
      <c r="CF123" s="15">
        <v>2.3E-2</v>
      </c>
      <c r="CG123" s="13">
        <v>0.2</v>
      </c>
      <c r="CH123" s="28">
        <f t="shared" si="245"/>
        <v>1.2401505000000001E-3</v>
      </c>
      <c r="CI123" s="15">
        <f t="shared" si="230"/>
        <v>6.16491E-3</v>
      </c>
      <c r="CJ123" s="12">
        <v>11</v>
      </c>
      <c r="CK123" s="12">
        <v>1</v>
      </c>
      <c r="CL123" s="7">
        <v>0.6</v>
      </c>
      <c r="CM123" s="7">
        <v>19.399999999999999</v>
      </c>
      <c r="CN123" s="7">
        <v>80</v>
      </c>
      <c r="CO123" s="8">
        <f t="shared" si="231"/>
        <v>0.10132073324999999</v>
      </c>
      <c r="CP123" s="8">
        <f t="shared" si="232"/>
        <v>0.10132073324999999</v>
      </c>
      <c r="CQ123" s="18">
        <f t="shared" si="233"/>
        <v>6.0792439949999995E-4</v>
      </c>
      <c r="CR123" s="8">
        <f t="shared" si="234"/>
        <v>1.9656222250499997E-2</v>
      </c>
      <c r="CS123" s="8">
        <f t="shared" si="235"/>
        <v>8.1056586599999994E-2</v>
      </c>
      <c r="CT123" s="18">
        <f t="shared" si="236"/>
        <v>3.6678105436500001E-3</v>
      </c>
      <c r="CU123" s="8">
        <f t="shared" si="237"/>
        <v>1.9824414667694999E-2</v>
      </c>
      <c r="CV123" s="8">
        <f t="shared" si="238"/>
        <v>2.9484333375749995E-2</v>
      </c>
      <c r="CW123" s="8">
        <f t="shared" si="239"/>
        <v>0.1215848799</v>
      </c>
      <c r="CX123" s="18">
        <f t="shared" si="240"/>
        <v>5.5017158154749991E-3</v>
      </c>
      <c r="CY123" s="8">
        <f t="shared" si="241"/>
        <v>2.9736622001542496E-2</v>
      </c>
      <c r="CZ123" s="12">
        <f t="shared" si="242"/>
        <v>0.19999999999999998</v>
      </c>
      <c r="DA123" s="12">
        <f t="shared" si="186"/>
        <v>0.20006012024048095</v>
      </c>
      <c r="DB123" s="6">
        <v>1.5</v>
      </c>
      <c r="DC123" s="6">
        <v>1.5</v>
      </c>
      <c r="DD123" s="15">
        <v>0.1</v>
      </c>
      <c r="DE123" s="13">
        <v>0.39</v>
      </c>
      <c r="DF123" s="15">
        <v>2.1000000000000001E-2</v>
      </c>
      <c r="DG123" s="13">
        <v>0.15</v>
      </c>
      <c r="DH123" s="28">
        <f t="shared" si="243"/>
        <v>9.6762600000000008E-4</v>
      </c>
      <c r="DI123" s="29">
        <f t="shared" si="244"/>
        <v>5.2299918000000001E-3</v>
      </c>
    </row>
    <row r="124" spans="1:113" x14ac:dyDescent="0.25">
      <c r="A124" s="85">
        <v>116</v>
      </c>
      <c r="B124" s="19" t="s">
        <v>36</v>
      </c>
      <c r="C124" s="31" t="s">
        <v>24</v>
      </c>
      <c r="D124" s="19" t="s">
        <v>173</v>
      </c>
      <c r="E124" s="33">
        <v>4</v>
      </c>
      <c r="F124" s="9">
        <v>60</v>
      </c>
      <c r="G124" s="32" t="s">
        <v>99</v>
      </c>
      <c r="H124" s="19" t="s">
        <v>10</v>
      </c>
      <c r="I124" s="19" t="s">
        <v>5</v>
      </c>
      <c r="J124" s="32" t="s">
        <v>99</v>
      </c>
      <c r="K124" s="2" t="str">
        <f t="shared" si="187"/>
        <v>Kommunal Tätort 4F 60 - GIF M</v>
      </c>
      <c r="L124" s="2"/>
      <c r="M124" s="32" t="s">
        <v>99</v>
      </c>
      <c r="N124" s="53">
        <f>'Beräkna - Länk'!$C$26</f>
        <v>1</v>
      </c>
      <c r="O124" s="53">
        <f>'Beräkna - Länk'!$C$24/('Beräkna - Länk'!$C$27)^('Beräkna - Länk'!$C$25-2010)</f>
        <v>10385</v>
      </c>
      <c r="P124" s="13">
        <f t="shared" si="188"/>
        <v>3.7905249999999997</v>
      </c>
      <c r="Q124" s="13">
        <f t="shared" si="189"/>
        <v>0.59374783599999992</v>
      </c>
      <c r="R124" s="13">
        <f t="shared" si="190"/>
        <v>0.9606706559999999</v>
      </c>
      <c r="S124" s="28">
        <f t="shared" si="191"/>
        <v>4.5698569399999995E-3</v>
      </c>
      <c r="T124" s="15">
        <f t="shared" si="192"/>
        <v>6.3152420814999985E-2</v>
      </c>
      <c r="U124" s="13">
        <f t="shared" si="193"/>
        <v>0.89294837824499984</v>
      </c>
      <c r="V124" s="13">
        <f t="shared" si="194"/>
        <v>1.8624112833333331</v>
      </c>
      <c r="W124" s="15">
        <f t="shared" si="195"/>
        <v>2.1135471599329998E-2</v>
      </c>
      <c r="X124" s="15">
        <f t="shared" si="196"/>
        <v>0.13640139015469999</v>
      </c>
      <c r="Y124" s="15">
        <f t="shared" si="197"/>
        <v>9.4728631222499998E-2</v>
      </c>
      <c r="Z124" s="14">
        <f t="shared" si="198"/>
        <v>1.3394225673674998</v>
      </c>
      <c r="AA124" s="14">
        <f t="shared" si="199"/>
        <v>13.036878983333331</v>
      </c>
      <c r="AB124" s="13">
        <f t="shared" si="200"/>
        <v>3.1703207398994987E-2</v>
      </c>
      <c r="AC124" s="14">
        <f t="shared" si="201"/>
        <v>0.20460208523204995</v>
      </c>
      <c r="AD124" s="13">
        <f t="shared" si="181"/>
        <v>6.9018582706374704E-2</v>
      </c>
      <c r="AE124" s="15">
        <f t="shared" si="182"/>
        <v>2.6196500000000005E-2</v>
      </c>
      <c r="AF124" s="8">
        <v>0.1452</v>
      </c>
      <c r="AG124" s="12">
        <v>1.6666666666666667</v>
      </c>
      <c r="AH124" s="12">
        <v>0.25</v>
      </c>
      <c r="AI124" s="12">
        <v>5.75</v>
      </c>
      <c r="AJ124" s="7">
        <v>94</v>
      </c>
      <c r="AK124" s="12">
        <v>2.0303030303030303</v>
      </c>
      <c r="AL124" s="12">
        <f t="shared" si="202"/>
        <v>0.55038422999999992</v>
      </c>
      <c r="AM124" s="12">
        <f t="shared" si="203"/>
        <v>0.9173070499999999</v>
      </c>
      <c r="AN124" s="18">
        <f t="shared" si="204"/>
        <v>2.2932676249999995E-3</v>
      </c>
      <c r="AO124" s="8">
        <f t="shared" si="205"/>
        <v>5.2745155374999991E-2</v>
      </c>
      <c r="AP124" s="12">
        <f t="shared" si="206"/>
        <v>0.86226862699999984</v>
      </c>
      <c r="AQ124" s="12">
        <f t="shared" si="207"/>
        <v>1.8624112833333331</v>
      </c>
      <c r="AR124" s="18">
        <f t="shared" si="208"/>
        <v>1.9265741317624999E-2</v>
      </c>
      <c r="AS124" s="8">
        <f t="shared" si="209"/>
        <v>0.12686356501499998</v>
      </c>
      <c r="AT124" s="8">
        <f t="shared" si="210"/>
        <v>7.9117733062499987E-2</v>
      </c>
      <c r="AU124" s="8">
        <f t="shared" si="211"/>
        <v>1.2934029404999998</v>
      </c>
      <c r="AV124" s="8">
        <f t="shared" si="212"/>
        <v>13.036878983333331</v>
      </c>
      <c r="AW124" s="8">
        <f t="shared" si="213"/>
        <v>2.8898611976437491E-2</v>
      </c>
      <c r="AX124" s="8">
        <f t="shared" si="214"/>
        <v>0.19029534752249996</v>
      </c>
      <c r="AY124" s="495">
        <f t="shared" si="183"/>
        <v>5.9216013344453707E-2</v>
      </c>
      <c r="AZ124" s="8">
        <f t="shared" si="215"/>
        <v>1.452E-2</v>
      </c>
      <c r="BA124" s="6">
        <v>1.5</v>
      </c>
      <c r="BB124" s="6">
        <v>1.5</v>
      </c>
      <c r="BC124" s="6">
        <v>7</v>
      </c>
      <c r="BD124" s="15">
        <v>7.0999999999999994E-2</v>
      </c>
      <c r="BE124" s="13">
        <v>0.28000000000000003</v>
      </c>
      <c r="BF124" s="15">
        <v>1.7999999999999999E-2</v>
      </c>
      <c r="BG124" s="13">
        <v>0.13</v>
      </c>
      <c r="BH124" s="28">
        <f t="shared" si="216"/>
        <v>5.0826050000000005E-3</v>
      </c>
      <c r="BI124" s="15">
        <f t="shared" si="217"/>
        <v>3.3468600000000001E-2</v>
      </c>
      <c r="BJ124" s="12">
        <v>3.9393939393939394</v>
      </c>
      <c r="BK124" s="12">
        <v>1</v>
      </c>
      <c r="BL124" s="7">
        <v>7.5</v>
      </c>
      <c r="BM124" s="7">
        <v>29</v>
      </c>
      <c r="BN124" s="7">
        <v>63.5</v>
      </c>
      <c r="BO124" s="8">
        <f t="shared" si="218"/>
        <v>2.1681802999999999E-2</v>
      </c>
      <c r="BP124" s="8">
        <f t="shared" si="219"/>
        <v>2.1681802999999999E-2</v>
      </c>
      <c r="BQ124" s="8">
        <f t="shared" si="220"/>
        <v>1.6261352249999999E-3</v>
      </c>
      <c r="BR124" s="8">
        <f t="shared" si="221"/>
        <v>6.2877228699999991E-3</v>
      </c>
      <c r="BS124" s="8">
        <f t="shared" si="222"/>
        <v>1.3767944904999999E-2</v>
      </c>
      <c r="BT124" s="18">
        <f t="shared" si="223"/>
        <v>1.102628091565E-3</v>
      </c>
      <c r="BU124" s="8">
        <f t="shared" si="224"/>
        <v>5.3944325864E-3</v>
      </c>
      <c r="BV124" s="8">
        <f t="shared" si="225"/>
        <v>9.431584304999999E-3</v>
      </c>
      <c r="BW124" s="8">
        <f t="shared" si="226"/>
        <v>2.0651917357500001E-2</v>
      </c>
      <c r="BX124" s="18">
        <f t="shared" si="227"/>
        <v>1.6539421373475E-3</v>
      </c>
      <c r="BY124" s="8">
        <f t="shared" si="228"/>
        <v>8.0916488796000004E-3</v>
      </c>
      <c r="BZ124" s="12">
        <f t="shared" si="229"/>
        <v>0.36499999999999999</v>
      </c>
      <c r="CA124" s="12">
        <f t="shared" si="184"/>
        <v>0.30646153846153845</v>
      </c>
      <c r="CB124" s="6">
        <v>1.5</v>
      </c>
      <c r="CC124" s="6">
        <v>1.5</v>
      </c>
      <c r="CD124" s="15">
        <v>0.125</v>
      </c>
      <c r="CE124" s="13">
        <v>0.42</v>
      </c>
      <c r="CF124" s="15">
        <v>2.3E-2</v>
      </c>
      <c r="CG124" s="13">
        <v>0.2</v>
      </c>
      <c r="CH124" s="28">
        <f t="shared" si="245"/>
        <v>2.9089060000000002E-4</v>
      </c>
      <c r="CI124" s="15">
        <f t="shared" si="230"/>
        <v>1.4231360000000002E-3</v>
      </c>
      <c r="CJ124" s="12">
        <v>3.9393939393939394</v>
      </c>
      <c r="CK124" s="12">
        <v>1</v>
      </c>
      <c r="CL124" s="7">
        <v>3</v>
      </c>
      <c r="CM124" s="7">
        <v>19</v>
      </c>
      <c r="CN124" s="7">
        <v>78</v>
      </c>
      <c r="CO124" s="8">
        <f t="shared" si="231"/>
        <v>2.1681802999999999E-2</v>
      </c>
      <c r="CP124" s="8">
        <f t="shared" si="232"/>
        <v>2.1681802999999999E-2</v>
      </c>
      <c r="CQ124" s="18">
        <f t="shared" si="233"/>
        <v>6.5045408999999993E-4</v>
      </c>
      <c r="CR124" s="8">
        <f t="shared" si="234"/>
        <v>4.1195425699999998E-3</v>
      </c>
      <c r="CS124" s="8">
        <f t="shared" si="235"/>
        <v>1.6911806340000002E-2</v>
      </c>
      <c r="CT124" s="18">
        <f t="shared" si="236"/>
        <v>7.6710219014000007E-4</v>
      </c>
      <c r="CU124" s="8">
        <f t="shared" si="237"/>
        <v>4.1433925532999996E-3</v>
      </c>
      <c r="CV124" s="8">
        <f t="shared" si="238"/>
        <v>6.1793138550000001E-3</v>
      </c>
      <c r="CW124" s="8">
        <f t="shared" si="239"/>
        <v>2.5367709510000003E-2</v>
      </c>
      <c r="CX124" s="18">
        <f t="shared" si="240"/>
        <v>1.1506532852100001E-3</v>
      </c>
      <c r="CY124" s="8">
        <f t="shared" si="241"/>
        <v>6.2150888299499999E-3</v>
      </c>
      <c r="CZ124" s="12">
        <f t="shared" si="242"/>
        <v>0.22</v>
      </c>
      <c r="DA124" s="12">
        <f t="shared" si="186"/>
        <v>0.21323232323232319</v>
      </c>
      <c r="DB124" s="6">
        <v>1.5</v>
      </c>
      <c r="DC124" s="6">
        <v>1.5</v>
      </c>
      <c r="DD124" s="15">
        <v>0.1</v>
      </c>
      <c r="DE124" s="13">
        <v>0.39</v>
      </c>
      <c r="DF124" s="15">
        <v>2.1000000000000001E-2</v>
      </c>
      <c r="DG124" s="13">
        <v>0.15</v>
      </c>
      <c r="DH124" s="28">
        <f t="shared" si="243"/>
        <v>2.0237360000000004E-4</v>
      </c>
      <c r="DI124" s="29">
        <f t="shared" si="244"/>
        <v>1.0930919999999999E-3</v>
      </c>
    </row>
    <row r="125" spans="1:113" x14ac:dyDescent="0.25">
      <c r="A125" s="85">
        <v>117</v>
      </c>
      <c r="B125" s="19" t="s">
        <v>36</v>
      </c>
      <c r="C125" s="31" t="s">
        <v>24</v>
      </c>
      <c r="D125" s="19" t="s">
        <v>173</v>
      </c>
      <c r="E125" s="33">
        <v>4</v>
      </c>
      <c r="F125" s="9">
        <v>60</v>
      </c>
      <c r="G125" s="32" t="s">
        <v>99</v>
      </c>
      <c r="H125" s="19" t="s">
        <v>10</v>
      </c>
      <c r="I125" s="19" t="s">
        <v>6</v>
      </c>
      <c r="J125" s="32" t="s">
        <v>99</v>
      </c>
      <c r="K125" s="2" t="str">
        <f t="shared" si="187"/>
        <v>Kommunal Tätort 4F 60 - GIF Y</v>
      </c>
      <c r="L125" s="2"/>
      <c r="M125" s="32" t="s">
        <v>99</v>
      </c>
      <c r="N125" s="53">
        <f>'Beräkna - Länk'!$C$26</f>
        <v>1</v>
      </c>
      <c r="O125" s="53">
        <f>'Beräkna - Länk'!$C$24/('Beräkna - Länk'!$C$27)^('Beräkna - Länk'!$C$25-2010)</f>
        <v>10385</v>
      </c>
      <c r="P125" s="13">
        <f t="shared" si="188"/>
        <v>3.7905249999999997</v>
      </c>
      <c r="Q125" s="13">
        <f t="shared" si="189"/>
        <v>0.54394033749999993</v>
      </c>
      <c r="R125" s="13">
        <f t="shared" si="190"/>
        <v>0.96355145499999983</v>
      </c>
      <c r="S125" s="28">
        <f t="shared" si="191"/>
        <v>3.9629938874999994E-3</v>
      </c>
      <c r="T125" s="15">
        <f t="shared" si="192"/>
        <v>6.1076729324999995E-2</v>
      </c>
      <c r="U125" s="13">
        <f t="shared" si="193"/>
        <v>0.89851173178749988</v>
      </c>
      <c r="V125" s="13">
        <f t="shared" si="194"/>
        <v>1.8931949409090907</v>
      </c>
      <c r="W125" s="15">
        <f t="shared" si="195"/>
        <v>2.0924374608712496E-2</v>
      </c>
      <c r="X125" s="15">
        <f t="shared" si="196"/>
        <v>0.13579703642974997</v>
      </c>
      <c r="Y125" s="15">
        <f t="shared" si="197"/>
        <v>9.1615093987499993E-2</v>
      </c>
      <c r="Z125" s="14">
        <f t="shared" si="198"/>
        <v>1.3477675976812495</v>
      </c>
      <c r="AA125" s="14">
        <f t="shared" si="199"/>
        <v>13.252364586363635</v>
      </c>
      <c r="AB125" s="13">
        <f t="shared" si="200"/>
        <v>3.1386561913068739E-2</v>
      </c>
      <c r="AC125" s="14">
        <f t="shared" si="201"/>
        <v>0.20369555464462497</v>
      </c>
      <c r="AD125" s="13">
        <f t="shared" si="181"/>
        <v>6.6219817491722552E-2</v>
      </c>
      <c r="AE125" s="15">
        <f t="shared" si="182"/>
        <v>2.5215000000000001E-2</v>
      </c>
      <c r="AF125" s="8">
        <v>0.1353</v>
      </c>
      <c r="AG125" s="12">
        <v>1.8181818181818181</v>
      </c>
      <c r="AH125" s="12">
        <v>0.25</v>
      </c>
      <c r="AI125" s="12">
        <v>5.75</v>
      </c>
      <c r="AJ125" s="7">
        <v>94</v>
      </c>
      <c r="AK125" s="12">
        <v>2.0303030303030303</v>
      </c>
      <c r="AL125" s="12">
        <f t="shared" si="202"/>
        <v>0.51285803249999995</v>
      </c>
      <c r="AM125" s="12">
        <f t="shared" si="203"/>
        <v>0.93246914999999986</v>
      </c>
      <c r="AN125" s="18">
        <f t="shared" si="204"/>
        <v>2.3311728749999998E-3</v>
      </c>
      <c r="AO125" s="8">
        <f t="shared" si="205"/>
        <v>5.3616976124999993E-2</v>
      </c>
      <c r="AP125" s="12">
        <f t="shared" si="206"/>
        <v>0.87652100099999986</v>
      </c>
      <c r="AQ125" s="12">
        <f t="shared" si="207"/>
        <v>1.8931949409090907</v>
      </c>
      <c r="AR125" s="18">
        <f t="shared" si="208"/>
        <v>1.9584183322874999E-2</v>
      </c>
      <c r="AS125" s="8">
        <f t="shared" si="209"/>
        <v>0.12896048344499997</v>
      </c>
      <c r="AT125" s="8">
        <f t="shared" si="210"/>
        <v>8.042546418749999E-2</v>
      </c>
      <c r="AU125" s="8">
        <f t="shared" si="211"/>
        <v>1.3147815014999997</v>
      </c>
      <c r="AV125" s="8">
        <f t="shared" si="212"/>
        <v>13.252364586363635</v>
      </c>
      <c r="AW125" s="8">
        <f t="shared" si="213"/>
        <v>2.9376274984312493E-2</v>
      </c>
      <c r="AX125" s="8">
        <f t="shared" si="214"/>
        <v>0.19344072516749997</v>
      </c>
      <c r="AY125" s="495">
        <f t="shared" si="183"/>
        <v>5.9216013344453713E-2</v>
      </c>
      <c r="AZ125" s="8">
        <f t="shared" si="215"/>
        <v>1.4760000000000002E-2</v>
      </c>
      <c r="BA125" s="6">
        <v>1.5</v>
      </c>
      <c r="BB125" s="6">
        <v>1.5</v>
      </c>
      <c r="BC125" s="6">
        <v>7</v>
      </c>
      <c r="BD125" s="15">
        <v>7.0999999999999994E-2</v>
      </c>
      <c r="BE125" s="13">
        <v>0.28000000000000003</v>
      </c>
      <c r="BF125" s="15">
        <v>1.7999999999999999E-2</v>
      </c>
      <c r="BG125" s="13">
        <v>0.13</v>
      </c>
      <c r="BH125" s="28">
        <f t="shared" si="216"/>
        <v>5.1666150000000003E-3</v>
      </c>
      <c r="BI125" s="15">
        <f t="shared" si="217"/>
        <v>3.4021799999999998E-2</v>
      </c>
      <c r="BJ125" s="12">
        <v>3.0303030303030303</v>
      </c>
      <c r="BK125" s="12">
        <v>1</v>
      </c>
      <c r="BL125" s="7">
        <v>7.5</v>
      </c>
      <c r="BM125" s="7">
        <v>29</v>
      </c>
      <c r="BN125" s="7">
        <v>63.5</v>
      </c>
      <c r="BO125" s="8">
        <f t="shared" si="218"/>
        <v>1.5541152499999999E-2</v>
      </c>
      <c r="BP125" s="8">
        <f t="shared" si="219"/>
        <v>1.5541152499999999E-2</v>
      </c>
      <c r="BQ125" s="8">
        <f t="shared" si="220"/>
        <v>1.1655864374999999E-3</v>
      </c>
      <c r="BR125" s="8">
        <f t="shared" si="221"/>
        <v>4.5069342249999993E-3</v>
      </c>
      <c r="BS125" s="8">
        <f t="shared" si="222"/>
        <v>9.8686318374999991E-3</v>
      </c>
      <c r="BT125" s="18">
        <f t="shared" si="223"/>
        <v>7.9034531038749991E-4</v>
      </c>
      <c r="BU125" s="8">
        <f t="shared" si="224"/>
        <v>3.8666387420000004E-3</v>
      </c>
      <c r="BV125" s="8">
        <f t="shared" si="225"/>
        <v>6.7604013374999994E-3</v>
      </c>
      <c r="BW125" s="8">
        <f t="shared" si="226"/>
        <v>1.4802947756249999E-2</v>
      </c>
      <c r="BX125" s="18">
        <f t="shared" si="227"/>
        <v>1.18551796558125E-3</v>
      </c>
      <c r="BY125" s="8">
        <f t="shared" si="228"/>
        <v>5.7999581129999991E-3</v>
      </c>
      <c r="BZ125" s="12">
        <f t="shared" si="229"/>
        <v>0.36499999999999999</v>
      </c>
      <c r="CA125" s="12">
        <f t="shared" si="184"/>
        <v>0.30646153846153845</v>
      </c>
      <c r="CB125" s="6">
        <v>1.5</v>
      </c>
      <c r="CC125" s="6">
        <v>1.5</v>
      </c>
      <c r="CD125" s="15">
        <v>0.125</v>
      </c>
      <c r="CE125" s="13">
        <v>0.42</v>
      </c>
      <c r="CF125" s="15">
        <v>2.3E-2</v>
      </c>
      <c r="CG125" s="13">
        <v>0.2</v>
      </c>
      <c r="CH125" s="28">
        <f t="shared" si="245"/>
        <v>2.0850549999999998E-4</v>
      </c>
      <c r="CI125" s="15">
        <f t="shared" si="230"/>
        <v>1.0200800000000002E-3</v>
      </c>
      <c r="CJ125" s="12">
        <v>3.0303030303030303</v>
      </c>
      <c r="CK125" s="12">
        <v>1</v>
      </c>
      <c r="CL125" s="7">
        <v>3</v>
      </c>
      <c r="CM125" s="7">
        <v>19</v>
      </c>
      <c r="CN125" s="7">
        <v>78</v>
      </c>
      <c r="CO125" s="8">
        <f t="shared" si="231"/>
        <v>1.5541152499999999E-2</v>
      </c>
      <c r="CP125" s="8">
        <f t="shared" si="232"/>
        <v>1.5541152499999999E-2</v>
      </c>
      <c r="CQ125" s="18">
        <f t="shared" si="233"/>
        <v>4.6623457499999992E-4</v>
      </c>
      <c r="CR125" s="8">
        <f t="shared" si="234"/>
        <v>2.9528189749999999E-3</v>
      </c>
      <c r="CS125" s="8">
        <f t="shared" si="235"/>
        <v>1.212209895E-2</v>
      </c>
      <c r="CT125" s="18">
        <f t="shared" si="236"/>
        <v>5.4984597545000005E-4</v>
      </c>
      <c r="CU125" s="8">
        <f t="shared" si="237"/>
        <v>2.9699142427499999E-3</v>
      </c>
      <c r="CV125" s="8">
        <f t="shared" si="238"/>
        <v>4.4292284624999996E-3</v>
      </c>
      <c r="CW125" s="8">
        <f t="shared" si="239"/>
        <v>1.8183148425E-2</v>
      </c>
      <c r="CX125" s="18">
        <f t="shared" si="240"/>
        <v>8.2476896317500007E-4</v>
      </c>
      <c r="CY125" s="8">
        <f t="shared" si="241"/>
        <v>4.4548713641250001E-3</v>
      </c>
      <c r="CZ125" s="12">
        <f t="shared" si="242"/>
        <v>0.22</v>
      </c>
      <c r="DA125" s="12">
        <f t="shared" si="186"/>
        <v>0.21323232323232325</v>
      </c>
      <c r="DB125" s="6">
        <v>1.5</v>
      </c>
      <c r="DC125" s="6">
        <v>1.5</v>
      </c>
      <c r="DD125" s="15">
        <v>0.1</v>
      </c>
      <c r="DE125" s="13">
        <v>0.39</v>
      </c>
      <c r="DF125" s="15">
        <v>2.1000000000000001E-2</v>
      </c>
      <c r="DG125" s="13">
        <v>0.15</v>
      </c>
      <c r="DH125" s="28">
        <f t="shared" si="243"/>
        <v>1.4505800000000002E-4</v>
      </c>
      <c r="DI125" s="29">
        <f t="shared" si="244"/>
        <v>7.8351000000000007E-4</v>
      </c>
    </row>
    <row r="126" spans="1:113" x14ac:dyDescent="0.25">
      <c r="A126" s="85">
        <v>118</v>
      </c>
      <c r="B126" s="19" t="s">
        <v>36</v>
      </c>
      <c r="C126" s="31" t="s">
        <v>24</v>
      </c>
      <c r="D126" s="19" t="s">
        <v>173</v>
      </c>
      <c r="E126" s="33">
        <v>4</v>
      </c>
      <c r="F126" s="9">
        <v>60</v>
      </c>
      <c r="G126" s="32" t="s">
        <v>99</v>
      </c>
      <c r="H126" s="33" t="s">
        <v>25</v>
      </c>
      <c r="I126" s="19" t="s">
        <v>5</v>
      </c>
      <c r="J126" s="32" t="s">
        <v>99</v>
      </c>
      <c r="K126" s="2" t="str">
        <f t="shared" si="187"/>
        <v>Kommunal Tätort 4F 60 - Tangent M</v>
      </c>
      <c r="L126" s="2"/>
      <c r="M126" s="32" t="s">
        <v>99</v>
      </c>
      <c r="N126" s="53">
        <f>'Beräkna - Länk'!$C$26</f>
        <v>1</v>
      </c>
      <c r="O126" s="53">
        <f>'Beräkna - Länk'!$C$24/('Beräkna - Länk'!$C$27)^('Beräkna - Länk'!$C$25-2010)</f>
        <v>10385</v>
      </c>
      <c r="P126" s="13">
        <f t="shared" si="188"/>
        <v>3.7905249999999997</v>
      </c>
      <c r="Q126" s="13">
        <f t="shared" si="189"/>
        <v>0.64408600799999993</v>
      </c>
      <c r="R126" s="13">
        <f t="shared" si="190"/>
        <v>1.026170928</v>
      </c>
      <c r="S126" s="28">
        <f t="shared" si="191"/>
        <v>4.7487697199999996E-3</v>
      </c>
      <c r="T126" s="15">
        <f t="shared" si="192"/>
        <v>6.6974028120000001E-2</v>
      </c>
      <c r="U126" s="13">
        <f t="shared" si="193"/>
        <v>0.95444813015999996</v>
      </c>
      <c r="V126" s="13">
        <f t="shared" si="194"/>
        <v>1.9947810109090909</v>
      </c>
      <c r="W126" s="15">
        <f t="shared" si="195"/>
        <v>2.2517847258839999E-2</v>
      </c>
      <c r="X126" s="15">
        <f t="shared" si="196"/>
        <v>0.14548483748159999</v>
      </c>
      <c r="Y126" s="15">
        <f t="shared" si="197"/>
        <v>0.10046104218000002</v>
      </c>
      <c r="Z126" s="14">
        <f t="shared" si="198"/>
        <v>1.43167219524</v>
      </c>
      <c r="AA126" s="14">
        <f t="shared" si="199"/>
        <v>13.963467076363637</v>
      </c>
      <c r="AB126" s="13">
        <f t="shared" si="200"/>
        <v>3.3776770888259998E-2</v>
      </c>
      <c r="AC126" s="14">
        <f t="shared" si="201"/>
        <v>0.2182272562224</v>
      </c>
      <c r="AD126" s="13">
        <f t="shared" si="181"/>
        <v>6.8456661872036667E-2</v>
      </c>
      <c r="AE126" s="15">
        <f t="shared" si="182"/>
        <v>2.7756000000000006E-2</v>
      </c>
      <c r="AF126" s="8">
        <v>0.15839999999999999</v>
      </c>
      <c r="AG126" s="12">
        <v>1.6363636363636365</v>
      </c>
      <c r="AH126" s="12">
        <v>0.25</v>
      </c>
      <c r="AI126" s="12">
        <v>5.75</v>
      </c>
      <c r="AJ126" s="7">
        <v>94</v>
      </c>
      <c r="AK126" s="12">
        <v>2.0303030303030303</v>
      </c>
      <c r="AL126" s="12">
        <f t="shared" si="202"/>
        <v>0.60041915999999995</v>
      </c>
      <c r="AM126" s="12">
        <f t="shared" si="203"/>
        <v>0.98250408</v>
      </c>
      <c r="AN126" s="18">
        <f t="shared" si="204"/>
        <v>2.4562602000000001E-3</v>
      </c>
      <c r="AO126" s="8">
        <f t="shared" si="205"/>
        <v>5.6493984600000005E-2</v>
      </c>
      <c r="AP126" s="12">
        <f t="shared" si="206"/>
        <v>0.92355383520000001</v>
      </c>
      <c r="AQ126" s="12">
        <f t="shared" si="207"/>
        <v>1.9947810109090909</v>
      </c>
      <c r="AR126" s="18">
        <f t="shared" si="208"/>
        <v>2.0635041940200001E-2</v>
      </c>
      <c r="AS126" s="8">
        <f t="shared" si="209"/>
        <v>0.13588031426399999</v>
      </c>
      <c r="AT126" s="8">
        <f t="shared" si="210"/>
        <v>8.4740976900000015E-2</v>
      </c>
      <c r="AU126" s="8">
        <f t="shared" si="211"/>
        <v>1.3853307528000001</v>
      </c>
      <c r="AV126" s="8">
        <f t="shared" si="212"/>
        <v>13.963467076363637</v>
      </c>
      <c r="AW126" s="8">
        <f t="shared" si="213"/>
        <v>3.0952562910300001E-2</v>
      </c>
      <c r="AX126" s="8">
        <f t="shared" si="214"/>
        <v>0.20382047139600001</v>
      </c>
      <c r="AY126" s="495">
        <f t="shared" si="183"/>
        <v>5.921601334445372E-2</v>
      </c>
      <c r="AZ126" s="8">
        <f t="shared" si="215"/>
        <v>1.5552E-2</v>
      </c>
      <c r="BA126" s="6">
        <v>1.5</v>
      </c>
      <c r="BB126" s="6">
        <v>1.5</v>
      </c>
      <c r="BC126" s="6">
        <v>7</v>
      </c>
      <c r="BD126" s="15">
        <v>7.0999999999999994E-2</v>
      </c>
      <c r="BE126" s="13">
        <v>0.28000000000000003</v>
      </c>
      <c r="BF126" s="15">
        <v>1.7999999999999999E-2</v>
      </c>
      <c r="BG126" s="13">
        <v>0.13</v>
      </c>
      <c r="BH126" s="28">
        <f t="shared" si="216"/>
        <v>5.4438480000000003E-3</v>
      </c>
      <c r="BI126" s="15">
        <f t="shared" si="217"/>
        <v>3.5847360000000002E-2</v>
      </c>
      <c r="BJ126" s="12">
        <v>3.6363636363636362</v>
      </c>
      <c r="BK126" s="12">
        <v>1</v>
      </c>
      <c r="BL126" s="7">
        <v>7.5</v>
      </c>
      <c r="BM126" s="7">
        <v>29</v>
      </c>
      <c r="BN126" s="7">
        <v>63.5</v>
      </c>
      <c r="BO126" s="8">
        <f t="shared" si="218"/>
        <v>2.1833423999999997E-2</v>
      </c>
      <c r="BP126" s="8">
        <f t="shared" si="219"/>
        <v>2.1833423999999997E-2</v>
      </c>
      <c r="BQ126" s="8">
        <f t="shared" si="220"/>
        <v>1.6375067999999998E-3</v>
      </c>
      <c r="BR126" s="8">
        <f t="shared" si="221"/>
        <v>6.3316929599999986E-3</v>
      </c>
      <c r="BS126" s="8">
        <f t="shared" si="222"/>
        <v>1.3864224239999999E-2</v>
      </c>
      <c r="BT126" s="18">
        <f t="shared" si="223"/>
        <v>1.1103387775199998E-3</v>
      </c>
      <c r="BU126" s="8">
        <f t="shared" si="224"/>
        <v>5.4321558912000002E-3</v>
      </c>
      <c r="BV126" s="8">
        <f t="shared" si="225"/>
        <v>9.4975394399999975E-3</v>
      </c>
      <c r="BW126" s="8">
        <f t="shared" si="226"/>
        <v>2.0796336359999997E-2</v>
      </c>
      <c r="BX126" s="18">
        <f t="shared" si="227"/>
        <v>1.6655081662799995E-3</v>
      </c>
      <c r="BY126" s="8">
        <f t="shared" si="228"/>
        <v>8.1482338367999986E-3</v>
      </c>
      <c r="BZ126" s="12">
        <f t="shared" si="229"/>
        <v>0.36499999999999999</v>
      </c>
      <c r="CA126" s="12">
        <f t="shared" si="184"/>
        <v>0.30646153846153851</v>
      </c>
      <c r="CB126" s="6">
        <v>1.5</v>
      </c>
      <c r="CC126" s="6">
        <v>1.5</v>
      </c>
      <c r="CD126" s="15">
        <v>0.125</v>
      </c>
      <c r="CE126" s="13">
        <v>0.42</v>
      </c>
      <c r="CF126" s="15">
        <v>2.3E-2</v>
      </c>
      <c r="CG126" s="13">
        <v>0.2</v>
      </c>
      <c r="CH126" s="28">
        <f t="shared" si="245"/>
        <v>2.9292479999999996E-4</v>
      </c>
      <c r="CI126" s="15">
        <f t="shared" si="230"/>
        <v>1.4330880000000001E-3</v>
      </c>
      <c r="CJ126" s="12">
        <v>3.6363636363636362</v>
      </c>
      <c r="CK126" s="12">
        <v>1</v>
      </c>
      <c r="CL126" s="7">
        <v>3</v>
      </c>
      <c r="CM126" s="7">
        <v>19</v>
      </c>
      <c r="CN126" s="7">
        <v>78</v>
      </c>
      <c r="CO126" s="8">
        <f t="shared" si="231"/>
        <v>2.1833423999999997E-2</v>
      </c>
      <c r="CP126" s="8">
        <f t="shared" si="232"/>
        <v>2.1833423999999997E-2</v>
      </c>
      <c r="CQ126" s="18">
        <f t="shared" si="233"/>
        <v>6.5500271999999985E-4</v>
      </c>
      <c r="CR126" s="8">
        <f t="shared" si="234"/>
        <v>4.1483505599999998E-3</v>
      </c>
      <c r="CS126" s="8">
        <f t="shared" si="235"/>
        <v>1.7030070719999998E-2</v>
      </c>
      <c r="CT126" s="18">
        <f t="shared" si="236"/>
        <v>7.7246654111999991E-4</v>
      </c>
      <c r="CU126" s="8">
        <f t="shared" si="237"/>
        <v>4.1723673263999997E-3</v>
      </c>
      <c r="CV126" s="8">
        <f t="shared" si="238"/>
        <v>6.2225258399999997E-3</v>
      </c>
      <c r="CW126" s="8">
        <f t="shared" si="239"/>
        <v>2.5545106079999998E-2</v>
      </c>
      <c r="CX126" s="18">
        <f t="shared" si="240"/>
        <v>1.1586998116800001E-3</v>
      </c>
      <c r="CY126" s="8">
        <f t="shared" si="241"/>
        <v>6.258550989599999E-3</v>
      </c>
      <c r="CZ126" s="12">
        <f t="shared" si="242"/>
        <v>0.22</v>
      </c>
      <c r="DA126" s="12">
        <f t="shared" si="186"/>
        <v>0.21323232323232322</v>
      </c>
      <c r="DB126" s="6">
        <v>1.5</v>
      </c>
      <c r="DC126" s="6">
        <v>1.5</v>
      </c>
      <c r="DD126" s="15">
        <v>0.1</v>
      </c>
      <c r="DE126" s="13">
        <v>0.39</v>
      </c>
      <c r="DF126" s="15">
        <v>2.1000000000000001E-2</v>
      </c>
      <c r="DG126" s="13">
        <v>0.15</v>
      </c>
      <c r="DH126" s="28">
        <f t="shared" si="243"/>
        <v>2.037888E-4</v>
      </c>
      <c r="DI126" s="29">
        <f t="shared" si="244"/>
        <v>1.1007359999999999E-3</v>
      </c>
    </row>
    <row r="127" spans="1:113" x14ac:dyDescent="0.25">
      <c r="A127" s="85">
        <v>119</v>
      </c>
      <c r="B127" s="19" t="s">
        <v>36</v>
      </c>
      <c r="C127" s="31" t="s">
        <v>24</v>
      </c>
      <c r="D127" s="19" t="s">
        <v>173</v>
      </c>
      <c r="E127" s="33">
        <v>4</v>
      </c>
      <c r="F127" s="9">
        <v>60</v>
      </c>
      <c r="G127" s="32" t="s">
        <v>99</v>
      </c>
      <c r="H127" s="33" t="s">
        <v>25</v>
      </c>
      <c r="I127" s="19" t="s">
        <v>6</v>
      </c>
      <c r="J127" s="32" t="s">
        <v>99</v>
      </c>
      <c r="K127" s="2" t="str">
        <f t="shared" si="187"/>
        <v>Kommunal Tätort 4F 60 - Tangent Y</v>
      </c>
      <c r="L127" s="2"/>
      <c r="M127" s="32" t="s">
        <v>99</v>
      </c>
      <c r="N127" s="53">
        <f>'Beräkna - Länk'!$C$26</f>
        <v>1</v>
      </c>
      <c r="O127" s="53">
        <f>'Beräkna - Länk'!$C$24/('Beräkna - Länk'!$C$27)^('Beräkna - Länk'!$C$25-2010)</f>
        <v>10385</v>
      </c>
      <c r="P127" s="13">
        <f t="shared" si="188"/>
        <v>3.7905249999999997</v>
      </c>
      <c r="Q127" s="13">
        <f t="shared" si="189"/>
        <v>0.58374084999999987</v>
      </c>
      <c r="R127" s="13">
        <f t="shared" si="190"/>
        <v>1.0006985999999998</v>
      </c>
      <c r="S127" s="28">
        <f t="shared" si="191"/>
        <v>4.1695774999999996E-3</v>
      </c>
      <c r="T127" s="15">
        <f t="shared" si="192"/>
        <v>6.362775264999998E-2</v>
      </c>
      <c r="U127" s="13">
        <f t="shared" si="193"/>
        <v>0.93290126984999977</v>
      </c>
      <c r="V127" s="13">
        <f t="shared" si="194"/>
        <v>1.9639973533333328</v>
      </c>
      <c r="W127" s="15">
        <f t="shared" si="195"/>
        <v>2.1754853997799993E-2</v>
      </c>
      <c r="X127" s="15">
        <f t="shared" si="196"/>
        <v>0.14112018440299998</v>
      </c>
      <c r="Y127" s="15">
        <f t="shared" si="197"/>
        <v>9.5441628974999956E-2</v>
      </c>
      <c r="Z127" s="14">
        <f t="shared" si="198"/>
        <v>1.3993519047749996</v>
      </c>
      <c r="AA127" s="14">
        <f t="shared" si="199"/>
        <v>13.747981473333329</v>
      </c>
      <c r="AB127" s="13">
        <f t="shared" si="200"/>
        <v>3.2632280996699993E-2</v>
      </c>
      <c r="AC127" s="14">
        <f t="shared" si="201"/>
        <v>0.21168027660449995</v>
      </c>
      <c r="AD127" s="13">
        <f t="shared" si="181"/>
        <v>6.6453407510431148E-2</v>
      </c>
      <c r="AE127" s="15">
        <f t="shared" si="182"/>
        <v>2.627899999999999E-2</v>
      </c>
      <c r="AF127" s="8">
        <v>0.1452</v>
      </c>
      <c r="AG127" s="12">
        <v>1.7575757575757573</v>
      </c>
      <c r="AH127" s="12">
        <v>0.25</v>
      </c>
      <c r="AI127" s="12">
        <v>5.75</v>
      </c>
      <c r="AJ127" s="7">
        <v>94</v>
      </c>
      <c r="AK127" s="12">
        <v>2.0303030303030303</v>
      </c>
      <c r="AL127" s="12">
        <f t="shared" si="202"/>
        <v>0.55038422999999992</v>
      </c>
      <c r="AM127" s="12">
        <f t="shared" si="203"/>
        <v>0.96734197999999971</v>
      </c>
      <c r="AN127" s="18">
        <f t="shared" si="204"/>
        <v>2.4183549499999994E-3</v>
      </c>
      <c r="AO127" s="8">
        <f t="shared" si="205"/>
        <v>5.5622163849999982E-2</v>
      </c>
      <c r="AP127" s="12">
        <f t="shared" si="206"/>
        <v>0.90930146119999977</v>
      </c>
      <c r="AQ127" s="12">
        <f t="shared" si="207"/>
        <v>1.9639973533333328</v>
      </c>
      <c r="AR127" s="18">
        <f t="shared" si="208"/>
        <v>2.0316599934949994E-2</v>
      </c>
      <c r="AS127" s="8">
        <f t="shared" si="209"/>
        <v>0.13378339583399998</v>
      </c>
      <c r="AT127" s="8">
        <f t="shared" si="210"/>
        <v>8.343324577499997E-2</v>
      </c>
      <c r="AU127" s="8">
        <f t="shared" si="211"/>
        <v>1.3639521917999997</v>
      </c>
      <c r="AV127" s="8">
        <f t="shared" si="212"/>
        <v>13.747981473333329</v>
      </c>
      <c r="AW127" s="8">
        <f t="shared" si="213"/>
        <v>3.0474899902424989E-2</v>
      </c>
      <c r="AX127" s="8">
        <f t="shared" si="214"/>
        <v>0.20067509375099996</v>
      </c>
      <c r="AY127" s="495">
        <f t="shared" si="183"/>
        <v>5.9216013344453707E-2</v>
      </c>
      <c r="AZ127" s="8">
        <f t="shared" si="215"/>
        <v>1.5311999999999999E-2</v>
      </c>
      <c r="BA127" s="6">
        <v>1.5</v>
      </c>
      <c r="BB127" s="6">
        <v>1.5</v>
      </c>
      <c r="BC127" s="6">
        <v>7</v>
      </c>
      <c r="BD127" s="15">
        <v>7.0999999999999994E-2</v>
      </c>
      <c r="BE127" s="13">
        <v>0.28000000000000003</v>
      </c>
      <c r="BF127" s="15">
        <v>1.7999999999999999E-2</v>
      </c>
      <c r="BG127" s="13">
        <v>0.13</v>
      </c>
      <c r="BH127" s="28">
        <f t="shared" si="216"/>
        <v>5.3598379999999987E-3</v>
      </c>
      <c r="BI127" s="15">
        <f t="shared" si="217"/>
        <v>3.5294159999999998E-2</v>
      </c>
      <c r="BJ127" s="12">
        <v>3.0303030303030303</v>
      </c>
      <c r="BK127" s="12">
        <v>1</v>
      </c>
      <c r="BL127" s="7">
        <v>7.5</v>
      </c>
      <c r="BM127" s="7">
        <v>29</v>
      </c>
      <c r="BN127" s="7">
        <v>63.5</v>
      </c>
      <c r="BO127" s="8">
        <f t="shared" si="218"/>
        <v>1.6678309999999998E-2</v>
      </c>
      <c r="BP127" s="8">
        <f t="shared" si="219"/>
        <v>1.6678309999999998E-2</v>
      </c>
      <c r="BQ127" s="8">
        <f t="shared" si="220"/>
        <v>1.2508732499999999E-3</v>
      </c>
      <c r="BR127" s="8">
        <f t="shared" si="221"/>
        <v>4.8367098999999988E-3</v>
      </c>
      <c r="BS127" s="8">
        <f t="shared" si="222"/>
        <v>1.0590726849999999E-2</v>
      </c>
      <c r="BT127" s="18">
        <f t="shared" si="223"/>
        <v>8.4817545504999991E-4</v>
      </c>
      <c r="BU127" s="8">
        <f t="shared" si="224"/>
        <v>4.1495635280000007E-3</v>
      </c>
      <c r="BV127" s="8">
        <f t="shared" si="225"/>
        <v>7.2550648499999978E-3</v>
      </c>
      <c r="BW127" s="8">
        <f t="shared" si="226"/>
        <v>1.5886090275E-2</v>
      </c>
      <c r="BX127" s="18">
        <f t="shared" si="227"/>
        <v>1.2722631825749996E-3</v>
      </c>
      <c r="BY127" s="8">
        <f t="shared" si="228"/>
        <v>6.2243452919999989E-3</v>
      </c>
      <c r="BZ127" s="12">
        <f t="shared" si="229"/>
        <v>0.36499999999999999</v>
      </c>
      <c r="CA127" s="12">
        <f t="shared" si="184"/>
        <v>0.30646153846153845</v>
      </c>
      <c r="CB127" s="6">
        <v>1.5</v>
      </c>
      <c r="CC127" s="6">
        <v>1.5</v>
      </c>
      <c r="CD127" s="15">
        <v>0.125</v>
      </c>
      <c r="CE127" s="13">
        <v>0.42</v>
      </c>
      <c r="CF127" s="15">
        <v>2.3E-2</v>
      </c>
      <c r="CG127" s="13">
        <v>0.2</v>
      </c>
      <c r="CH127" s="28">
        <f t="shared" si="245"/>
        <v>2.2376199999999999E-4</v>
      </c>
      <c r="CI127" s="15">
        <f t="shared" si="230"/>
        <v>1.0947200000000002E-3</v>
      </c>
      <c r="CJ127" s="12">
        <v>3.0303030303030303</v>
      </c>
      <c r="CK127" s="12">
        <v>1</v>
      </c>
      <c r="CL127" s="7">
        <v>3</v>
      </c>
      <c r="CM127" s="7">
        <v>19</v>
      </c>
      <c r="CN127" s="7">
        <v>78</v>
      </c>
      <c r="CO127" s="8">
        <f t="shared" si="231"/>
        <v>1.6678309999999998E-2</v>
      </c>
      <c r="CP127" s="8">
        <f t="shared" si="232"/>
        <v>1.6678309999999998E-2</v>
      </c>
      <c r="CQ127" s="18">
        <f t="shared" si="233"/>
        <v>5.0034929999999997E-4</v>
      </c>
      <c r="CR127" s="8">
        <f t="shared" si="234"/>
        <v>3.1688788999999998E-3</v>
      </c>
      <c r="CS127" s="8">
        <f t="shared" si="235"/>
        <v>1.3009081799999999E-2</v>
      </c>
      <c r="CT127" s="18">
        <f t="shared" si="236"/>
        <v>5.9007860779999996E-4</v>
      </c>
      <c r="CU127" s="8">
        <f t="shared" si="237"/>
        <v>3.187225041E-3</v>
      </c>
      <c r="CV127" s="8">
        <f t="shared" si="238"/>
        <v>4.7533183499999998E-3</v>
      </c>
      <c r="CW127" s="8">
        <f t="shared" si="239"/>
        <v>1.9513622699999997E-2</v>
      </c>
      <c r="CX127" s="18">
        <f t="shared" si="240"/>
        <v>8.8511791169999994E-4</v>
      </c>
      <c r="CY127" s="8">
        <f t="shared" si="241"/>
        <v>4.7808375614999997E-3</v>
      </c>
      <c r="CZ127" s="12">
        <f t="shared" si="242"/>
        <v>0.22</v>
      </c>
      <c r="DA127" s="12">
        <f t="shared" si="186"/>
        <v>0.21323232323232325</v>
      </c>
      <c r="DB127" s="6">
        <v>1.5</v>
      </c>
      <c r="DC127" s="6">
        <v>1.5</v>
      </c>
      <c r="DD127" s="15">
        <v>0.1</v>
      </c>
      <c r="DE127" s="13">
        <v>0.39</v>
      </c>
      <c r="DF127" s="15">
        <v>2.1000000000000001E-2</v>
      </c>
      <c r="DG127" s="13">
        <v>0.15</v>
      </c>
      <c r="DH127" s="28">
        <f t="shared" si="243"/>
        <v>1.5567200000000001E-4</v>
      </c>
      <c r="DI127" s="29">
        <f t="shared" si="244"/>
        <v>8.4084000000000003E-4</v>
      </c>
    </row>
    <row r="128" spans="1:113" x14ac:dyDescent="0.25">
      <c r="A128" s="85">
        <v>120</v>
      </c>
      <c r="B128" s="19" t="s">
        <v>36</v>
      </c>
      <c r="C128" s="31" t="s">
        <v>24</v>
      </c>
      <c r="D128" s="19" t="s">
        <v>173</v>
      </c>
      <c r="E128" s="33">
        <v>4</v>
      </c>
      <c r="F128" s="9">
        <v>70</v>
      </c>
      <c r="G128" s="32" t="s">
        <v>99</v>
      </c>
      <c r="H128" s="19" t="s">
        <v>10</v>
      </c>
      <c r="I128" s="19" t="s">
        <v>5</v>
      </c>
      <c r="J128" s="32" t="s">
        <v>99</v>
      </c>
      <c r="K128" s="2" t="str">
        <f t="shared" si="187"/>
        <v>Kommunal Tätort 4F 70 - GIF M</v>
      </c>
      <c r="L128" s="2"/>
      <c r="M128" s="32" t="s">
        <v>99</v>
      </c>
      <c r="N128" s="53">
        <f>'Beräkna - Länk'!$C$26</f>
        <v>1</v>
      </c>
      <c r="O128" s="53">
        <f>'Beräkna - Länk'!$C$24/('Beräkna - Länk'!$C$27)^('Beräkna - Länk'!$C$25-2010)</f>
        <v>10385</v>
      </c>
      <c r="P128" s="13">
        <f t="shared" si="188"/>
        <v>3.7905249999999997</v>
      </c>
      <c r="Q128" s="13">
        <f t="shared" si="189"/>
        <v>0.64772491199999993</v>
      </c>
      <c r="R128" s="13">
        <f t="shared" si="190"/>
        <v>1.0480043520000002</v>
      </c>
      <c r="S128" s="28">
        <f t="shared" si="191"/>
        <v>5.4856477799999992E-3</v>
      </c>
      <c r="T128" s="15">
        <f t="shared" si="192"/>
        <v>7.8400186679999997E-2</v>
      </c>
      <c r="U128" s="13">
        <f t="shared" si="193"/>
        <v>0.96411851753999989</v>
      </c>
      <c r="V128" s="13">
        <f t="shared" si="194"/>
        <v>2.0317213999999999</v>
      </c>
      <c r="W128" s="15">
        <f t="shared" si="195"/>
        <v>2.5301035691459996E-2</v>
      </c>
      <c r="X128" s="15">
        <f t="shared" si="196"/>
        <v>0.16085484019680002</v>
      </c>
      <c r="Y128" s="15">
        <f t="shared" si="197"/>
        <v>0.11760028002</v>
      </c>
      <c r="Z128" s="14">
        <f t="shared" si="198"/>
        <v>1.4461777763099999</v>
      </c>
      <c r="AA128" s="14">
        <f t="shared" si="199"/>
        <v>14.222049799999999</v>
      </c>
      <c r="AB128" s="13">
        <f t="shared" si="200"/>
        <v>3.795155353719E-2</v>
      </c>
      <c r="AC128" s="14">
        <f t="shared" si="201"/>
        <v>0.24128226029520006</v>
      </c>
      <c r="AD128" s="13">
        <f t="shared" si="181"/>
        <v>7.8435464656214413E-2</v>
      </c>
      <c r="AE128" s="15">
        <f t="shared" si="182"/>
        <v>3.2472000000000008E-2</v>
      </c>
      <c r="AF128" s="8">
        <v>0.15839999999999999</v>
      </c>
      <c r="AG128" s="12">
        <v>1.6666666666666667</v>
      </c>
      <c r="AH128" s="12">
        <v>0.3</v>
      </c>
      <c r="AI128" s="12">
        <v>6.7</v>
      </c>
      <c r="AJ128" s="7">
        <v>93</v>
      </c>
      <c r="AK128" s="12">
        <v>2.0303030303030303</v>
      </c>
      <c r="AL128" s="12">
        <f t="shared" si="202"/>
        <v>0.60041915999999995</v>
      </c>
      <c r="AM128" s="12">
        <f t="shared" si="203"/>
        <v>1.0006986</v>
      </c>
      <c r="AN128" s="18">
        <f t="shared" si="204"/>
        <v>3.0020957999999996E-3</v>
      </c>
      <c r="AO128" s="8">
        <f t="shared" si="205"/>
        <v>6.7046806200000003E-2</v>
      </c>
      <c r="AP128" s="12">
        <f t="shared" si="206"/>
        <v>0.93064969799999997</v>
      </c>
      <c r="AQ128" s="12">
        <f t="shared" si="207"/>
        <v>2.0317213999999999</v>
      </c>
      <c r="AR128" s="18">
        <f t="shared" si="208"/>
        <v>2.3046088757999999E-2</v>
      </c>
      <c r="AS128" s="8">
        <f t="shared" si="209"/>
        <v>0.15040499958</v>
      </c>
      <c r="AT128" s="8">
        <f t="shared" si="210"/>
        <v>0.1005702093</v>
      </c>
      <c r="AU128" s="8">
        <f t="shared" si="211"/>
        <v>1.395974547</v>
      </c>
      <c r="AV128" s="8">
        <f t="shared" si="212"/>
        <v>14.222049799999999</v>
      </c>
      <c r="AW128" s="8">
        <f t="shared" si="213"/>
        <v>3.4569133137000004E-2</v>
      </c>
      <c r="AX128" s="8">
        <f t="shared" si="214"/>
        <v>0.22560749937000002</v>
      </c>
      <c r="AY128" s="495">
        <f t="shared" si="183"/>
        <v>6.9069069069069067E-2</v>
      </c>
      <c r="AZ128" s="8">
        <f t="shared" si="215"/>
        <v>1.848E-2</v>
      </c>
      <c r="BA128" s="6">
        <v>1.5</v>
      </c>
      <c r="BB128" s="6">
        <v>1.5</v>
      </c>
      <c r="BC128" s="6">
        <v>7</v>
      </c>
      <c r="BD128" s="15">
        <v>0.08</v>
      </c>
      <c r="BE128" s="13">
        <v>0.3</v>
      </c>
      <c r="BF128" s="15">
        <v>1.9E-2</v>
      </c>
      <c r="BG128" s="13">
        <v>0.14000000000000001</v>
      </c>
      <c r="BH128" s="28">
        <f t="shared" si="216"/>
        <v>6.0799199999999999E-3</v>
      </c>
      <c r="BI128" s="15">
        <f t="shared" si="217"/>
        <v>3.9679200000000005E-2</v>
      </c>
      <c r="BJ128" s="12">
        <v>3.9393939393939394</v>
      </c>
      <c r="BK128" s="12">
        <v>1</v>
      </c>
      <c r="BL128" s="7">
        <v>7.5</v>
      </c>
      <c r="BM128" s="7">
        <v>29</v>
      </c>
      <c r="BN128" s="7">
        <v>63.5</v>
      </c>
      <c r="BO128" s="8">
        <f t="shared" si="218"/>
        <v>2.3652876E-2</v>
      </c>
      <c r="BP128" s="8">
        <f t="shared" si="219"/>
        <v>2.3652876E-2</v>
      </c>
      <c r="BQ128" s="8">
        <f t="shared" si="220"/>
        <v>1.7739657E-3</v>
      </c>
      <c r="BR128" s="8">
        <f t="shared" si="221"/>
        <v>6.8593340399999998E-3</v>
      </c>
      <c r="BS128" s="8">
        <f t="shared" si="222"/>
        <v>1.501957626E-2</v>
      </c>
      <c r="BT128" s="18">
        <f t="shared" si="223"/>
        <v>1.3057570195799998E-3</v>
      </c>
      <c r="BU128" s="8">
        <f t="shared" si="224"/>
        <v>5.8848355488E-3</v>
      </c>
      <c r="BV128" s="8">
        <f t="shared" si="225"/>
        <v>1.0289001060000001E-2</v>
      </c>
      <c r="BW128" s="8">
        <f t="shared" si="226"/>
        <v>2.2529364390000001E-2</v>
      </c>
      <c r="BX128" s="18">
        <f t="shared" si="227"/>
        <v>1.9586355293700003E-3</v>
      </c>
      <c r="BY128" s="8">
        <f t="shared" si="228"/>
        <v>8.8272533231999999E-3</v>
      </c>
      <c r="BZ128" s="12">
        <f t="shared" si="229"/>
        <v>0.36499999999999999</v>
      </c>
      <c r="CA128" s="12">
        <f t="shared" si="184"/>
        <v>0.30646153846153845</v>
      </c>
      <c r="CB128" s="6">
        <v>1.5</v>
      </c>
      <c r="CC128" s="6">
        <v>1.5</v>
      </c>
      <c r="CD128" s="15">
        <v>0.14000000000000001</v>
      </c>
      <c r="CE128" s="13">
        <v>0.42</v>
      </c>
      <c r="CF128" s="15">
        <v>2.3E-2</v>
      </c>
      <c r="CG128" s="13">
        <v>0.2</v>
      </c>
      <c r="CH128" s="28">
        <f t="shared" si="245"/>
        <v>3.4447919999999998E-4</v>
      </c>
      <c r="CI128" s="15">
        <f t="shared" si="230"/>
        <v>1.552512E-3</v>
      </c>
      <c r="CJ128" s="12">
        <v>3.9393939393939394</v>
      </c>
      <c r="CK128" s="12">
        <v>1</v>
      </c>
      <c r="CL128" s="7">
        <v>3</v>
      </c>
      <c r="CM128" s="7">
        <v>19</v>
      </c>
      <c r="CN128" s="7">
        <v>78</v>
      </c>
      <c r="CO128" s="8">
        <f t="shared" si="231"/>
        <v>2.3652876E-2</v>
      </c>
      <c r="CP128" s="8">
        <f t="shared" si="232"/>
        <v>2.3652876E-2</v>
      </c>
      <c r="CQ128" s="18">
        <f t="shared" si="233"/>
        <v>7.0958627999999997E-4</v>
      </c>
      <c r="CR128" s="8">
        <f t="shared" si="234"/>
        <v>4.4940464399999998E-3</v>
      </c>
      <c r="CS128" s="8">
        <f t="shared" si="235"/>
        <v>1.8449243279999999E-2</v>
      </c>
      <c r="CT128" s="18">
        <f t="shared" si="236"/>
        <v>9.4918991387999991E-4</v>
      </c>
      <c r="CU128" s="8">
        <f t="shared" si="237"/>
        <v>4.5650050680000002E-3</v>
      </c>
      <c r="CV128" s="8">
        <f t="shared" si="238"/>
        <v>6.7410696599999997E-3</v>
      </c>
      <c r="CW128" s="8">
        <f t="shared" si="239"/>
        <v>2.7673864919999999E-2</v>
      </c>
      <c r="CX128" s="18">
        <f t="shared" si="240"/>
        <v>1.4237848708199999E-3</v>
      </c>
      <c r="CY128" s="8">
        <f t="shared" si="241"/>
        <v>6.8475076019999994E-3</v>
      </c>
      <c r="CZ128" s="12">
        <f t="shared" si="242"/>
        <v>0.22</v>
      </c>
      <c r="DA128" s="12">
        <f t="shared" si="186"/>
        <v>0.21515151515151512</v>
      </c>
      <c r="DB128" s="6">
        <v>1.5</v>
      </c>
      <c r="DC128" s="6">
        <v>1.5</v>
      </c>
      <c r="DD128" s="15">
        <v>0.125</v>
      </c>
      <c r="DE128" s="13">
        <v>0.4</v>
      </c>
      <c r="DF128" s="15">
        <v>2.1000000000000001E-2</v>
      </c>
      <c r="DG128" s="13">
        <v>0.15</v>
      </c>
      <c r="DH128" s="28">
        <f t="shared" si="243"/>
        <v>2.5041119999999999E-4</v>
      </c>
      <c r="DI128" s="29">
        <f t="shared" si="244"/>
        <v>1.20432E-3</v>
      </c>
    </row>
    <row r="129" spans="1:113" x14ac:dyDescent="0.25">
      <c r="A129" s="85">
        <v>121</v>
      </c>
      <c r="B129" s="19" t="s">
        <v>36</v>
      </c>
      <c r="C129" s="31" t="s">
        <v>24</v>
      </c>
      <c r="D129" s="19" t="s">
        <v>173</v>
      </c>
      <c r="E129" s="33">
        <v>4</v>
      </c>
      <c r="F129" s="9">
        <v>70</v>
      </c>
      <c r="G129" s="32" t="s">
        <v>99</v>
      </c>
      <c r="H129" s="19" t="s">
        <v>10</v>
      </c>
      <c r="I129" s="19" t="s">
        <v>6</v>
      </c>
      <c r="J129" s="32" t="s">
        <v>99</v>
      </c>
      <c r="K129" s="2" t="str">
        <f t="shared" si="187"/>
        <v>Kommunal Tätort 4F 70 - GIF Y</v>
      </c>
      <c r="L129" s="2"/>
      <c r="M129" s="32" t="s">
        <v>99</v>
      </c>
      <c r="N129" s="53">
        <f>'Beräkna - Länk'!$C$26</f>
        <v>1</v>
      </c>
      <c r="O129" s="53">
        <f>'Beräkna - Länk'!$C$24/('Beräkna - Länk'!$C$27)^('Beräkna - Länk'!$C$25-2010)</f>
        <v>10385</v>
      </c>
      <c r="P129" s="13">
        <f t="shared" si="188"/>
        <v>3.7905249999999997</v>
      </c>
      <c r="Q129" s="13">
        <f t="shared" si="189"/>
        <v>0.59700768749999999</v>
      </c>
      <c r="R129" s="13">
        <f t="shared" si="190"/>
        <v>1.0575564749999997</v>
      </c>
      <c r="S129" s="28">
        <f t="shared" si="191"/>
        <v>4.8613483124999995E-3</v>
      </c>
      <c r="T129" s="15">
        <f t="shared" si="192"/>
        <v>7.675813125E-2</v>
      </c>
      <c r="U129" s="13">
        <f t="shared" si="193"/>
        <v>0.97593699543750001</v>
      </c>
      <c r="V129" s="13">
        <f t="shared" si="194"/>
        <v>2.0778968863636362</v>
      </c>
      <c r="W129" s="15">
        <f t="shared" si="195"/>
        <v>2.5196027156437491E-2</v>
      </c>
      <c r="X129" s="15">
        <f t="shared" si="196"/>
        <v>0.16135923777749997</v>
      </c>
      <c r="Y129" s="15">
        <f t="shared" si="197"/>
        <v>0.115137196875</v>
      </c>
      <c r="Z129" s="14">
        <f t="shared" si="198"/>
        <v>1.4639054931562498</v>
      </c>
      <c r="AA129" s="14">
        <f t="shared" si="199"/>
        <v>14.545278204545454</v>
      </c>
      <c r="AB129" s="13">
        <f t="shared" si="200"/>
        <v>3.7794040734656253E-2</v>
      </c>
      <c r="AC129" s="14">
        <f t="shared" si="201"/>
        <v>0.24203885666625</v>
      </c>
      <c r="AD129" s="13">
        <f t="shared" si="181"/>
        <v>7.5761247072126656E-2</v>
      </c>
      <c r="AE129" s="15">
        <f t="shared" si="182"/>
        <v>3.1657500000000005E-2</v>
      </c>
      <c r="AF129" s="8">
        <v>0.14849999999999999</v>
      </c>
      <c r="AG129" s="12">
        <v>1.8181818181818181</v>
      </c>
      <c r="AH129" s="12">
        <v>0.3</v>
      </c>
      <c r="AI129" s="12">
        <v>6.7</v>
      </c>
      <c r="AJ129" s="7">
        <v>93</v>
      </c>
      <c r="AK129" s="12">
        <v>2.0303030303030303</v>
      </c>
      <c r="AL129" s="12">
        <f t="shared" si="202"/>
        <v>0.56289296249999998</v>
      </c>
      <c r="AM129" s="12">
        <f t="shared" si="203"/>
        <v>1.0234417499999999</v>
      </c>
      <c r="AN129" s="18">
        <f t="shared" si="204"/>
        <v>3.0703252499999995E-3</v>
      </c>
      <c r="AO129" s="8">
        <f t="shared" si="205"/>
        <v>6.8570597250000004E-2</v>
      </c>
      <c r="AP129" s="12">
        <f t="shared" si="206"/>
        <v>0.95180082749999995</v>
      </c>
      <c r="AQ129" s="12">
        <f t="shared" si="207"/>
        <v>2.0778968863636362</v>
      </c>
      <c r="AR129" s="18">
        <f t="shared" si="208"/>
        <v>2.3569863502499993E-2</v>
      </c>
      <c r="AS129" s="8">
        <f t="shared" si="209"/>
        <v>0.15382329502499997</v>
      </c>
      <c r="AT129" s="8">
        <f t="shared" si="210"/>
        <v>0.10285589587500001</v>
      </c>
      <c r="AU129" s="8">
        <f t="shared" si="211"/>
        <v>1.4277012412499999</v>
      </c>
      <c r="AV129" s="8">
        <f t="shared" si="212"/>
        <v>14.545278204545454</v>
      </c>
      <c r="AW129" s="8">
        <f t="shared" si="213"/>
        <v>3.5354795253750002E-2</v>
      </c>
      <c r="AX129" s="8">
        <f t="shared" si="214"/>
        <v>0.23073494253749999</v>
      </c>
      <c r="AY129" s="495">
        <f t="shared" si="183"/>
        <v>6.9069069069069081E-2</v>
      </c>
      <c r="AZ129" s="8">
        <f t="shared" si="215"/>
        <v>1.89E-2</v>
      </c>
      <c r="BA129" s="6">
        <v>1.5</v>
      </c>
      <c r="BB129" s="6">
        <v>1.5</v>
      </c>
      <c r="BC129" s="6">
        <v>7</v>
      </c>
      <c r="BD129" s="15">
        <v>0.08</v>
      </c>
      <c r="BE129" s="13">
        <v>0.3</v>
      </c>
      <c r="BF129" s="15">
        <v>1.9E-2</v>
      </c>
      <c r="BG129" s="13">
        <v>0.14000000000000001</v>
      </c>
      <c r="BH129" s="28">
        <f t="shared" si="216"/>
        <v>6.218099999999999E-3</v>
      </c>
      <c r="BI129" s="15">
        <f t="shared" si="217"/>
        <v>4.0580999999999999E-2</v>
      </c>
      <c r="BJ129" s="12">
        <v>3.0303030303030303</v>
      </c>
      <c r="BK129" s="12">
        <v>1</v>
      </c>
      <c r="BL129" s="7">
        <v>7.5</v>
      </c>
      <c r="BM129" s="7">
        <v>29</v>
      </c>
      <c r="BN129" s="7">
        <v>63.5</v>
      </c>
      <c r="BO129" s="8">
        <f t="shared" si="218"/>
        <v>1.7057362499999999E-2</v>
      </c>
      <c r="BP129" s="8">
        <f t="shared" si="219"/>
        <v>1.7057362499999999E-2</v>
      </c>
      <c r="BQ129" s="8">
        <f t="shared" si="220"/>
        <v>1.2793021874999999E-3</v>
      </c>
      <c r="BR129" s="8">
        <f t="shared" si="221"/>
        <v>4.9466351249999995E-3</v>
      </c>
      <c r="BS129" s="8">
        <f t="shared" si="222"/>
        <v>1.08314251875E-2</v>
      </c>
      <c r="BT129" s="18">
        <f t="shared" si="223"/>
        <v>9.416516968124999E-4</v>
      </c>
      <c r="BU129" s="8">
        <f t="shared" si="224"/>
        <v>4.2438717900000001E-3</v>
      </c>
      <c r="BV129" s="8">
        <f t="shared" si="225"/>
        <v>7.4199526874999993E-3</v>
      </c>
      <c r="BW129" s="8">
        <f t="shared" si="226"/>
        <v>1.624713778125E-2</v>
      </c>
      <c r="BX129" s="18">
        <f t="shared" si="227"/>
        <v>1.41247754521875E-3</v>
      </c>
      <c r="BY129" s="8">
        <f t="shared" si="228"/>
        <v>6.3658076849999997E-3</v>
      </c>
      <c r="BZ129" s="12">
        <f t="shared" si="229"/>
        <v>0.36499999999999999</v>
      </c>
      <c r="CA129" s="12">
        <f t="shared" si="184"/>
        <v>0.30646153846153845</v>
      </c>
      <c r="CB129" s="6">
        <v>1.5</v>
      </c>
      <c r="CC129" s="6">
        <v>1.5</v>
      </c>
      <c r="CD129" s="15">
        <v>0.14000000000000001</v>
      </c>
      <c r="CE129" s="13">
        <v>0.42</v>
      </c>
      <c r="CF129" s="15">
        <v>2.3E-2</v>
      </c>
      <c r="CG129" s="13">
        <v>0.2</v>
      </c>
      <c r="CH129" s="28">
        <f t="shared" si="245"/>
        <v>2.484225E-4</v>
      </c>
      <c r="CI129" s="15">
        <f t="shared" si="230"/>
        <v>1.1196000000000001E-3</v>
      </c>
      <c r="CJ129" s="12">
        <v>3.0303030303030303</v>
      </c>
      <c r="CK129" s="12">
        <v>1</v>
      </c>
      <c r="CL129" s="7">
        <v>3</v>
      </c>
      <c r="CM129" s="7">
        <v>19</v>
      </c>
      <c r="CN129" s="7">
        <v>78</v>
      </c>
      <c r="CO129" s="8">
        <f t="shared" si="231"/>
        <v>1.7057362499999999E-2</v>
      </c>
      <c r="CP129" s="8">
        <f t="shared" si="232"/>
        <v>1.7057362499999999E-2</v>
      </c>
      <c r="CQ129" s="18">
        <f t="shared" si="233"/>
        <v>5.1172087499999999E-4</v>
      </c>
      <c r="CR129" s="8">
        <f t="shared" si="234"/>
        <v>3.2408988749999998E-3</v>
      </c>
      <c r="CS129" s="8">
        <f t="shared" si="235"/>
        <v>1.3304742749999999E-2</v>
      </c>
      <c r="CT129" s="18">
        <f t="shared" si="236"/>
        <v>6.8451195712499987E-4</v>
      </c>
      <c r="CU129" s="8">
        <f t="shared" si="237"/>
        <v>3.2920709624999992E-3</v>
      </c>
      <c r="CV129" s="8">
        <f t="shared" si="238"/>
        <v>4.8613483124999995E-3</v>
      </c>
      <c r="CW129" s="8">
        <f t="shared" si="239"/>
        <v>1.9957114124999998E-2</v>
      </c>
      <c r="CX129" s="18">
        <f t="shared" si="240"/>
        <v>1.0267679356875E-3</v>
      </c>
      <c r="CY129" s="8">
        <f t="shared" si="241"/>
        <v>4.9381064437499997E-3</v>
      </c>
      <c r="CZ129" s="12">
        <f t="shared" si="242"/>
        <v>0.22</v>
      </c>
      <c r="DA129" s="12">
        <f t="shared" si="186"/>
        <v>0.21515151515151515</v>
      </c>
      <c r="DB129" s="6">
        <v>1.5</v>
      </c>
      <c r="DC129" s="6">
        <v>1.5</v>
      </c>
      <c r="DD129" s="15">
        <v>0.125</v>
      </c>
      <c r="DE129" s="13">
        <v>0.4</v>
      </c>
      <c r="DF129" s="15">
        <v>2.1000000000000001E-2</v>
      </c>
      <c r="DG129" s="13">
        <v>0.15</v>
      </c>
      <c r="DH129" s="28">
        <f t="shared" si="243"/>
        <v>1.8058499999999998E-4</v>
      </c>
      <c r="DI129" s="29">
        <f t="shared" si="244"/>
        <v>8.6849999999999991E-4</v>
      </c>
    </row>
    <row r="130" spans="1:113" x14ac:dyDescent="0.25">
      <c r="A130" s="85">
        <v>122</v>
      </c>
      <c r="B130" s="19" t="s">
        <v>36</v>
      </c>
      <c r="C130" s="31" t="s">
        <v>24</v>
      </c>
      <c r="D130" s="19" t="s">
        <v>173</v>
      </c>
      <c r="E130" s="33">
        <v>4</v>
      </c>
      <c r="F130" s="9">
        <v>70</v>
      </c>
      <c r="G130" s="32" t="s">
        <v>99</v>
      </c>
      <c r="H130" s="33" t="s">
        <v>25</v>
      </c>
      <c r="I130" s="19" t="s">
        <v>5</v>
      </c>
      <c r="J130" s="32" t="s">
        <v>99</v>
      </c>
      <c r="K130" s="2" t="str">
        <f t="shared" si="187"/>
        <v>Kommunal Tätort 4F 70 - Tangent M</v>
      </c>
      <c r="L130" s="2"/>
      <c r="M130" s="32" t="s">
        <v>99</v>
      </c>
      <c r="N130" s="53">
        <f>'Beräkna - Länk'!$C$26</f>
        <v>1</v>
      </c>
      <c r="O130" s="53">
        <f>'Beräkna - Länk'!$C$24/('Beräkna - Länk'!$C$27)^('Beräkna - Länk'!$C$25-2010)</f>
        <v>10385</v>
      </c>
      <c r="P130" s="13">
        <f t="shared" si="188"/>
        <v>3.7905249999999997</v>
      </c>
      <c r="Q130" s="13">
        <f t="shared" si="189"/>
        <v>0.71117830049999986</v>
      </c>
      <c r="R130" s="13">
        <f t="shared" si="190"/>
        <v>1.133063733</v>
      </c>
      <c r="S130" s="28">
        <f t="shared" si="191"/>
        <v>5.7858573599999996E-3</v>
      </c>
      <c r="T130" s="15">
        <f t="shared" si="192"/>
        <v>8.4256547805000012E-2</v>
      </c>
      <c r="U130" s="13">
        <f t="shared" si="193"/>
        <v>1.043021327835</v>
      </c>
      <c r="V130" s="13">
        <f t="shared" si="194"/>
        <v>2.2025706995454546</v>
      </c>
      <c r="W130" s="15">
        <f t="shared" si="195"/>
        <v>2.7282366610214995E-2</v>
      </c>
      <c r="X130" s="15">
        <f t="shared" si="196"/>
        <v>0.1737034918167</v>
      </c>
      <c r="Y130" s="15">
        <f t="shared" si="197"/>
        <v>0.12638482170750001</v>
      </c>
      <c r="Z130" s="14">
        <f t="shared" si="198"/>
        <v>1.5645319917525002</v>
      </c>
      <c r="AA130" s="14">
        <f t="shared" si="199"/>
        <v>15.417994896818183</v>
      </c>
      <c r="AB130" s="13">
        <f t="shared" si="200"/>
        <v>4.0923549915322502E-2</v>
      </c>
      <c r="AC130" s="14">
        <f t="shared" si="201"/>
        <v>0.26055523772505007</v>
      </c>
      <c r="AD130" s="13">
        <f t="shared" si="181"/>
        <v>7.789855072463768E-2</v>
      </c>
      <c r="AE130" s="15">
        <f t="shared" si="182"/>
        <v>3.4868700000000009E-2</v>
      </c>
      <c r="AF130" s="8">
        <v>0.1749</v>
      </c>
      <c r="AG130" s="12">
        <v>1.6363636363636365</v>
      </c>
      <c r="AH130" s="12">
        <v>0.3</v>
      </c>
      <c r="AI130" s="12">
        <v>6.7</v>
      </c>
      <c r="AJ130" s="7">
        <v>93</v>
      </c>
      <c r="AK130" s="12">
        <v>2.0303030303030303</v>
      </c>
      <c r="AL130" s="12">
        <f t="shared" si="202"/>
        <v>0.66296282249999994</v>
      </c>
      <c r="AM130" s="12">
        <f t="shared" si="203"/>
        <v>1.084848255</v>
      </c>
      <c r="AN130" s="18">
        <f t="shared" si="204"/>
        <v>3.2545447649999998E-3</v>
      </c>
      <c r="AO130" s="8">
        <f t="shared" si="205"/>
        <v>7.2684833085000011E-2</v>
      </c>
      <c r="AP130" s="12">
        <f t="shared" si="206"/>
        <v>1.0089088771500001</v>
      </c>
      <c r="AQ130" s="12">
        <f t="shared" si="207"/>
        <v>2.2025706995454546</v>
      </c>
      <c r="AR130" s="18">
        <f t="shared" si="208"/>
        <v>2.4984055312649998E-2</v>
      </c>
      <c r="AS130" s="8">
        <f t="shared" si="209"/>
        <v>0.1630526927265</v>
      </c>
      <c r="AT130" s="8">
        <f t="shared" si="210"/>
        <v>0.10902724962750002</v>
      </c>
      <c r="AU130" s="8">
        <f t="shared" si="211"/>
        <v>1.5133633157250002</v>
      </c>
      <c r="AV130" s="8">
        <f t="shared" si="212"/>
        <v>15.417994896818183</v>
      </c>
      <c r="AW130" s="8">
        <f t="shared" si="213"/>
        <v>3.7476082968975005E-2</v>
      </c>
      <c r="AX130" s="8">
        <f t="shared" si="214"/>
        <v>0.24457903908975004</v>
      </c>
      <c r="AY130" s="495">
        <f t="shared" si="183"/>
        <v>6.9069069069069067E-2</v>
      </c>
      <c r="AZ130" s="8">
        <f t="shared" si="215"/>
        <v>2.0034000000000003E-2</v>
      </c>
      <c r="BA130" s="6">
        <v>1.5</v>
      </c>
      <c r="BB130" s="6">
        <v>1.5</v>
      </c>
      <c r="BC130" s="6">
        <v>7</v>
      </c>
      <c r="BD130" s="15">
        <v>0.08</v>
      </c>
      <c r="BE130" s="13">
        <v>0.3</v>
      </c>
      <c r="BF130" s="15">
        <v>1.9E-2</v>
      </c>
      <c r="BG130" s="13">
        <v>0.14000000000000001</v>
      </c>
      <c r="BH130" s="28">
        <f t="shared" si="216"/>
        <v>6.5911859999999997E-3</v>
      </c>
      <c r="BI130" s="15">
        <f t="shared" si="217"/>
        <v>4.3015860000000003E-2</v>
      </c>
      <c r="BJ130" s="12">
        <v>3.6363636363636362</v>
      </c>
      <c r="BK130" s="12">
        <v>1</v>
      </c>
      <c r="BL130" s="7">
        <v>7.5</v>
      </c>
      <c r="BM130" s="7">
        <v>29</v>
      </c>
      <c r="BN130" s="7">
        <v>63.5</v>
      </c>
      <c r="BO130" s="8">
        <f t="shared" si="218"/>
        <v>2.4107738999999996E-2</v>
      </c>
      <c r="BP130" s="8">
        <f t="shared" si="219"/>
        <v>2.4107738999999996E-2</v>
      </c>
      <c r="BQ130" s="8">
        <f t="shared" si="220"/>
        <v>1.8080804249999997E-3</v>
      </c>
      <c r="BR130" s="8">
        <f t="shared" si="221"/>
        <v>6.9912443099999985E-3</v>
      </c>
      <c r="BS130" s="8">
        <f t="shared" si="222"/>
        <v>1.5308414264999997E-2</v>
      </c>
      <c r="BT130" s="18">
        <f t="shared" si="223"/>
        <v>1.3308677314949997E-3</v>
      </c>
      <c r="BU130" s="8">
        <f t="shared" si="224"/>
        <v>5.9980054631999999E-3</v>
      </c>
      <c r="BV130" s="8">
        <f t="shared" si="225"/>
        <v>1.0486866464999998E-2</v>
      </c>
      <c r="BW130" s="8">
        <f t="shared" si="226"/>
        <v>2.2962621397499994E-2</v>
      </c>
      <c r="BX130" s="18">
        <f t="shared" si="227"/>
        <v>1.9963015972424996E-3</v>
      </c>
      <c r="BY130" s="8">
        <f t="shared" si="228"/>
        <v>8.9970081947999981E-3</v>
      </c>
      <c r="BZ130" s="12">
        <f t="shared" si="229"/>
        <v>0.36499999999999999</v>
      </c>
      <c r="CA130" s="12">
        <f t="shared" si="184"/>
        <v>0.30646153846153845</v>
      </c>
      <c r="CB130" s="6">
        <v>1.5</v>
      </c>
      <c r="CC130" s="6">
        <v>1.5</v>
      </c>
      <c r="CD130" s="15">
        <v>0.14000000000000001</v>
      </c>
      <c r="CE130" s="13">
        <v>0.42</v>
      </c>
      <c r="CF130" s="15">
        <v>2.3E-2</v>
      </c>
      <c r="CG130" s="13">
        <v>0.2</v>
      </c>
      <c r="CH130" s="28">
        <f t="shared" si="245"/>
        <v>3.5110379999999996E-4</v>
      </c>
      <c r="CI130" s="15">
        <f t="shared" si="230"/>
        <v>1.582368E-3</v>
      </c>
      <c r="CJ130" s="12">
        <v>3.6363636363636362</v>
      </c>
      <c r="CK130" s="12">
        <v>1</v>
      </c>
      <c r="CL130" s="7">
        <v>3</v>
      </c>
      <c r="CM130" s="7">
        <v>19</v>
      </c>
      <c r="CN130" s="7">
        <v>78</v>
      </c>
      <c r="CO130" s="8">
        <f t="shared" si="231"/>
        <v>2.4107738999999996E-2</v>
      </c>
      <c r="CP130" s="8">
        <f t="shared" si="232"/>
        <v>2.4107738999999996E-2</v>
      </c>
      <c r="CQ130" s="18">
        <f t="shared" si="233"/>
        <v>7.2323216999999984E-4</v>
      </c>
      <c r="CR130" s="8">
        <f t="shared" si="234"/>
        <v>4.5804704099999989E-3</v>
      </c>
      <c r="CS130" s="8">
        <f t="shared" si="235"/>
        <v>1.8804036419999996E-2</v>
      </c>
      <c r="CT130" s="18">
        <f t="shared" si="236"/>
        <v>9.674435660699997E-4</v>
      </c>
      <c r="CU130" s="8">
        <f t="shared" si="237"/>
        <v>4.6527936269999993E-3</v>
      </c>
      <c r="CV130" s="8">
        <f t="shared" si="238"/>
        <v>6.8707056149999984E-3</v>
      </c>
      <c r="CW130" s="8">
        <f t="shared" si="239"/>
        <v>2.8206054629999994E-2</v>
      </c>
      <c r="CX130" s="18">
        <f t="shared" si="240"/>
        <v>1.4511653491049996E-3</v>
      </c>
      <c r="CY130" s="8">
        <f t="shared" si="241"/>
        <v>6.9791904404999982E-3</v>
      </c>
      <c r="CZ130" s="12">
        <f t="shared" si="242"/>
        <v>0.22</v>
      </c>
      <c r="DA130" s="12">
        <f t="shared" si="186"/>
        <v>0.21515151515151512</v>
      </c>
      <c r="DB130" s="6">
        <v>1.5</v>
      </c>
      <c r="DC130" s="6">
        <v>1.5</v>
      </c>
      <c r="DD130" s="15">
        <v>0.125</v>
      </c>
      <c r="DE130" s="13">
        <v>0.4</v>
      </c>
      <c r="DF130" s="15">
        <v>2.1000000000000001E-2</v>
      </c>
      <c r="DG130" s="13">
        <v>0.15</v>
      </c>
      <c r="DH130" s="28">
        <f t="shared" si="243"/>
        <v>2.5522679999999995E-4</v>
      </c>
      <c r="DI130" s="29">
        <f t="shared" si="244"/>
        <v>1.22748E-3</v>
      </c>
    </row>
    <row r="131" spans="1:113" x14ac:dyDescent="0.25">
      <c r="A131" s="85">
        <v>123</v>
      </c>
      <c r="B131" s="19" t="s">
        <v>36</v>
      </c>
      <c r="C131" s="31" t="s">
        <v>24</v>
      </c>
      <c r="D131" s="19" t="s">
        <v>173</v>
      </c>
      <c r="E131" s="33">
        <v>4</v>
      </c>
      <c r="F131" s="9">
        <v>70</v>
      </c>
      <c r="G131" s="32" t="s">
        <v>99</v>
      </c>
      <c r="H131" s="33" t="s">
        <v>25</v>
      </c>
      <c r="I131" s="19" t="s">
        <v>6</v>
      </c>
      <c r="J131" s="32" t="s">
        <v>99</v>
      </c>
      <c r="K131" s="2" t="str">
        <f t="shared" si="187"/>
        <v>Kommunal Tätort 4F 70 - Tangent Y</v>
      </c>
      <c r="L131" s="2"/>
      <c r="M131" s="32" t="s">
        <v>99</v>
      </c>
      <c r="N131" s="53">
        <f>'Beräkna - Länk'!$C$26</f>
        <v>1</v>
      </c>
      <c r="O131" s="53">
        <f>'Beräkna - Länk'!$C$24/('Beräkna - Länk'!$C$27)^('Beräkna - Länk'!$C$25-2010)</f>
        <v>10385</v>
      </c>
      <c r="P131" s="13">
        <f t="shared" si="188"/>
        <v>3.7905249999999997</v>
      </c>
      <c r="Q131" s="13">
        <f t="shared" si="189"/>
        <v>0.63680819999999994</v>
      </c>
      <c r="R131" s="13">
        <f t="shared" si="190"/>
        <v>1.0916711999999997</v>
      </c>
      <c r="S131" s="28">
        <f t="shared" si="191"/>
        <v>5.0762710799999991E-3</v>
      </c>
      <c r="T131" s="15">
        <f t="shared" si="192"/>
        <v>7.9437274319999973E-2</v>
      </c>
      <c r="U131" s="13">
        <f t="shared" si="193"/>
        <v>1.0071576545999996</v>
      </c>
      <c r="V131" s="13">
        <f t="shared" si="194"/>
        <v>2.1425425672727267</v>
      </c>
      <c r="W131" s="15">
        <f t="shared" si="195"/>
        <v>2.6037722708999993E-2</v>
      </c>
      <c r="X131" s="15">
        <f t="shared" si="196"/>
        <v>0.16664724758399999</v>
      </c>
      <c r="Y131" s="15">
        <f t="shared" si="197"/>
        <v>0.11915591147999999</v>
      </c>
      <c r="Z131" s="14">
        <f t="shared" si="198"/>
        <v>1.5107364818999995</v>
      </c>
      <c r="AA131" s="14">
        <f t="shared" si="199"/>
        <v>14.997797970909087</v>
      </c>
      <c r="AB131" s="13">
        <f t="shared" si="200"/>
        <v>3.9056584063499988E-2</v>
      </c>
      <c r="AC131" s="14">
        <f t="shared" si="201"/>
        <v>0.24997087137599996</v>
      </c>
      <c r="AD131" s="13">
        <f t="shared" si="181"/>
        <v>7.5984442552623252E-2</v>
      </c>
      <c r="AE131" s="15">
        <f t="shared" si="182"/>
        <v>3.2774400000000002E-2</v>
      </c>
      <c r="AF131" s="8">
        <v>0.15839999999999999</v>
      </c>
      <c r="AG131" s="12">
        <v>1.7575757575757573</v>
      </c>
      <c r="AH131" s="12">
        <v>0.3</v>
      </c>
      <c r="AI131" s="12">
        <v>6.7</v>
      </c>
      <c r="AJ131" s="7">
        <v>93</v>
      </c>
      <c r="AK131" s="12">
        <v>2.0303030303030303</v>
      </c>
      <c r="AL131" s="12">
        <f t="shared" si="202"/>
        <v>0.60041915999999995</v>
      </c>
      <c r="AM131" s="12">
        <f t="shared" si="203"/>
        <v>1.0552821599999997</v>
      </c>
      <c r="AN131" s="18">
        <f t="shared" si="204"/>
        <v>3.1658464799999993E-3</v>
      </c>
      <c r="AO131" s="8">
        <f t="shared" si="205"/>
        <v>7.0703904719999988E-2</v>
      </c>
      <c r="AP131" s="12">
        <f t="shared" si="206"/>
        <v>0.98141240879999969</v>
      </c>
      <c r="AQ131" s="12">
        <f t="shared" si="207"/>
        <v>2.1425425672727267</v>
      </c>
      <c r="AR131" s="18">
        <f t="shared" si="208"/>
        <v>2.4303148144799992E-2</v>
      </c>
      <c r="AS131" s="8">
        <f t="shared" si="209"/>
        <v>0.15860890864799998</v>
      </c>
      <c r="AT131" s="8">
        <f t="shared" si="210"/>
        <v>0.10605585707999998</v>
      </c>
      <c r="AU131" s="8">
        <f t="shared" si="211"/>
        <v>1.4721186131999995</v>
      </c>
      <c r="AV131" s="8">
        <f t="shared" si="212"/>
        <v>14.997797970909087</v>
      </c>
      <c r="AW131" s="8">
        <f t="shared" si="213"/>
        <v>3.6454722217199989E-2</v>
      </c>
      <c r="AX131" s="8">
        <f t="shared" si="214"/>
        <v>0.23791336297199994</v>
      </c>
      <c r="AY131" s="495">
        <f t="shared" si="183"/>
        <v>6.9069069069069081E-2</v>
      </c>
      <c r="AZ131" s="8">
        <f t="shared" si="215"/>
        <v>1.9487999999999998E-2</v>
      </c>
      <c r="BA131" s="6">
        <v>1.5</v>
      </c>
      <c r="BB131" s="6">
        <v>1.5</v>
      </c>
      <c r="BC131" s="6">
        <v>7</v>
      </c>
      <c r="BD131" s="15">
        <v>0.08</v>
      </c>
      <c r="BE131" s="13">
        <v>0.3</v>
      </c>
      <c r="BF131" s="15">
        <v>1.9E-2</v>
      </c>
      <c r="BG131" s="13">
        <v>0.14000000000000001</v>
      </c>
      <c r="BH131" s="28">
        <f t="shared" si="216"/>
        <v>6.4115519999999983E-3</v>
      </c>
      <c r="BI131" s="15">
        <f t="shared" si="217"/>
        <v>4.1843519999999995E-2</v>
      </c>
      <c r="BJ131" s="12">
        <v>3.0303030303030303</v>
      </c>
      <c r="BK131" s="12">
        <v>1</v>
      </c>
      <c r="BL131" s="7">
        <v>7.5</v>
      </c>
      <c r="BM131" s="7">
        <v>29</v>
      </c>
      <c r="BN131" s="7">
        <v>63.5</v>
      </c>
      <c r="BO131" s="8">
        <f t="shared" si="218"/>
        <v>1.8194519999999999E-2</v>
      </c>
      <c r="BP131" s="8">
        <f t="shared" si="219"/>
        <v>1.8194519999999999E-2</v>
      </c>
      <c r="BQ131" s="8">
        <f t="shared" si="220"/>
        <v>1.3645889999999998E-3</v>
      </c>
      <c r="BR131" s="8">
        <f t="shared" si="221"/>
        <v>5.276410799999999E-3</v>
      </c>
      <c r="BS131" s="8">
        <f t="shared" si="222"/>
        <v>1.1553520199999999E-2</v>
      </c>
      <c r="BT131" s="18">
        <f t="shared" si="223"/>
        <v>1.0044284766000001E-3</v>
      </c>
      <c r="BU131" s="8">
        <f t="shared" si="224"/>
        <v>4.5267965759999999E-3</v>
      </c>
      <c r="BV131" s="8">
        <f t="shared" si="225"/>
        <v>7.9146161999999985E-3</v>
      </c>
      <c r="BW131" s="8">
        <f t="shared" si="226"/>
        <v>1.7330280299999997E-2</v>
      </c>
      <c r="BX131" s="18">
        <f t="shared" si="227"/>
        <v>1.5066427148999998E-3</v>
      </c>
      <c r="BY131" s="8">
        <f t="shared" si="228"/>
        <v>6.7901948639999994E-3</v>
      </c>
      <c r="BZ131" s="12">
        <f t="shared" si="229"/>
        <v>0.36499999999999999</v>
      </c>
      <c r="CA131" s="12">
        <f t="shared" si="184"/>
        <v>0.30646153846153845</v>
      </c>
      <c r="CB131" s="6">
        <v>1.5</v>
      </c>
      <c r="CC131" s="6">
        <v>1.5</v>
      </c>
      <c r="CD131" s="15">
        <v>0.14000000000000001</v>
      </c>
      <c r="CE131" s="13">
        <v>0.42</v>
      </c>
      <c r="CF131" s="15">
        <v>2.3E-2</v>
      </c>
      <c r="CG131" s="13">
        <v>0.2</v>
      </c>
      <c r="CH131" s="28">
        <f t="shared" si="245"/>
        <v>2.6498400000000001E-4</v>
      </c>
      <c r="CI131" s="15">
        <f t="shared" si="230"/>
        <v>1.1942400000000001E-3</v>
      </c>
      <c r="CJ131" s="12">
        <v>3.0303030303030303</v>
      </c>
      <c r="CK131" s="12">
        <v>1</v>
      </c>
      <c r="CL131" s="7">
        <v>3</v>
      </c>
      <c r="CM131" s="7">
        <v>19</v>
      </c>
      <c r="CN131" s="7">
        <v>78</v>
      </c>
      <c r="CO131" s="8">
        <f t="shared" si="231"/>
        <v>1.8194519999999999E-2</v>
      </c>
      <c r="CP131" s="8">
        <f t="shared" si="232"/>
        <v>1.8194519999999999E-2</v>
      </c>
      <c r="CQ131" s="18">
        <f t="shared" si="233"/>
        <v>5.4583559999999993E-4</v>
      </c>
      <c r="CR131" s="8">
        <f t="shared" si="234"/>
        <v>3.4569587999999998E-3</v>
      </c>
      <c r="CS131" s="8">
        <f t="shared" si="235"/>
        <v>1.41917256E-2</v>
      </c>
      <c r="CT131" s="18">
        <f t="shared" si="236"/>
        <v>7.3014608759999994E-4</v>
      </c>
      <c r="CU131" s="8">
        <f t="shared" si="237"/>
        <v>3.5115423599999997E-3</v>
      </c>
      <c r="CV131" s="8">
        <f t="shared" si="238"/>
        <v>5.1854381999999997E-3</v>
      </c>
      <c r="CW131" s="8">
        <f t="shared" si="239"/>
        <v>2.1287588400000002E-2</v>
      </c>
      <c r="CX131" s="18">
        <f t="shared" si="240"/>
        <v>1.0952191314E-3</v>
      </c>
      <c r="CY131" s="8">
        <f t="shared" si="241"/>
        <v>5.2673135400000005E-3</v>
      </c>
      <c r="CZ131" s="12">
        <f t="shared" si="242"/>
        <v>0.22</v>
      </c>
      <c r="DA131" s="12">
        <f t="shared" si="186"/>
        <v>0.21515151515151518</v>
      </c>
      <c r="DB131" s="6">
        <v>1.5</v>
      </c>
      <c r="DC131" s="6">
        <v>1.5</v>
      </c>
      <c r="DD131" s="15">
        <v>0.125</v>
      </c>
      <c r="DE131" s="13">
        <v>0.4</v>
      </c>
      <c r="DF131" s="15">
        <v>2.1000000000000001E-2</v>
      </c>
      <c r="DG131" s="13">
        <v>0.15</v>
      </c>
      <c r="DH131" s="28">
        <f t="shared" si="243"/>
        <v>1.9262399999999999E-4</v>
      </c>
      <c r="DI131" s="29">
        <f t="shared" si="244"/>
        <v>9.2639999999999997E-4</v>
      </c>
    </row>
    <row r="132" spans="1:113" x14ac:dyDescent="0.25">
      <c r="A132" s="85">
        <v>124</v>
      </c>
      <c r="B132" s="19" t="s">
        <v>36</v>
      </c>
      <c r="C132" s="31" t="s">
        <v>24</v>
      </c>
      <c r="D132" s="19" t="s">
        <v>173</v>
      </c>
      <c r="E132" s="33">
        <v>4</v>
      </c>
      <c r="F132" s="9">
        <v>80</v>
      </c>
      <c r="G132" s="32" t="s">
        <v>99</v>
      </c>
      <c r="H132" s="19" t="s">
        <v>10</v>
      </c>
      <c r="I132" s="19" t="s">
        <v>6</v>
      </c>
      <c r="J132" s="32" t="s">
        <v>99</v>
      </c>
      <c r="K132" s="2" t="str">
        <f t="shared" si="187"/>
        <v>Kommunal Tätort 4F 80 - GIF Y</v>
      </c>
      <c r="L132" s="2"/>
      <c r="M132" s="32" t="s">
        <v>99</v>
      </c>
      <c r="N132" s="53">
        <f>'Beräkna - Länk'!$C$26</f>
        <v>1</v>
      </c>
      <c r="O132" s="53">
        <f>'Beräkna - Länk'!$C$24/('Beräkna - Länk'!$C$27)^('Beräkna - Länk'!$C$25-2010)</f>
        <v>10385</v>
      </c>
      <c r="P132" s="13">
        <f t="shared" si="188"/>
        <v>3.7905249999999997</v>
      </c>
      <c r="Q132" s="13">
        <f t="shared" si="189"/>
        <v>0.38913529649999995</v>
      </c>
      <c r="R132" s="13">
        <f t="shared" si="190"/>
        <v>0.60898574649999992</v>
      </c>
      <c r="S132" s="28">
        <f t="shared" si="191"/>
        <v>4.1991435949999996E-3</v>
      </c>
      <c r="T132" s="15">
        <f t="shared" si="192"/>
        <v>4.0100722080000005E-2</v>
      </c>
      <c r="U132" s="13">
        <f t="shared" si="193"/>
        <v>0.56468588082500004</v>
      </c>
      <c r="V132" s="13">
        <f t="shared" si="194"/>
        <v>1.1228076553571429</v>
      </c>
      <c r="W132" s="15">
        <f t="shared" si="195"/>
        <v>1.4025854121262501E-2</v>
      </c>
      <c r="X132" s="15">
        <f t="shared" si="196"/>
        <v>9.1356655992999997E-2</v>
      </c>
      <c r="Y132" s="15">
        <f t="shared" si="197"/>
        <v>6.0151083120000004E-2</v>
      </c>
      <c r="Z132" s="14">
        <f t="shared" si="198"/>
        <v>0.84702882123750001</v>
      </c>
      <c r="AA132" s="14">
        <f t="shared" si="199"/>
        <v>7.8596535875000004</v>
      </c>
      <c r="AB132" s="13">
        <f t="shared" si="200"/>
        <v>2.103878118189375E-2</v>
      </c>
      <c r="AC132" s="14">
        <f t="shared" si="201"/>
        <v>0.13703498398950004</v>
      </c>
      <c r="AD132" s="13">
        <f t="shared" si="181"/>
        <v>7.0607533560892055E-2</v>
      </c>
      <c r="AE132" s="15">
        <f t="shared" si="182"/>
        <v>1.6976600000000001E-2</v>
      </c>
      <c r="AF132" s="8">
        <v>0.10149999999999999</v>
      </c>
      <c r="AG132" s="12">
        <v>1.5714285714285716</v>
      </c>
      <c r="AH132" s="12">
        <v>0.6</v>
      </c>
      <c r="AI132" s="12">
        <v>6.4</v>
      </c>
      <c r="AJ132" s="7">
        <v>93</v>
      </c>
      <c r="AK132" s="12">
        <v>1.8571428571428572</v>
      </c>
      <c r="AL132" s="12">
        <f t="shared" si="202"/>
        <v>0.38473828749999994</v>
      </c>
      <c r="AM132" s="12">
        <f t="shared" si="203"/>
        <v>0.60458873749999997</v>
      </c>
      <c r="AN132" s="18">
        <f t="shared" si="204"/>
        <v>3.6275324249999998E-3</v>
      </c>
      <c r="AO132" s="8">
        <f t="shared" si="205"/>
        <v>3.8693679200000004E-2</v>
      </c>
      <c r="AP132" s="12">
        <f t="shared" si="206"/>
        <v>0.56226752587499995</v>
      </c>
      <c r="AQ132" s="12">
        <f t="shared" si="207"/>
        <v>1.1228076553571429</v>
      </c>
      <c r="AR132" s="18">
        <f t="shared" si="208"/>
        <v>1.3778577327625E-2</v>
      </c>
      <c r="AS132" s="8">
        <f t="shared" si="209"/>
        <v>9.0325557382500005E-2</v>
      </c>
      <c r="AT132" s="8">
        <f t="shared" si="210"/>
        <v>5.804051880000001E-2</v>
      </c>
      <c r="AU132" s="8">
        <f t="shared" si="211"/>
        <v>0.84340128881249998</v>
      </c>
      <c r="AV132" s="8">
        <f t="shared" si="212"/>
        <v>7.8596535875000004</v>
      </c>
      <c r="AW132" s="8">
        <f t="shared" si="213"/>
        <v>2.0667865991437499E-2</v>
      </c>
      <c r="AX132" s="8">
        <f t="shared" si="214"/>
        <v>0.13548833607375002</v>
      </c>
      <c r="AY132" s="495">
        <f t="shared" si="183"/>
        <v>6.8136272545090193E-2</v>
      </c>
      <c r="AZ132" s="8">
        <f t="shared" si="215"/>
        <v>1.1165000000000001E-2</v>
      </c>
      <c r="BA132" s="6">
        <v>1.5</v>
      </c>
      <c r="BB132" s="6">
        <v>1.5</v>
      </c>
      <c r="BC132" s="6">
        <v>7</v>
      </c>
      <c r="BD132" s="15">
        <v>0.08</v>
      </c>
      <c r="BE132" s="13">
        <v>0.3</v>
      </c>
      <c r="BF132" s="15">
        <v>1.9E-2</v>
      </c>
      <c r="BG132" s="13">
        <v>0.14000000000000001</v>
      </c>
      <c r="BH132" s="28">
        <f t="shared" si="216"/>
        <v>3.6350050000000002E-3</v>
      </c>
      <c r="BI132" s="15">
        <f t="shared" si="217"/>
        <v>2.3829300000000005E-2</v>
      </c>
      <c r="BJ132" s="12">
        <v>0.8571428571428571</v>
      </c>
      <c r="BK132" s="12">
        <v>1</v>
      </c>
      <c r="BL132" s="7">
        <v>15</v>
      </c>
      <c r="BM132" s="7">
        <v>35</v>
      </c>
      <c r="BN132" s="7">
        <v>50</v>
      </c>
      <c r="BO132" s="8">
        <f t="shared" si="218"/>
        <v>3.2977567499999989E-3</v>
      </c>
      <c r="BP132" s="8">
        <f t="shared" si="219"/>
        <v>3.2977567499999989E-3</v>
      </c>
      <c r="BQ132" s="8">
        <f t="shared" si="220"/>
        <v>4.946635124999998E-4</v>
      </c>
      <c r="BR132" s="8">
        <f t="shared" si="221"/>
        <v>1.1542148624999996E-3</v>
      </c>
      <c r="BS132" s="8">
        <f t="shared" si="222"/>
        <v>1.6488783749999995E-3</v>
      </c>
      <c r="BT132" s="18">
        <f t="shared" si="223"/>
        <v>1.9951428337499995E-4</v>
      </c>
      <c r="BU132" s="8">
        <f t="shared" si="224"/>
        <v>8.1454591724999977E-4</v>
      </c>
      <c r="BV132" s="8">
        <f t="shared" si="225"/>
        <v>1.7313222937499994E-3</v>
      </c>
      <c r="BW132" s="8">
        <f t="shared" si="226"/>
        <v>2.4733175624999993E-3</v>
      </c>
      <c r="BX132" s="18">
        <f t="shared" si="227"/>
        <v>2.9927142506249994E-4</v>
      </c>
      <c r="BY132" s="8">
        <f t="shared" si="228"/>
        <v>1.2218188758749996E-3</v>
      </c>
      <c r="BZ132" s="12">
        <f t="shared" si="229"/>
        <v>0.5</v>
      </c>
      <c r="CA132" s="12">
        <f t="shared" si="184"/>
        <v>0.36526315789473679</v>
      </c>
      <c r="CB132" s="6">
        <v>1.5</v>
      </c>
      <c r="CC132" s="6">
        <v>1.5</v>
      </c>
      <c r="CD132" s="15">
        <v>0.14000000000000001</v>
      </c>
      <c r="CE132" s="13">
        <v>0.42</v>
      </c>
      <c r="CF132" s="15">
        <v>2.3E-2</v>
      </c>
      <c r="CG132" s="13">
        <v>0.2</v>
      </c>
      <c r="CH132" s="28">
        <f t="shared" si="245"/>
        <v>5.2634999999999993E-5</v>
      </c>
      <c r="CI132" s="15">
        <f t="shared" si="230"/>
        <v>2.1488999999999994E-4</v>
      </c>
      <c r="CJ132" s="12">
        <v>0.28571428571428575</v>
      </c>
      <c r="CK132" s="12">
        <v>1</v>
      </c>
      <c r="CL132" s="7">
        <v>7</v>
      </c>
      <c r="CM132" s="7">
        <v>23</v>
      </c>
      <c r="CN132" s="7">
        <v>70</v>
      </c>
      <c r="CO132" s="8">
        <f t="shared" si="231"/>
        <v>1.0992522500000001E-3</v>
      </c>
      <c r="CP132" s="8">
        <f t="shared" si="232"/>
        <v>1.0992522500000001E-3</v>
      </c>
      <c r="CQ132" s="18">
        <f t="shared" si="233"/>
        <v>7.6947657500000009E-5</v>
      </c>
      <c r="CR132" s="8">
        <f t="shared" si="234"/>
        <v>2.5282801750000001E-4</v>
      </c>
      <c r="CS132" s="8">
        <f t="shared" si="235"/>
        <v>7.6947657500000004E-4</v>
      </c>
      <c r="CT132" s="18">
        <f t="shared" si="236"/>
        <v>4.7762510262500006E-5</v>
      </c>
      <c r="CU132" s="8">
        <f t="shared" si="237"/>
        <v>2.1655269325000003E-4</v>
      </c>
      <c r="CV132" s="8">
        <f t="shared" si="238"/>
        <v>3.7924202625000002E-4</v>
      </c>
      <c r="CW132" s="8">
        <f t="shared" si="239"/>
        <v>1.1542148625E-3</v>
      </c>
      <c r="CX132" s="18">
        <f t="shared" si="240"/>
        <v>7.1643765393749999E-5</v>
      </c>
      <c r="CY132" s="8">
        <f t="shared" si="241"/>
        <v>3.2482903987500001E-4</v>
      </c>
      <c r="CZ132" s="12">
        <f t="shared" si="242"/>
        <v>0.30000000000000004</v>
      </c>
      <c r="DA132" s="12">
        <f t="shared" si="186"/>
        <v>0.24948805460750856</v>
      </c>
      <c r="DB132" s="6">
        <v>1.5</v>
      </c>
      <c r="DC132" s="6">
        <v>1.5</v>
      </c>
      <c r="DD132" s="15">
        <v>0.125</v>
      </c>
      <c r="DE132" s="13">
        <v>0.4</v>
      </c>
      <c r="DF132" s="15">
        <v>2.1000000000000001E-2</v>
      </c>
      <c r="DG132" s="13">
        <v>0.15</v>
      </c>
      <c r="DH132" s="28">
        <f t="shared" si="243"/>
        <v>1.2600500000000002E-5</v>
      </c>
      <c r="DI132" s="29">
        <f t="shared" si="244"/>
        <v>5.713000000000001E-5</v>
      </c>
    </row>
    <row r="133" spans="1:113" x14ac:dyDescent="0.25">
      <c r="A133" s="85">
        <v>125</v>
      </c>
      <c r="B133" s="19" t="s">
        <v>36</v>
      </c>
      <c r="C133" s="31" t="s">
        <v>24</v>
      </c>
      <c r="D133" s="19" t="s">
        <v>173</v>
      </c>
      <c r="E133" s="33">
        <v>4</v>
      </c>
      <c r="F133" s="9">
        <v>80</v>
      </c>
      <c r="G133" s="32" t="s">
        <v>99</v>
      </c>
      <c r="H133" s="33" t="s">
        <v>25</v>
      </c>
      <c r="I133" s="19" t="s">
        <v>6</v>
      </c>
      <c r="J133" s="32" t="s">
        <v>99</v>
      </c>
      <c r="K133" s="2" t="str">
        <f t="shared" si="187"/>
        <v>Kommunal Tätort 4F 80 - Tangent Y</v>
      </c>
      <c r="L133" s="2"/>
      <c r="M133" s="32" t="s">
        <v>99</v>
      </c>
      <c r="N133" s="53">
        <f>'Beräkna - Länk'!$C$26</f>
        <v>1</v>
      </c>
      <c r="O133" s="53">
        <f>'Beräkna - Länk'!$C$24/('Beräkna - Länk'!$C$27)^('Beräkna - Länk'!$C$25-2010)</f>
        <v>10385</v>
      </c>
      <c r="P133" s="13">
        <f t="shared" si="188"/>
        <v>3.7905249999999997</v>
      </c>
      <c r="Q133" s="13">
        <f t="shared" si="189"/>
        <v>0.38913529649999995</v>
      </c>
      <c r="R133" s="13">
        <f t="shared" si="190"/>
        <v>0.60898574649999992</v>
      </c>
      <c r="S133" s="28">
        <f t="shared" si="191"/>
        <v>4.1991435949999996E-3</v>
      </c>
      <c r="T133" s="15">
        <f t="shared" si="192"/>
        <v>4.0100722080000005E-2</v>
      </c>
      <c r="U133" s="13">
        <f t="shared" si="193"/>
        <v>0.56468588082500004</v>
      </c>
      <c r="V133" s="13">
        <f t="shared" si="194"/>
        <v>1.1228076553571429</v>
      </c>
      <c r="W133" s="15">
        <f t="shared" si="195"/>
        <v>1.4025854121262501E-2</v>
      </c>
      <c r="X133" s="15">
        <f t="shared" si="196"/>
        <v>9.1356655992999997E-2</v>
      </c>
      <c r="Y133" s="15">
        <f t="shared" si="197"/>
        <v>6.0151083120000004E-2</v>
      </c>
      <c r="Z133" s="14">
        <f t="shared" si="198"/>
        <v>0.84702882123750001</v>
      </c>
      <c r="AA133" s="14">
        <f t="shared" si="199"/>
        <v>7.8596535875000004</v>
      </c>
      <c r="AB133" s="13">
        <f t="shared" si="200"/>
        <v>2.103878118189375E-2</v>
      </c>
      <c r="AC133" s="14">
        <f t="shared" si="201"/>
        <v>0.13703498398950004</v>
      </c>
      <c r="AD133" s="13">
        <f t="shared" si="181"/>
        <v>7.0607533560892055E-2</v>
      </c>
      <c r="AE133" s="15">
        <f t="shared" si="182"/>
        <v>1.6976600000000001E-2</v>
      </c>
      <c r="AF133" s="8">
        <v>0.10149999999999999</v>
      </c>
      <c r="AG133" s="12">
        <v>1.5714285714285716</v>
      </c>
      <c r="AH133" s="12">
        <v>0.6</v>
      </c>
      <c r="AI133" s="12">
        <v>6.4</v>
      </c>
      <c r="AJ133" s="7">
        <v>93</v>
      </c>
      <c r="AK133" s="12">
        <v>1.8571428571428572</v>
      </c>
      <c r="AL133" s="12">
        <f t="shared" si="202"/>
        <v>0.38473828749999994</v>
      </c>
      <c r="AM133" s="12">
        <f t="shared" si="203"/>
        <v>0.60458873749999997</v>
      </c>
      <c r="AN133" s="18">
        <f t="shared" si="204"/>
        <v>3.6275324249999998E-3</v>
      </c>
      <c r="AO133" s="8">
        <f t="shared" si="205"/>
        <v>3.8693679200000004E-2</v>
      </c>
      <c r="AP133" s="12">
        <f t="shared" si="206"/>
        <v>0.56226752587499995</v>
      </c>
      <c r="AQ133" s="12">
        <f t="shared" si="207"/>
        <v>1.1228076553571429</v>
      </c>
      <c r="AR133" s="18">
        <f t="shared" si="208"/>
        <v>1.3778577327625E-2</v>
      </c>
      <c r="AS133" s="8">
        <f t="shared" si="209"/>
        <v>9.0325557382500005E-2</v>
      </c>
      <c r="AT133" s="8">
        <f t="shared" si="210"/>
        <v>5.804051880000001E-2</v>
      </c>
      <c r="AU133" s="8">
        <f t="shared" si="211"/>
        <v>0.84340128881249998</v>
      </c>
      <c r="AV133" s="8">
        <f t="shared" si="212"/>
        <v>7.8596535875000004</v>
      </c>
      <c r="AW133" s="8">
        <f t="shared" si="213"/>
        <v>2.0667865991437499E-2</v>
      </c>
      <c r="AX133" s="8">
        <f t="shared" si="214"/>
        <v>0.13548833607375002</v>
      </c>
      <c r="AY133" s="495">
        <f t="shared" si="183"/>
        <v>6.8136272545090193E-2</v>
      </c>
      <c r="AZ133" s="8">
        <f t="shared" si="215"/>
        <v>1.1165000000000001E-2</v>
      </c>
      <c r="BA133" s="6">
        <v>1.5</v>
      </c>
      <c r="BB133" s="6">
        <v>1.5</v>
      </c>
      <c r="BC133" s="6">
        <v>7</v>
      </c>
      <c r="BD133" s="15">
        <v>0.08</v>
      </c>
      <c r="BE133" s="13">
        <v>0.3</v>
      </c>
      <c r="BF133" s="15">
        <v>1.9E-2</v>
      </c>
      <c r="BG133" s="13">
        <v>0.14000000000000001</v>
      </c>
      <c r="BH133" s="28">
        <f t="shared" si="216"/>
        <v>3.6350050000000002E-3</v>
      </c>
      <c r="BI133" s="15">
        <f t="shared" si="217"/>
        <v>2.3829300000000005E-2</v>
      </c>
      <c r="BJ133" s="12">
        <v>0.8571428571428571</v>
      </c>
      <c r="BK133" s="12">
        <v>1</v>
      </c>
      <c r="BL133" s="7">
        <v>15</v>
      </c>
      <c r="BM133" s="7">
        <v>35</v>
      </c>
      <c r="BN133" s="7">
        <v>50</v>
      </c>
      <c r="BO133" s="8">
        <f t="shared" si="218"/>
        <v>3.2977567499999989E-3</v>
      </c>
      <c r="BP133" s="8">
        <f t="shared" si="219"/>
        <v>3.2977567499999989E-3</v>
      </c>
      <c r="BQ133" s="8">
        <f t="shared" si="220"/>
        <v>4.946635124999998E-4</v>
      </c>
      <c r="BR133" s="8">
        <f t="shared" si="221"/>
        <v>1.1542148624999996E-3</v>
      </c>
      <c r="BS133" s="8">
        <f t="shared" si="222"/>
        <v>1.6488783749999995E-3</v>
      </c>
      <c r="BT133" s="18">
        <f t="shared" si="223"/>
        <v>1.9951428337499995E-4</v>
      </c>
      <c r="BU133" s="8">
        <f t="shared" si="224"/>
        <v>8.1454591724999977E-4</v>
      </c>
      <c r="BV133" s="8">
        <f t="shared" si="225"/>
        <v>1.7313222937499994E-3</v>
      </c>
      <c r="BW133" s="8">
        <f t="shared" si="226"/>
        <v>2.4733175624999993E-3</v>
      </c>
      <c r="BX133" s="18">
        <f t="shared" si="227"/>
        <v>2.9927142506249994E-4</v>
      </c>
      <c r="BY133" s="8">
        <f t="shared" si="228"/>
        <v>1.2218188758749996E-3</v>
      </c>
      <c r="BZ133" s="12">
        <f t="shared" si="229"/>
        <v>0.5</v>
      </c>
      <c r="CA133" s="12">
        <f t="shared" si="184"/>
        <v>0.36526315789473679</v>
      </c>
      <c r="CB133" s="6">
        <v>1.5</v>
      </c>
      <c r="CC133" s="6">
        <v>1.5</v>
      </c>
      <c r="CD133" s="15">
        <v>0.14000000000000001</v>
      </c>
      <c r="CE133" s="13">
        <v>0.42</v>
      </c>
      <c r="CF133" s="15">
        <v>2.3E-2</v>
      </c>
      <c r="CG133" s="13">
        <v>0.2</v>
      </c>
      <c r="CH133" s="28">
        <f t="shared" si="245"/>
        <v>5.2634999999999993E-5</v>
      </c>
      <c r="CI133" s="15">
        <f t="shared" si="230"/>
        <v>2.1488999999999994E-4</v>
      </c>
      <c r="CJ133" s="12">
        <v>0.28571428571428575</v>
      </c>
      <c r="CK133" s="12">
        <v>1</v>
      </c>
      <c r="CL133" s="7">
        <v>7</v>
      </c>
      <c r="CM133" s="7">
        <v>23</v>
      </c>
      <c r="CN133" s="7">
        <v>70</v>
      </c>
      <c r="CO133" s="8">
        <f t="shared" si="231"/>
        <v>1.0992522500000001E-3</v>
      </c>
      <c r="CP133" s="8">
        <f t="shared" si="232"/>
        <v>1.0992522500000001E-3</v>
      </c>
      <c r="CQ133" s="18">
        <f t="shared" si="233"/>
        <v>7.6947657500000009E-5</v>
      </c>
      <c r="CR133" s="8">
        <f t="shared" si="234"/>
        <v>2.5282801750000001E-4</v>
      </c>
      <c r="CS133" s="8">
        <f t="shared" si="235"/>
        <v>7.6947657500000004E-4</v>
      </c>
      <c r="CT133" s="18">
        <f t="shared" si="236"/>
        <v>4.7762510262500006E-5</v>
      </c>
      <c r="CU133" s="8">
        <f t="shared" si="237"/>
        <v>2.1655269325000003E-4</v>
      </c>
      <c r="CV133" s="8">
        <f t="shared" si="238"/>
        <v>3.7924202625000002E-4</v>
      </c>
      <c r="CW133" s="8">
        <f t="shared" si="239"/>
        <v>1.1542148625E-3</v>
      </c>
      <c r="CX133" s="18">
        <f t="shared" si="240"/>
        <v>7.1643765393749999E-5</v>
      </c>
      <c r="CY133" s="8">
        <f t="shared" si="241"/>
        <v>3.2482903987500001E-4</v>
      </c>
      <c r="CZ133" s="12">
        <f t="shared" si="242"/>
        <v>0.30000000000000004</v>
      </c>
      <c r="DA133" s="12">
        <f t="shared" si="186"/>
        <v>0.24948805460750856</v>
      </c>
      <c r="DB133" s="6">
        <v>1.5</v>
      </c>
      <c r="DC133" s="6">
        <v>1.5</v>
      </c>
      <c r="DD133" s="15">
        <v>0.125</v>
      </c>
      <c r="DE133" s="13">
        <v>0.4</v>
      </c>
      <c r="DF133" s="15">
        <v>2.1000000000000001E-2</v>
      </c>
      <c r="DG133" s="13">
        <v>0.15</v>
      </c>
      <c r="DH133" s="28">
        <f t="shared" si="243"/>
        <v>1.2600500000000002E-5</v>
      </c>
      <c r="DI133" s="29">
        <f t="shared" si="244"/>
        <v>5.713000000000001E-5</v>
      </c>
    </row>
    <row r="134" spans="1:113" x14ac:dyDescent="0.25">
      <c r="A134" s="85">
        <v>126</v>
      </c>
      <c r="B134" s="19" t="s">
        <v>36</v>
      </c>
      <c r="C134" s="31" t="s">
        <v>24</v>
      </c>
      <c r="D134" s="19" t="s">
        <v>173</v>
      </c>
      <c r="E134" s="33">
        <v>4</v>
      </c>
      <c r="F134" s="9">
        <v>90</v>
      </c>
      <c r="G134" s="32" t="s">
        <v>99</v>
      </c>
      <c r="H134" s="19" t="s">
        <v>10</v>
      </c>
      <c r="I134" s="19" t="s">
        <v>6</v>
      </c>
      <c r="J134" s="32" t="s">
        <v>99</v>
      </c>
      <c r="K134" s="2" t="str">
        <f t="shared" si="187"/>
        <v>Kommunal Tätort 4F 90 - GIF Y</v>
      </c>
      <c r="L134" s="2"/>
      <c r="M134" s="32" t="s">
        <v>99</v>
      </c>
      <c r="N134" s="53">
        <f>'Beräkna - Länk'!$C$26</f>
        <v>1</v>
      </c>
      <c r="O134" s="53">
        <f>'Beräkna - Länk'!$C$24/('Beräkna - Länk'!$C$27)^('Beräkna - Länk'!$C$25-2010)</f>
        <v>10385</v>
      </c>
      <c r="P134" s="13">
        <f t="shared" si="188"/>
        <v>3.7905249999999997</v>
      </c>
      <c r="Q134" s="13">
        <f t="shared" si="189"/>
        <v>0.42939067199999997</v>
      </c>
      <c r="R134" s="13">
        <f t="shared" si="190"/>
        <v>0.6719842720000001</v>
      </c>
      <c r="S134" s="28">
        <f t="shared" si="191"/>
        <v>6.4287304000000007E-3</v>
      </c>
      <c r="T134" s="15">
        <f t="shared" si="192"/>
        <v>4.9731688000000003E-2</v>
      </c>
      <c r="U134" s="13">
        <f t="shared" si="193"/>
        <v>0.61582385360000003</v>
      </c>
      <c r="V134" s="13">
        <f t="shared" si="194"/>
        <v>1.2389601714285716</v>
      </c>
      <c r="W134" s="15">
        <f t="shared" si="195"/>
        <v>1.626248031024E-2</v>
      </c>
      <c r="X134" s="15">
        <f t="shared" si="196"/>
        <v>0.10851890990079999</v>
      </c>
      <c r="Y134" s="15">
        <f t="shared" si="197"/>
        <v>7.4597532000000022E-2</v>
      </c>
      <c r="Z134" s="14">
        <f t="shared" si="198"/>
        <v>0.92373578040000004</v>
      </c>
      <c r="AA134" s="14">
        <f t="shared" si="199"/>
        <v>8.6727212000000016</v>
      </c>
      <c r="AB134" s="13">
        <f t="shared" si="200"/>
        <v>2.4393720465360001E-2</v>
      </c>
      <c r="AC134" s="14">
        <f t="shared" si="201"/>
        <v>0.16277836485120004</v>
      </c>
      <c r="AD134" s="13">
        <f t="shared" si="181"/>
        <v>8.0642240598780723E-2</v>
      </c>
      <c r="AE134" s="15">
        <f t="shared" si="182"/>
        <v>2.1376000000000006E-2</v>
      </c>
      <c r="AF134" s="8">
        <v>0.112</v>
      </c>
      <c r="AG134" s="12">
        <v>1.5714285714285716</v>
      </c>
      <c r="AH134" s="12">
        <v>0.8</v>
      </c>
      <c r="AI134" s="12">
        <v>7.2</v>
      </c>
      <c r="AJ134" s="7">
        <v>92</v>
      </c>
      <c r="AK134" s="12">
        <v>1.8571428571428572</v>
      </c>
      <c r="AL134" s="12">
        <f t="shared" si="202"/>
        <v>0.42453879999999999</v>
      </c>
      <c r="AM134" s="12">
        <f t="shared" si="203"/>
        <v>0.66713240000000007</v>
      </c>
      <c r="AN134" s="18">
        <f t="shared" si="204"/>
        <v>5.3370592000000008E-3</v>
      </c>
      <c r="AO134" s="8">
        <f t="shared" si="205"/>
        <v>4.8033532800000008E-2</v>
      </c>
      <c r="AP134" s="12">
        <f t="shared" si="206"/>
        <v>0.61376180800000002</v>
      </c>
      <c r="AQ134" s="12">
        <f t="shared" si="207"/>
        <v>1.2389601714285716</v>
      </c>
      <c r="AR134" s="18">
        <f t="shared" si="208"/>
        <v>1.5984492304000002E-2</v>
      </c>
      <c r="AS134" s="8">
        <f t="shared" si="209"/>
        <v>0.107435001696</v>
      </c>
      <c r="AT134" s="8">
        <f t="shared" si="210"/>
        <v>7.2050299200000015E-2</v>
      </c>
      <c r="AU134" s="8">
        <f t="shared" si="211"/>
        <v>0.92064271200000003</v>
      </c>
      <c r="AV134" s="8">
        <f t="shared" si="212"/>
        <v>8.6727212000000016</v>
      </c>
      <c r="AW134" s="8">
        <f t="shared" si="213"/>
        <v>2.3976738455999999E-2</v>
      </c>
      <c r="AX134" s="8">
        <f t="shared" si="214"/>
        <v>0.16115250254399999</v>
      </c>
      <c r="AY134" s="495">
        <f t="shared" si="183"/>
        <v>7.7540106951871676E-2</v>
      </c>
      <c r="AZ134" s="8">
        <f t="shared" si="215"/>
        <v>1.4080000000000004E-2</v>
      </c>
      <c r="BA134" s="6">
        <v>1.5</v>
      </c>
      <c r="BB134" s="6">
        <v>1.5</v>
      </c>
      <c r="BC134" s="6">
        <v>7</v>
      </c>
      <c r="BD134" s="15">
        <v>0.09</v>
      </c>
      <c r="BE134" s="13">
        <v>0.32</v>
      </c>
      <c r="BF134" s="15">
        <v>1.9E-2</v>
      </c>
      <c r="BG134" s="13">
        <v>0.15</v>
      </c>
      <c r="BH134" s="28">
        <f t="shared" si="216"/>
        <v>4.2169600000000005E-3</v>
      </c>
      <c r="BI134" s="15">
        <f t="shared" si="217"/>
        <v>2.834304E-2</v>
      </c>
      <c r="BJ134" s="12">
        <v>0.8571428571428571</v>
      </c>
      <c r="BK134" s="12">
        <v>1</v>
      </c>
      <c r="BL134" s="7">
        <v>26</v>
      </c>
      <c r="BM134" s="7">
        <v>36</v>
      </c>
      <c r="BN134" s="7">
        <v>38</v>
      </c>
      <c r="BO134" s="8">
        <f t="shared" si="218"/>
        <v>3.6389039999999992E-3</v>
      </c>
      <c r="BP134" s="8">
        <f t="shared" si="219"/>
        <v>3.6389039999999992E-3</v>
      </c>
      <c r="BQ134" s="8">
        <f t="shared" si="220"/>
        <v>9.4611503999999982E-4</v>
      </c>
      <c r="BR134" s="8">
        <f t="shared" si="221"/>
        <v>1.3100054399999997E-3</v>
      </c>
      <c r="BS134" s="8">
        <f t="shared" si="222"/>
        <v>1.3827835199999997E-3</v>
      </c>
      <c r="BT134" s="18">
        <f t="shared" si="223"/>
        <v>2.1520478255999996E-4</v>
      </c>
      <c r="BU134" s="8">
        <f t="shared" si="224"/>
        <v>8.2675898879999981E-4</v>
      </c>
      <c r="BV134" s="8">
        <f t="shared" si="225"/>
        <v>1.9650081599999997E-3</v>
      </c>
      <c r="BW134" s="8">
        <f t="shared" si="226"/>
        <v>2.0741752799999995E-3</v>
      </c>
      <c r="BX134" s="18">
        <f t="shared" si="227"/>
        <v>3.2280717383999995E-4</v>
      </c>
      <c r="BY134" s="8">
        <f t="shared" si="228"/>
        <v>1.2401384831999998E-3</v>
      </c>
      <c r="BZ134" s="12">
        <f t="shared" si="229"/>
        <v>0.62</v>
      </c>
      <c r="CA134" s="12">
        <f t="shared" si="184"/>
        <v>0.43854014598540153</v>
      </c>
      <c r="CB134" s="6">
        <v>1.5</v>
      </c>
      <c r="CC134" s="6">
        <v>1.5</v>
      </c>
      <c r="CD134" s="15">
        <v>0.14000000000000001</v>
      </c>
      <c r="CE134" s="13">
        <v>0.42</v>
      </c>
      <c r="CF134" s="15">
        <v>2.3E-2</v>
      </c>
      <c r="CG134" s="13">
        <v>0.2</v>
      </c>
      <c r="CH134" s="28">
        <f t="shared" si="245"/>
        <v>5.6774399999999996E-5</v>
      </c>
      <c r="CI134" s="15">
        <f t="shared" si="230"/>
        <v>2.1811199999999996E-4</v>
      </c>
      <c r="CJ134" s="12">
        <v>0.28571428571428575</v>
      </c>
      <c r="CK134" s="12">
        <v>1</v>
      </c>
      <c r="CL134" s="7">
        <v>12</v>
      </c>
      <c r="CM134" s="7">
        <v>32</v>
      </c>
      <c r="CN134" s="7">
        <v>56</v>
      </c>
      <c r="CO134" s="8">
        <f t="shared" si="231"/>
        <v>1.2129680000000002E-3</v>
      </c>
      <c r="CP134" s="8">
        <f t="shared" si="232"/>
        <v>1.2129680000000002E-3</v>
      </c>
      <c r="CQ134" s="18">
        <f t="shared" si="233"/>
        <v>1.4555616000000001E-4</v>
      </c>
      <c r="CR134" s="8">
        <f t="shared" si="234"/>
        <v>3.8814976000000007E-4</v>
      </c>
      <c r="CS134" s="8">
        <f t="shared" si="235"/>
        <v>6.7926208000000025E-4</v>
      </c>
      <c r="CT134" s="18">
        <f t="shared" si="236"/>
        <v>6.2783223680000017E-5</v>
      </c>
      <c r="CU134" s="8">
        <f t="shared" si="237"/>
        <v>2.5714921600000009E-4</v>
      </c>
      <c r="CV134" s="8">
        <f t="shared" si="238"/>
        <v>5.8222464000000015E-4</v>
      </c>
      <c r="CW134" s="8">
        <f t="shared" si="239"/>
        <v>1.0188931200000003E-3</v>
      </c>
      <c r="CX134" s="18">
        <f t="shared" si="240"/>
        <v>9.4174835520000025E-5</v>
      </c>
      <c r="CY134" s="8">
        <f t="shared" si="241"/>
        <v>3.857238240000001E-4</v>
      </c>
      <c r="CZ134" s="12">
        <f t="shared" si="242"/>
        <v>0.44</v>
      </c>
      <c r="DA134" s="12">
        <f t="shared" si="186"/>
        <v>0.30416666666666664</v>
      </c>
      <c r="DB134" s="6">
        <v>1.5</v>
      </c>
      <c r="DC134" s="6">
        <v>1.5</v>
      </c>
      <c r="DD134" s="15">
        <v>0.125</v>
      </c>
      <c r="DE134" s="13">
        <v>0.4</v>
      </c>
      <c r="DF134" s="15">
        <v>2.1000000000000001E-2</v>
      </c>
      <c r="DG134" s="13">
        <v>0.15</v>
      </c>
      <c r="DH134" s="28">
        <f t="shared" si="243"/>
        <v>1.6563200000000004E-5</v>
      </c>
      <c r="DI134" s="29">
        <f t="shared" si="244"/>
        <v>6.7840000000000028E-5</v>
      </c>
    </row>
    <row r="135" spans="1:113" x14ac:dyDescent="0.25">
      <c r="A135" s="85">
        <v>127</v>
      </c>
      <c r="B135" s="19" t="s">
        <v>36</v>
      </c>
      <c r="C135" s="31" t="s">
        <v>24</v>
      </c>
      <c r="D135" s="19" t="s">
        <v>173</v>
      </c>
      <c r="E135" s="33">
        <v>4</v>
      </c>
      <c r="F135" s="9">
        <v>90</v>
      </c>
      <c r="G135" s="32" t="s">
        <v>99</v>
      </c>
      <c r="H135" s="33" t="s">
        <v>25</v>
      </c>
      <c r="I135" s="19" t="s">
        <v>6</v>
      </c>
      <c r="J135" s="32" t="s">
        <v>99</v>
      </c>
      <c r="K135" s="2" t="str">
        <f t="shared" si="187"/>
        <v>Kommunal Tätort 4F 90 - Tangent Y</v>
      </c>
      <c r="L135" s="2"/>
      <c r="M135" s="32" t="s">
        <v>99</v>
      </c>
      <c r="N135" s="53">
        <f>'Beräkna - Länk'!$C$26</f>
        <v>1</v>
      </c>
      <c r="O135" s="53">
        <f>'Beräkna - Länk'!$C$24/('Beräkna - Länk'!$C$27)^('Beräkna - Länk'!$C$25-2010)</f>
        <v>10385</v>
      </c>
      <c r="P135" s="13">
        <f t="shared" si="188"/>
        <v>3.7905249999999997</v>
      </c>
      <c r="Q135" s="13">
        <f t="shared" si="189"/>
        <v>0.42939067199999997</v>
      </c>
      <c r="R135" s="13">
        <f t="shared" si="190"/>
        <v>0.6719842720000001</v>
      </c>
      <c r="S135" s="28">
        <f t="shared" si="191"/>
        <v>6.4287304000000007E-3</v>
      </c>
      <c r="T135" s="15">
        <f t="shared" si="192"/>
        <v>4.9731688000000003E-2</v>
      </c>
      <c r="U135" s="13">
        <f t="shared" si="193"/>
        <v>0.61582385360000003</v>
      </c>
      <c r="V135" s="13">
        <f t="shared" si="194"/>
        <v>1.2389601714285716</v>
      </c>
      <c r="W135" s="15">
        <f t="shared" si="195"/>
        <v>1.626248031024E-2</v>
      </c>
      <c r="X135" s="15">
        <f t="shared" si="196"/>
        <v>0.10851890990079999</v>
      </c>
      <c r="Y135" s="15">
        <f t="shared" si="197"/>
        <v>7.4597532000000022E-2</v>
      </c>
      <c r="Z135" s="14">
        <f t="shared" si="198"/>
        <v>0.92373578040000004</v>
      </c>
      <c r="AA135" s="14">
        <f t="shared" si="199"/>
        <v>8.6727212000000016</v>
      </c>
      <c r="AB135" s="13">
        <f t="shared" si="200"/>
        <v>2.4393720465360001E-2</v>
      </c>
      <c r="AC135" s="14">
        <f t="shared" si="201"/>
        <v>0.16277836485120004</v>
      </c>
      <c r="AD135" s="13">
        <f t="shared" si="181"/>
        <v>8.0642240598780723E-2</v>
      </c>
      <c r="AE135" s="15">
        <f t="shared" si="182"/>
        <v>2.1376000000000006E-2</v>
      </c>
      <c r="AF135" s="8">
        <v>0.112</v>
      </c>
      <c r="AG135" s="12">
        <v>1.5714285714285716</v>
      </c>
      <c r="AH135" s="12">
        <v>0.8</v>
      </c>
      <c r="AI135" s="12">
        <v>7.2</v>
      </c>
      <c r="AJ135" s="7">
        <v>92</v>
      </c>
      <c r="AK135" s="12">
        <v>1.8571428571428572</v>
      </c>
      <c r="AL135" s="12">
        <f t="shared" si="202"/>
        <v>0.42453879999999999</v>
      </c>
      <c r="AM135" s="12">
        <f t="shared" si="203"/>
        <v>0.66713240000000007</v>
      </c>
      <c r="AN135" s="18">
        <f t="shared" si="204"/>
        <v>5.3370592000000008E-3</v>
      </c>
      <c r="AO135" s="8">
        <f t="shared" si="205"/>
        <v>4.8033532800000008E-2</v>
      </c>
      <c r="AP135" s="12">
        <f t="shared" si="206"/>
        <v>0.61376180800000002</v>
      </c>
      <c r="AQ135" s="12">
        <f t="shared" si="207"/>
        <v>1.2389601714285716</v>
      </c>
      <c r="AR135" s="18">
        <f t="shared" si="208"/>
        <v>1.5984492304000002E-2</v>
      </c>
      <c r="AS135" s="8">
        <f t="shared" si="209"/>
        <v>0.107435001696</v>
      </c>
      <c r="AT135" s="8">
        <f t="shared" si="210"/>
        <v>7.2050299200000015E-2</v>
      </c>
      <c r="AU135" s="8">
        <f t="shared" si="211"/>
        <v>0.92064271200000003</v>
      </c>
      <c r="AV135" s="8">
        <f t="shared" si="212"/>
        <v>8.6727212000000016</v>
      </c>
      <c r="AW135" s="8">
        <f t="shared" si="213"/>
        <v>2.3976738455999999E-2</v>
      </c>
      <c r="AX135" s="8">
        <f t="shared" si="214"/>
        <v>0.16115250254399999</v>
      </c>
      <c r="AY135" s="495">
        <f t="shared" si="183"/>
        <v>7.7540106951871676E-2</v>
      </c>
      <c r="AZ135" s="8">
        <f t="shared" si="215"/>
        <v>1.4080000000000004E-2</v>
      </c>
      <c r="BA135" s="6">
        <v>1.5</v>
      </c>
      <c r="BB135" s="6">
        <v>1.5</v>
      </c>
      <c r="BC135" s="6">
        <v>7</v>
      </c>
      <c r="BD135" s="15">
        <v>0.09</v>
      </c>
      <c r="BE135" s="13">
        <v>0.32</v>
      </c>
      <c r="BF135" s="15">
        <v>1.9E-2</v>
      </c>
      <c r="BG135" s="13">
        <v>0.15</v>
      </c>
      <c r="BH135" s="28">
        <f t="shared" si="216"/>
        <v>4.2169600000000005E-3</v>
      </c>
      <c r="BI135" s="15">
        <f t="shared" si="217"/>
        <v>2.834304E-2</v>
      </c>
      <c r="BJ135" s="12">
        <v>0.8571428571428571</v>
      </c>
      <c r="BK135" s="12">
        <v>1</v>
      </c>
      <c r="BL135" s="7">
        <v>26</v>
      </c>
      <c r="BM135" s="7">
        <v>36</v>
      </c>
      <c r="BN135" s="7">
        <v>38</v>
      </c>
      <c r="BO135" s="8">
        <f t="shared" si="218"/>
        <v>3.6389039999999992E-3</v>
      </c>
      <c r="BP135" s="8">
        <f t="shared" si="219"/>
        <v>3.6389039999999992E-3</v>
      </c>
      <c r="BQ135" s="8">
        <f t="shared" si="220"/>
        <v>9.4611503999999982E-4</v>
      </c>
      <c r="BR135" s="8">
        <f t="shared" si="221"/>
        <v>1.3100054399999997E-3</v>
      </c>
      <c r="BS135" s="8">
        <f t="shared" si="222"/>
        <v>1.3827835199999997E-3</v>
      </c>
      <c r="BT135" s="18">
        <f t="shared" si="223"/>
        <v>2.1520478255999996E-4</v>
      </c>
      <c r="BU135" s="8">
        <f t="shared" si="224"/>
        <v>8.2675898879999981E-4</v>
      </c>
      <c r="BV135" s="8">
        <f t="shared" si="225"/>
        <v>1.9650081599999997E-3</v>
      </c>
      <c r="BW135" s="8">
        <f t="shared" si="226"/>
        <v>2.0741752799999995E-3</v>
      </c>
      <c r="BX135" s="18">
        <f t="shared" si="227"/>
        <v>3.2280717383999995E-4</v>
      </c>
      <c r="BY135" s="8">
        <f t="shared" si="228"/>
        <v>1.2401384831999998E-3</v>
      </c>
      <c r="BZ135" s="12">
        <f t="shared" si="229"/>
        <v>0.62</v>
      </c>
      <c r="CA135" s="12">
        <f t="shared" si="184"/>
        <v>0.43854014598540153</v>
      </c>
      <c r="CB135" s="6">
        <v>1.5</v>
      </c>
      <c r="CC135" s="6">
        <v>1.5</v>
      </c>
      <c r="CD135" s="15">
        <v>0.14000000000000001</v>
      </c>
      <c r="CE135" s="13">
        <v>0.42</v>
      </c>
      <c r="CF135" s="15">
        <v>2.3E-2</v>
      </c>
      <c r="CG135" s="13">
        <v>0.2</v>
      </c>
      <c r="CH135" s="28">
        <f t="shared" si="245"/>
        <v>5.6774399999999996E-5</v>
      </c>
      <c r="CI135" s="15">
        <f t="shared" si="230"/>
        <v>2.1811199999999996E-4</v>
      </c>
      <c r="CJ135" s="12">
        <v>0.28571428571428575</v>
      </c>
      <c r="CK135" s="12">
        <v>1</v>
      </c>
      <c r="CL135" s="7">
        <v>12</v>
      </c>
      <c r="CM135" s="7">
        <v>32</v>
      </c>
      <c r="CN135" s="7">
        <v>56</v>
      </c>
      <c r="CO135" s="8">
        <f t="shared" si="231"/>
        <v>1.2129680000000002E-3</v>
      </c>
      <c r="CP135" s="8">
        <f t="shared" si="232"/>
        <v>1.2129680000000002E-3</v>
      </c>
      <c r="CQ135" s="18">
        <f t="shared" si="233"/>
        <v>1.4555616000000001E-4</v>
      </c>
      <c r="CR135" s="8">
        <f t="shared" si="234"/>
        <v>3.8814976000000007E-4</v>
      </c>
      <c r="CS135" s="8">
        <f t="shared" si="235"/>
        <v>6.7926208000000025E-4</v>
      </c>
      <c r="CT135" s="18">
        <f t="shared" si="236"/>
        <v>6.2783223680000017E-5</v>
      </c>
      <c r="CU135" s="8">
        <f t="shared" si="237"/>
        <v>2.5714921600000009E-4</v>
      </c>
      <c r="CV135" s="8">
        <f t="shared" si="238"/>
        <v>5.8222464000000015E-4</v>
      </c>
      <c r="CW135" s="8">
        <f t="shared" si="239"/>
        <v>1.0188931200000003E-3</v>
      </c>
      <c r="CX135" s="18">
        <f t="shared" si="240"/>
        <v>9.4174835520000025E-5</v>
      </c>
      <c r="CY135" s="8">
        <f t="shared" si="241"/>
        <v>3.857238240000001E-4</v>
      </c>
      <c r="CZ135" s="12">
        <f t="shared" si="242"/>
        <v>0.44</v>
      </c>
      <c r="DA135" s="12">
        <f t="shared" si="186"/>
        <v>0.30416666666666664</v>
      </c>
      <c r="DB135" s="6">
        <v>1.5</v>
      </c>
      <c r="DC135" s="6">
        <v>1.5</v>
      </c>
      <c r="DD135" s="15">
        <v>0.125</v>
      </c>
      <c r="DE135" s="13">
        <v>0.4</v>
      </c>
      <c r="DF135" s="15">
        <v>2.1000000000000001E-2</v>
      </c>
      <c r="DG135" s="13">
        <v>0.15</v>
      </c>
      <c r="DH135" s="28">
        <f t="shared" si="243"/>
        <v>1.6563200000000004E-5</v>
      </c>
      <c r="DI135" s="29">
        <f t="shared" si="244"/>
        <v>6.7840000000000028E-5</v>
      </c>
    </row>
    <row r="138" spans="1:113" x14ac:dyDescent="0.25">
      <c r="T138" s="133"/>
    </row>
    <row r="160" spans="7:10" x14ac:dyDescent="0.25">
      <c r="G160"/>
      <c r="I160"/>
      <c r="J160"/>
    </row>
    <row r="161" spans="7:10" x14ac:dyDescent="0.25">
      <c r="G161"/>
      <c r="I161"/>
      <c r="J161"/>
    </row>
    <row r="162" spans="7:10" x14ac:dyDescent="0.25">
      <c r="G162"/>
      <c r="I162"/>
      <c r="J162"/>
    </row>
    <row r="163" spans="7:10" x14ac:dyDescent="0.25">
      <c r="G163"/>
      <c r="I163"/>
      <c r="J163"/>
    </row>
    <row r="164" spans="7:10" x14ac:dyDescent="0.25">
      <c r="G164"/>
      <c r="I164"/>
      <c r="J164"/>
    </row>
    <row r="165" spans="7:10" x14ac:dyDescent="0.25">
      <c r="G165"/>
      <c r="I165"/>
      <c r="J165"/>
    </row>
    <row r="166" spans="7:10" x14ac:dyDescent="0.25">
      <c r="G166"/>
      <c r="I166"/>
      <c r="J166"/>
    </row>
    <row r="167" spans="7:10" x14ac:dyDescent="0.25">
      <c r="G167"/>
      <c r="I167"/>
      <c r="J167"/>
    </row>
    <row r="168" spans="7:10" x14ac:dyDescent="0.25">
      <c r="G168"/>
      <c r="I168"/>
      <c r="J168"/>
    </row>
    <row r="169" spans="7:10" x14ac:dyDescent="0.25">
      <c r="G169"/>
      <c r="I169"/>
      <c r="J169"/>
    </row>
    <row r="170" spans="7:10" x14ac:dyDescent="0.25">
      <c r="G170"/>
      <c r="I170"/>
      <c r="J170"/>
    </row>
    <row r="171" spans="7:10" x14ac:dyDescent="0.25">
      <c r="G171"/>
      <c r="I171"/>
      <c r="J171"/>
    </row>
    <row r="172" spans="7:10" x14ac:dyDescent="0.25">
      <c r="G172"/>
      <c r="I172"/>
      <c r="J172"/>
    </row>
    <row r="173" spans="7:10" x14ac:dyDescent="0.25">
      <c r="G173"/>
      <c r="I173"/>
      <c r="J173"/>
    </row>
    <row r="174" spans="7:10" x14ac:dyDescent="0.25">
      <c r="G174"/>
      <c r="I174"/>
      <c r="J174"/>
    </row>
    <row r="175" spans="7:10" x14ac:dyDescent="0.25">
      <c r="G175"/>
      <c r="I175"/>
      <c r="J175"/>
    </row>
    <row r="176" spans="7:10" x14ac:dyDescent="0.25">
      <c r="G176"/>
      <c r="I176"/>
      <c r="J176"/>
    </row>
    <row r="177" spans="7:10" x14ac:dyDescent="0.25">
      <c r="G177"/>
      <c r="I177"/>
      <c r="J177"/>
    </row>
    <row r="178" spans="7:10" x14ac:dyDescent="0.25">
      <c r="G178"/>
      <c r="I178"/>
      <c r="J178"/>
    </row>
    <row r="179" spans="7:10" x14ac:dyDescent="0.25">
      <c r="G179"/>
      <c r="I179"/>
      <c r="J179"/>
    </row>
    <row r="180" spans="7:10" x14ac:dyDescent="0.25">
      <c r="G180"/>
      <c r="I180"/>
      <c r="J180"/>
    </row>
    <row r="181" spans="7:10" x14ac:dyDescent="0.25">
      <c r="G181"/>
      <c r="I181"/>
      <c r="J181"/>
    </row>
    <row r="182" spans="7:10" x14ac:dyDescent="0.25">
      <c r="G182"/>
      <c r="I182"/>
      <c r="J182"/>
    </row>
    <row r="183" spans="7:10" x14ac:dyDescent="0.25">
      <c r="G183"/>
      <c r="I183"/>
      <c r="J183"/>
    </row>
    <row r="184" spans="7:10" x14ac:dyDescent="0.25">
      <c r="G184"/>
      <c r="I184"/>
      <c r="J184"/>
    </row>
    <row r="185" spans="7:10" x14ac:dyDescent="0.25">
      <c r="G185"/>
      <c r="I185"/>
      <c r="J185"/>
    </row>
    <row r="186" spans="7:10" x14ac:dyDescent="0.25">
      <c r="G186"/>
      <c r="I186"/>
      <c r="J186"/>
    </row>
    <row r="187" spans="7:10" x14ac:dyDescent="0.25">
      <c r="G187"/>
      <c r="I187"/>
      <c r="J187"/>
    </row>
    <row r="188" spans="7:10" x14ac:dyDescent="0.25">
      <c r="G188"/>
      <c r="I188"/>
      <c r="J188"/>
    </row>
    <row r="189" spans="7:10" x14ac:dyDescent="0.25">
      <c r="G189"/>
      <c r="I189"/>
      <c r="J189"/>
    </row>
    <row r="190" spans="7:10" x14ac:dyDescent="0.25">
      <c r="G190"/>
      <c r="I190"/>
      <c r="J190"/>
    </row>
    <row r="191" spans="7:10" x14ac:dyDescent="0.25">
      <c r="G191"/>
      <c r="I191"/>
      <c r="J191"/>
    </row>
    <row r="192" spans="7:10" x14ac:dyDescent="0.25">
      <c r="G192"/>
      <c r="I192"/>
      <c r="J192"/>
    </row>
    <row r="193" spans="7:10" x14ac:dyDescent="0.25">
      <c r="G193"/>
      <c r="I193"/>
      <c r="J193"/>
    </row>
    <row r="194" spans="7:10" x14ac:dyDescent="0.25">
      <c r="G194"/>
      <c r="I194"/>
      <c r="J194"/>
    </row>
    <row r="195" spans="7:10" x14ac:dyDescent="0.25">
      <c r="G195"/>
      <c r="I195"/>
      <c r="J195"/>
    </row>
    <row r="196" spans="7:10" x14ac:dyDescent="0.25">
      <c r="G196"/>
      <c r="I196"/>
      <c r="J196"/>
    </row>
    <row r="197" spans="7:10" x14ac:dyDescent="0.25">
      <c r="G197"/>
      <c r="I197"/>
      <c r="J197"/>
    </row>
    <row r="198" spans="7:10" x14ac:dyDescent="0.25">
      <c r="G198"/>
      <c r="I198"/>
      <c r="J198"/>
    </row>
    <row r="199" spans="7:10" x14ac:dyDescent="0.25">
      <c r="G199"/>
      <c r="I199"/>
      <c r="J199"/>
    </row>
    <row r="200" spans="7:10" x14ac:dyDescent="0.25">
      <c r="G200"/>
      <c r="I200"/>
      <c r="J200"/>
    </row>
    <row r="201" spans="7:10" x14ac:dyDescent="0.25">
      <c r="G201"/>
      <c r="I201"/>
      <c r="J201"/>
    </row>
    <row r="202" spans="7:10" x14ac:dyDescent="0.25">
      <c r="G202"/>
      <c r="I202"/>
      <c r="J202"/>
    </row>
    <row r="203" spans="7:10" x14ac:dyDescent="0.25">
      <c r="G203"/>
      <c r="I203"/>
      <c r="J203"/>
    </row>
    <row r="204" spans="7:10" x14ac:dyDescent="0.25">
      <c r="G204"/>
      <c r="I204"/>
      <c r="J204"/>
    </row>
    <row r="205" spans="7:10" x14ac:dyDescent="0.25">
      <c r="G205"/>
      <c r="I205"/>
      <c r="J205"/>
    </row>
    <row r="206" spans="7:10" x14ac:dyDescent="0.25">
      <c r="G206"/>
      <c r="I206"/>
      <c r="J206"/>
    </row>
    <row r="207" spans="7:10" x14ac:dyDescent="0.25">
      <c r="G207"/>
      <c r="I207"/>
      <c r="J207"/>
    </row>
    <row r="208" spans="7:10" x14ac:dyDescent="0.25">
      <c r="G208"/>
      <c r="I208"/>
      <c r="J208"/>
    </row>
    <row r="209" spans="7:10" x14ac:dyDescent="0.25">
      <c r="G209"/>
      <c r="I209"/>
      <c r="J209"/>
    </row>
    <row r="210" spans="7:10" x14ac:dyDescent="0.25">
      <c r="G210"/>
      <c r="I210"/>
      <c r="J210"/>
    </row>
    <row r="211" spans="7:10" x14ac:dyDescent="0.25">
      <c r="G211"/>
      <c r="I211"/>
      <c r="J211"/>
    </row>
    <row r="212" spans="7:10" x14ac:dyDescent="0.25">
      <c r="G212"/>
      <c r="I212"/>
      <c r="J212"/>
    </row>
    <row r="213" spans="7:10" x14ac:dyDescent="0.25">
      <c r="G213"/>
      <c r="I213"/>
      <c r="J213"/>
    </row>
    <row r="214" spans="7:10" x14ac:dyDescent="0.25">
      <c r="G214"/>
      <c r="I214"/>
      <c r="J214"/>
    </row>
    <row r="215" spans="7:10" x14ac:dyDescent="0.25">
      <c r="G215"/>
      <c r="I215"/>
      <c r="J215"/>
    </row>
    <row r="216" spans="7:10" x14ac:dyDescent="0.25">
      <c r="G216"/>
      <c r="I216"/>
      <c r="J216"/>
    </row>
    <row r="217" spans="7:10" x14ac:dyDescent="0.25">
      <c r="G217"/>
      <c r="I217"/>
      <c r="J217"/>
    </row>
    <row r="218" spans="7:10" x14ac:dyDescent="0.25">
      <c r="G218"/>
      <c r="I218"/>
      <c r="J218"/>
    </row>
    <row r="219" spans="7:10" x14ac:dyDescent="0.25">
      <c r="G219"/>
      <c r="I219"/>
      <c r="J219"/>
    </row>
    <row r="220" spans="7:10" x14ac:dyDescent="0.25">
      <c r="G220"/>
      <c r="I220"/>
      <c r="J220"/>
    </row>
    <row r="221" spans="7:10" x14ac:dyDescent="0.25">
      <c r="G221"/>
      <c r="I221"/>
      <c r="J221"/>
    </row>
    <row r="222" spans="7:10" x14ac:dyDescent="0.25">
      <c r="G222"/>
      <c r="I222"/>
      <c r="J222"/>
    </row>
    <row r="223" spans="7:10" x14ac:dyDescent="0.25">
      <c r="G223"/>
      <c r="I223"/>
      <c r="J223"/>
    </row>
    <row r="224" spans="7:10" x14ac:dyDescent="0.25">
      <c r="G224"/>
      <c r="I224"/>
      <c r="J224"/>
    </row>
    <row r="225" spans="7:10" x14ac:dyDescent="0.25">
      <c r="G225"/>
      <c r="I225"/>
      <c r="J225"/>
    </row>
    <row r="226" spans="7:10" x14ac:dyDescent="0.25">
      <c r="G226"/>
      <c r="I226"/>
      <c r="J226"/>
    </row>
    <row r="227" spans="7:10" x14ac:dyDescent="0.25">
      <c r="G227"/>
      <c r="I227"/>
      <c r="J227"/>
    </row>
    <row r="228" spans="7:10" x14ac:dyDescent="0.25">
      <c r="G228"/>
      <c r="I228"/>
      <c r="J228"/>
    </row>
    <row r="229" spans="7:10" x14ac:dyDescent="0.25">
      <c r="G229"/>
      <c r="I229"/>
      <c r="J229"/>
    </row>
    <row r="230" spans="7:10" x14ac:dyDescent="0.25">
      <c r="G230"/>
      <c r="I230"/>
      <c r="J230"/>
    </row>
    <row r="231" spans="7:10" x14ac:dyDescent="0.25">
      <c r="G231"/>
      <c r="I231"/>
      <c r="J231"/>
    </row>
    <row r="232" spans="7:10" x14ac:dyDescent="0.25">
      <c r="G232"/>
      <c r="I232"/>
      <c r="J232"/>
    </row>
    <row r="233" spans="7:10" x14ac:dyDescent="0.25">
      <c r="G233"/>
      <c r="I233"/>
      <c r="J233"/>
    </row>
    <row r="234" spans="7:10" x14ac:dyDescent="0.25">
      <c r="G234"/>
      <c r="I234"/>
      <c r="J234"/>
    </row>
    <row r="235" spans="7:10" x14ac:dyDescent="0.25">
      <c r="G235"/>
      <c r="I235"/>
      <c r="J235"/>
    </row>
    <row r="236" spans="7:10" x14ac:dyDescent="0.25">
      <c r="G236"/>
      <c r="I236"/>
      <c r="J236"/>
    </row>
    <row r="237" spans="7:10" x14ac:dyDescent="0.25">
      <c r="G237"/>
      <c r="I237"/>
      <c r="J237"/>
    </row>
    <row r="238" spans="7:10" x14ac:dyDescent="0.25">
      <c r="G238"/>
      <c r="I238"/>
      <c r="J238"/>
    </row>
    <row r="239" spans="7:10" x14ac:dyDescent="0.25">
      <c r="G239"/>
      <c r="I239"/>
      <c r="J239"/>
    </row>
    <row r="240" spans="7:10" x14ac:dyDescent="0.25">
      <c r="G240"/>
      <c r="I240"/>
      <c r="J240"/>
    </row>
    <row r="241" spans="7:10" x14ac:dyDescent="0.25">
      <c r="G241"/>
      <c r="I241"/>
      <c r="J241"/>
    </row>
    <row r="242" spans="7:10" x14ac:dyDescent="0.25">
      <c r="G242"/>
      <c r="I242"/>
      <c r="J242"/>
    </row>
    <row r="243" spans="7:10" x14ac:dyDescent="0.25">
      <c r="G243"/>
      <c r="I243"/>
      <c r="J243"/>
    </row>
    <row r="244" spans="7:10" x14ac:dyDescent="0.25">
      <c r="G244"/>
      <c r="I244"/>
      <c r="J244"/>
    </row>
    <row r="245" spans="7:10" x14ac:dyDescent="0.25">
      <c r="G245"/>
      <c r="I245"/>
      <c r="J245"/>
    </row>
    <row r="246" spans="7:10" x14ac:dyDescent="0.25">
      <c r="G246"/>
      <c r="I246"/>
      <c r="J246"/>
    </row>
    <row r="247" spans="7:10" x14ac:dyDescent="0.25">
      <c r="G247"/>
      <c r="I247"/>
      <c r="J247"/>
    </row>
    <row r="248" spans="7:10" x14ac:dyDescent="0.25">
      <c r="G248"/>
      <c r="I248"/>
      <c r="J248"/>
    </row>
    <row r="249" spans="7:10" x14ac:dyDescent="0.25">
      <c r="G249"/>
      <c r="I249"/>
      <c r="J249"/>
    </row>
    <row r="250" spans="7:10" x14ac:dyDescent="0.25">
      <c r="G250"/>
      <c r="I250"/>
      <c r="J250"/>
    </row>
    <row r="251" spans="7:10" x14ac:dyDescent="0.25">
      <c r="G251"/>
      <c r="I251"/>
      <c r="J251"/>
    </row>
    <row r="252" spans="7:10" x14ac:dyDescent="0.25">
      <c r="G252"/>
      <c r="I252"/>
      <c r="J252"/>
    </row>
    <row r="253" spans="7:10" x14ac:dyDescent="0.25">
      <c r="G253"/>
      <c r="I253"/>
      <c r="J253"/>
    </row>
    <row r="254" spans="7:10" x14ac:dyDescent="0.25">
      <c r="G254"/>
      <c r="I254"/>
      <c r="J254"/>
    </row>
    <row r="255" spans="7:10" x14ac:dyDescent="0.25">
      <c r="G255"/>
      <c r="I255"/>
      <c r="J255"/>
    </row>
    <row r="256" spans="7:10" x14ac:dyDescent="0.25">
      <c r="G256"/>
      <c r="I256"/>
      <c r="J256"/>
    </row>
    <row r="257" spans="7:10" x14ac:dyDescent="0.25">
      <c r="G257"/>
      <c r="I257"/>
      <c r="J257"/>
    </row>
    <row r="258" spans="7:10" x14ac:dyDescent="0.25">
      <c r="G258"/>
      <c r="I258"/>
      <c r="J258"/>
    </row>
    <row r="259" spans="7:10" x14ac:dyDescent="0.25">
      <c r="G259"/>
      <c r="I259"/>
      <c r="J259"/>
    </row>
    <row r="260" spans="7:10" x14ac:dyDescent="0.25">
      <c r="G260"/>
      <c r="I260"/>
      <c r="J260"/>
    </row>
    <row r="261" spans="7:10" x14ac:dyDescent="0.25">
      <c r="G261"/>
      <c r="I261"/>
      <c r="J261"/>
    </row>
    <row r="262" spans="7:10" x14ac:dyDescent="0.25">
      <c r="G262"/>
      <c r="I262"/>
      <c r="J262"/>
    </row>
    <row r="263" spans="7:10" x14ac:dyDescent="0.25">
      <c r="G263"/>
      <c r="I263"/>
      <c r="J263"/>
    </row>
    <row r="264" spans="7:10" x14ac:dyDescent="0.25">
      <c r="G264"/>
      <c r="I264"/>
      <c r="J264"/>
    </row>
  </sheetData>
  <autoFilter ref="A8:J135" xr:uid="{00000000-0009-0000-0000-000003000000}"/>
  <sortState xmlns:xlrd2="http://schemas.microsoft.com/office/spreadsheetml/2017/richdata2" ref="B117:GA140">
    <sortCondition ref="H117:H140"/>
    <sortCondition ref="I117:I140"/>
  </sortState>
  <mergeCells count="24">
    <mergeCell ref="CV7:CY7"/>
    <mergeCell ref="CJ6:DI6"/>
    <mergeCell ref="CO7:CU7"/>
    <mergeCell ref="BO7:BU7"/>
    <mergeCell ref="AF7:AK7"/>
    <mergeCell ref="DH7:DI7"/>
    <mergeCell ref="BJ7:BN7"/>
    <mergeCell ref="CJ7:CN7"/>
    <mergeCell ref="DD7:DG7"/>
    <mergeCell ref="BD7:BG7"/>
    <mergeCell ref="CD7:CG7"/>
    <mergeCell ref="BA7:BC7"/>
    <mergeCell ref="DB7:DC7"/>
    <mergeCell ref="BH7:BI7"/>
    <mergeCell ref="AT7:AX7"/>
    <mergeCell ref="CB7:CC7"/>
    <mergeCell ref="Q6:AC6"/>
    <mergeCell ref="Y7:AC7"/>
    <mergeCell ref="Q7:X7"/>
    <mergeCell ref="CH7:CI7"/>
    <mergeCell ref="BJ6:CI6"/>
    <mergeCell ref="AF6:BI6"/>
    <mergeCell ref="AL7:AS7"/>
    <mergeCell ref="BV7:BY7"/>
  </mergeCells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CB9CA"/>
  </sheetPr>
  <dimension ref="A1:GN350"/>
  <sheetViews>
    <sheetView zoomScale="80" zoomScaleNormal="80" workbookViewId="0">
      <pane ySplit="14" topLeftCell="A15" activePane="bottomLeft" state="frozen"/>
      <selection pane="bottomLeft"/>
    </sheetView>
  </sheetViews>
  <sheetFormatPr defaultColWidth="9.1796875" defaultRowHeight="12.5" x14ac:dyDescent="0.25"/>
  <cols>
    <col min="1" max="1" width="16.1796875" style="25" customWidth="1"/>
    <col min="2" max="2" width="17" style="25" customWidth="1"/>
    <col min="3" max="3" width="16.1796875" style="25" customWidth="1"/>
    <col min="4" max="4" width="17.26953125" style="25" customWidth="1"/>
    <col min="5" max="6" width="16.1796875" style="25" customWidth="1"/>
    <col min="7" max="7" width="21.1796875" style="25" hidden="1" customWidth="1"/>
    <col min="8" max="20" width="10" style="25" customWidth="1"/>
    <col min="21" max="21" width="14.81640625" style="25" bestFit="1" customWidth="1"/>
    <col min="22" max="23" width="5.54296875" style="25" bestFit="1" customWidth="1"/>
    <col min="24" max="24" width="9.54296875" style="25" customWidth="1"/>
    <col min="25" max="25" width="3.81640625" style="25" bestFit="1" customWidth="1"/>
    <col min="26" max="28" width="4.81640625" style="25" bestFit="1" customWidth="1"/>
    <col min="29" max="29" width="6" style="25" customWidth="1"/>
    <col min="30" max="30" width="17.26953125" style="25" customWidth="1"/>
    <col min="31" max="31" width="12.81640625" style="25" customWidth="1"/>
    <col min="32" max="32" width="8.1796875" style="25" bestFit="1" customWidth="1"/>
    <col min="33" max="33" width="7.1796875" style="25" bestFit="1" customWidth="1"/>
    <col min="34" max="35" width="6" style="25" bestFit="1" customWidth="1"/>
    <col min="36" max="36" width="8.1796875" style="25" bestFit="1" customWidth="1"/>
    <col min="37" max="38" width="7.1796875" style="25" bestFit="1" customWidth="1"/>
    <col min="39" max="39" width="6" style="25" bestFit="1" customWidth="1"/>
    <col min="40" max="40" width="5" style="25" bestFit="1" customWidth="1"/>
    <col min="41" max="41" width="8.1796875" style="25" bestFit="1" customWidth="1"/>
    <col min="42" max="42" width="7.1796875" style="25" bestFit="1" customWidth="1"/>
    <col min="43" max="43" width="11.54296875" style="25" bestFit="1" customWidth="1"/>
    <col min="44" max="44" width="6.7265625" style="25" bestFit="1" customWidth="1"/>
    <col min="45" max="45" width="8.1796875" style="25" bestFit="1" customWidth="1"/>
    <col min="46" max="46" width="6.54296875" style="25" bestFit="1" customWidth="1"/>
    <col min="47" max="47" width="7.81640625" style="25" bestFit="1" customWidth="1"/>
    <col min="48" max="48" width="6.26953125" style="25" bestFit="1" customWidth="1"/>
    <col min="49" max="49" width="10.26953125" style="25" customWidth="1"/>
    <col min="50" max="50" width="7.1796875" style="25" customWidth="1"/>
    <col min="51" max="51" width="4.81640625" style="25" bestFit="1" customWidth="1"/>
    <col min="52" max="52" width="4.26953125" style="25" customWidth="1"/>
    <col min="53" max="55" width="4.81640625" style="25" bestFit="1" customWidth="1"/>
    <col min="56" max="56" width="6.453125" style="25" bestFit="1" customWidth="1"/>
    <col min="57" max="57" width="6.26953125" style="25" bestFit="1" customWidth="1"/>
    <col min="58" max="58" width="6" style="25" customWidth="1"/>
    <col min="59" max="59" width="9.26953125" style="39" bestFit="1" customWidth="1"/>
    <col min="60" max="60" width="12.453125" style="39" bestFit="1" customWidth="1"/>
    <col min="61" max="61" width="10.26953125" style="39" bestFit="1" customWidth="1"/>
    <col min="62" max="62" width="12.1796875" style="39" customWidth="1"/>
    <col min="63" max="63" width="6" style="25" bestFit="1" customWidth="1"/>
    <col min="64" max="64" width="7.1796875" style="25" bestFit="1" customWidth="1"/>
    <col min="65" max="65" width="6" style="25" bestFit="1" customWidth="1"/>
    <col min="66" max="66" width="8.7265625" style="25" customWidth="1"/>
    <col min="67" max="67" width="12" style="25" customWidth="1"/>
    <col min="68" max="68" width="11.7265625" style="25" customWidth="1"/>
    <col min="69" max="69" width="10" style="25" customWidth="1"/>
    <col min="70" max="70" width="11.54296875" style="25" bestFit="1" customWidth="1"/>
    <col min="71" max="83" width="9.1796875" style="25"/>
    <col min="84" max="84" width="6" style="25" customWidth="1"/>
    <col min="85" max="95" width="9.1796875" style="25"/>
    <col min="96" max="96" width="11.54296875" style="25" bestFit="1" customWidth="1"/>
    <col min="97" max="16384" width="9.1796875" style="25"/>
  </cols>
  <sheetData>
    <row r="1" spans="1:102" x14ac:dyDescent="0.25">
      <c r="A1" s="304"/>
      <c r="B1" s="304"/>
      <c r="C1" s="304"/>
      <c r="D1" s="304"/>
      <c r="E1" s="304"/>
      <c r="F1" s="304"/>
      <c r="G1" s="186" t="s">
        <v>330</v>
      </c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4"/>
      <c r="CI1" s="304"/>
      <c r="CJ1" s="304"/>
      <c r="CK1" s="304"/>
      <c r="CL1" s="304"/>
      <c r="CM1" s="304"/>
      <c r="CN1" s="304"/>
      <c r="CO1" s="304"/>
      <c r="CP1" s="304"/>
      <c r="CQ1" s="304"/>
      <c r="CR1" s="304"/>
      <c r="CS1" s="304"/>
      <c r="CT1" s="304"/>
      <c r="CU1" s="304"/>
      <c r="CV1" s="304"/>
      <c r="CW1" s="304"/>
      <c r="CX1" s="304"/>
    </row>
    <row r="2" spans="1:102" ht="32.5" x14ac:dyDescent="0.65">
      <c r="A2" s="305" t="s">
        <v>279</v>
      </c>
      <c r="B2" s="304"/>
      <c r="C2" s="304"/>
      <c r="D2" s="304"/>
      <c r="E2" s="304"/>
      <c r="F2" s="304"/>
      <c r="G2" s="91">
        <v>1</v>
      </c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</row>
    <row r="3" spans="1:102" ht="13" x14ac:dyDescent="0.3">
      <c r="A3" s="297" t="s">
        <v>239</v>
      </c>
      <c r="B3" s="304"/>
      <c r="C3" s="306"/>
      <c r="D3" s="304"/>
      <c r="E3" s="304"/>
      <c r="F3" s="304"/>
      <c r="G3" s="91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8"/>
      <c r="BH3" s="308"/>
      <c r="BI3" s="308"/>
      <c r="BJ3" s="308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</row>
    <row r="4" spans="1:102" x14ac:dyDescent="0.25">
      <c r="A4" s="299" t="s">
        <v>341</v>
      </c>
      <c r="B4" s="304"/>
      <c r="C4" s="304"/>
      <c r="D4" s="304"/>
      <c r="E4" s="304"/>
      <c r="F4" s="304"/>
      <c r="G4" s="91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8"/>
      <c r="BH4" s="308"/>
      <c r="BI4" s="308"/>
      <c r="BJ4" s="308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</row>
    <row r="5" spans="1:102" x14ac:dyDescent="0.25">
      <c r="A5" s="299"/>
      <c r="B5" s="304"/>
      <c r="C5" s="304"/>
      <c r="D5" s="304"/>
      <c r="E5" s="304"/>
      <c r="F5" s="304"/>
      <c r="G5" s="91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8"/>
      <c r="BH5" s="308"/>
      <c r="BI5" s="308"/>
      <c r="BJ5" s="308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</row>
    <row r="6" spans="1:102" x14ac:dyDescent="0.25">
      <c r="A6" s="486" t="s">
        <v>251</v>
      </c>
      <c r="B6" s="487" t="s">
        <v>294</v>
      </c>
      <c r="C6" s="304"/>
      <c r="D6" s="486" t="s">
        <v>252</v>
      </c>
      <c r="E6" s="487" t="s">
        <v>253</v>
      </c>
      <c r="F6" s="304"/>
      <c r="G6" s="91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8"/>
      <c r="BH6" s="308"/>
      <c r="BI6" s="308"/>
      <c r="BJ6" s="308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</row>
    <row r="7" spans="1:102" x14ac:dyDescent="0.25">
      <c r="A7" s="488" t="s">
        <v>280</v>
      </c>
      <c r="B7" s="504">
        <f>('Beräkna - Nod'!C23+'Beräkna - Nod'!C24+'Beräkna - Nod'!C25)/'Beräkna - Nod'!$C$29^('Beräkna - Nod'!$C$28-2010)</f>
        <v>4500</v>
      </c>
      <c r="C7" s="307"/>
      <c r="D7" s="488" t="s">
        <v>292</v>
      </c>
      <c r="E7" s="505">
        <f>'Beräkna - Nod'!C19</f>
        <v>1</v>
      </c>
      <c r="F7" s="304"/>
      <c r="G7" s="91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8"/>
      <c r="BH7" s="308"/>
      <c r="BI7" s="308"/>
      <c r="BJ7" s="308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</row>
    <row r="8" spans="1:102" x14ac:dyDescent="0.25">
      <c r="A8" s="488" t="s">
        <v>281</v>
      </c>
      <c r="B8" s="504">
        <f>('Beräkna - Nod'!C24+'Beräkna - Nod'!C25)/'Beräkna - Nod'!$C$29^('Beräkna - Nod'!$C$28-2010)</f>
        <v>500</v>
      </c>
      <c r="C8" s="304"/>
      <c r="D8" s="488" t="s">
        <v>293</v>
      </c>
      <c r="E8" s="505">
        <f>'Beräkna - Nod'!C20</f>
        <v>1</v>
      </c>
      <c r="F8" s="304"/>
      <c r="G8" s="91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8"/>
      <c r="BH8" s="308"/>
      <c r="BI8" s="308"/>
      <c r="BJ8" s="308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</row>
    <row r="9" spans="1:102" x14ac:dyDescent="0.25">
      <c r="A9" s="488" t="s">
        <v>282</v>
      </c>
      <c r="B9" s="504">
        <f>'Beräkna - Nod'!C26/'Beräkna - Nod'!$C$29^('Beräkna - Nod'!$C$28-2010)</f>
        <v>20</v>
      </c>
      <c r="C9" s="304"/>
      <c r="D9" s="488" t="s">
        <v>300</v>
      </c>
      <c r="E9" s="505">
        <f>'Beräkna - Nod'!C21</f>
        <v>1</v>
      </c>
      <c r="F9" s="304"/>
      <c r="G9" s="91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8"/>
      <c r="BV9" s="308"/>
      <c r="BW9" s="308"/>
      <c r="BX9" s="308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</row>
    <row r="10" spans="1:102" x14ac:dyDescent="0.25">
      <c r="A10" s="488" t="s">
        <v>283</v>
      </c>
      <c r="B10" s="504">
        <f>'Beräkna - Nod'!C27/'Beräkna - Nod'!$C$29^('Beräkna - Nod'!$C$28-2010)</f>
        <v>75</v>
      </c>
      <c r="C10" s="304"/>
      <c r="D10" s="304"/>
      <c r="E10" s="304"/>
      <c r="F10" s="308"/>
      <c r="G10" s="122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4"/>
      <c r="V10" s="304"/>
      <c r="W10" s="304"/>
      <c r="X10" s="304"/>
      <c r="Y10" s="304"/>
      <c r="Z10" s="304"/>
      <c r="AA10" s="304"/>
      <c r="AB10" s="304"/>
      <c r="AC10" s="304"/>
      <c r="AD10" s="311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8"/>
      <c r="BV10" s="308"/>
      <c r="BW10" s="308"/>
      <c r="BX10" s="308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</row>
    <row r="11" spans="1:102" x14ac:dyDescent="0.25">
      <c r="A11" s="304"/>
      <c r="B11" s="304"/>
      <c r="C11" s="304"/>
      <c r="D11" s="304"/>
      <c r="E11" s="304"/>
      <c r="F11" s="308"/>
      <c r="G11" s="122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4"/>
      <c r="W11" s="304"/>
      <c r="X11" s="304"/>
      <c r="Y11" s="304"/>
      <c r="Z11" s="304"/>
      <c r="AA11" s="304"/>
      <c r="AB11" s="304"/>
      <c r="AC11" s="304"/>
      <c r="AD11" s="224"/>
      <c r="AE11" s="30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</row>
    <row r="12" spans="1:102" ht="13" x14ac:dyDescent="0.3">
      <c r="A12" s="299" t="s">
        <v>220</v>
      </c>
      <c r="B12" s="309"/>
      <c r="C12" s="309"/>
      <c r="D12" s="309"/>
      <c r="E12" s="309"/>
      <c r="F12" s="308"/>
      <c r="G12" s="122"/>
      <c r="H12" s="596" t="s">
        <v>156</v>
      </c>
      <c r="I12" s="584"/>
      <c r="J12" s="584"/>
      <c r="K12" s="584"/>
      <c r="L12" s="584"/>
      <c r="M12" s="584"/>
      <c r="N12" s="584"/>
      <c r="O12" s="584"/>
      <c r="P12" s="584"/>
      <c r="Q12" s="584"/>
      <c r="R12" s="584"/>
      <c r="S12" s="584"/>
      <c r="T12" s="584"/>
      <c r="U12" s="583" t="s">
        <v>97</v>
      </c>
      <c r="V12" s="584"/>
      <c r="W12" s="584"/>
      <c r="X12" s="584"/>
      <c r="Y12" s="584"/>
      <c r="Z12" s="584"/>
      <c r="AA12" s="584"/>
      <c r="AB12" s="584"/>
      <c r="AC12" s="584"/>
      <c r="AD12" s="584"/>
      <c r="AE12" s="584"/>
      <c r="AF12" s="584"/>
      <c r="AG12" s="584"/>
      <c r="AH12" s="584"/>
      <c r="AI12" s="584"/>
      <c r="AJ12" s="584"/>
      <c r="AK12" s="584"/>
      <c r="AL12" s="584"/>
      <c r="AM12" s="584"/>
      <c r="AN12" s="584"/>
      <c r="AO12" s="584"/>
      <c r="AP12" s="584"/>
      <c r="AQ12" s="584"/>
      <c r="AR12" s="584"/>
      <c r="AS12" s="584"/>
      <c r="AT12" s="584"/>
      <c r="AU12" s="584"/>
      <c r="AV12" s="584"/>
      <c r="AW12" s="584"/>
      <c r="AX12" s="585"/>
      <c r="AY12" s="583" t="s">
        <v>8</v>
      </c>
      <c r="AZ12" s="584"/>
      <c r="BA12" s="584"/>
      <c r="BB12" s="584"/>
      <c r="BC12" s="584"/>
      <c r="BD12" s="584"/>
      <c r="BE12" s="584"/>
      <c r="BF12" s="584"/>
      <c r="BG12" s="584"/>
      <c r="BH12" s="584"/>
      <c r="BI12" s="584"/>
      <c r="BJ12" s="584"/>
      <c r="BK12" s="584"/>
      <c r="BL12" s="584"/>
      <c r="BM12" s="584"/>
      <c r="BN12" s="584"/>
      <c r="BO12" s="584"/>
      <c r="BP12" s="584"/>
      <c r="BQ12" s="584"/>
      <c r="BR12" s="584"/>
      <c r="BS12" s="584"/>
      <c r="BT12" s="584"/>
      <c r="BU12" s="584"/>
      <c r="BV12" s="584"/>
      <c r="BW12" s="584"/>
      <c r="BX12" s="585"/>
      <c r="BY12" s="600" t="s">
        <v>7</v>
      </c>
      <c r="BZ12" s="601"/>
      <c r="CA12" s="601"/>
      <c r="CB12" s="601"/>
      <c r="CC12" s="601"/>
      <c r="CD12" s="601"/>
      <c r="CE12" s="601"/>
      <c r="CF12" s="601"/>
      <c r="CG12" s="601"/>
      <c r="CH12" s="601"/>
      <c r="CI12" s="601"/>
      <c r="CJ12" s="601"/>
      <c r="CK12" s="601"/>
      <c r="CL12" s="601"/>
      <c r="CM12" s="601"/>
      <c r="CN12" s="601"/>
      <c r="CO12" s="601"/>
      <c r="CP12" s="601"/>
      <c r="CQ12" s="601"/>
      <c r="CR12" s="601"/>
      <c r="CS12" s="601"/>
      <c r="CT12" s="601"/>
      <c r="CU12" s="601"/>
      <c r="CV12" s="601"/>
      <c r="CW12" s="601"/>
      <c r="CX12" s="602"/>
    </row>
    <row r="13" spans="1:102" x14ac:dyDescent="0.25">
      <c r="A13" s="299" t="s">
        <v>221</v>
      </c>
      <c r="B13" s="310"/>
      <c r="C13" s="310"/>
      <c r="D13" s="310"/>
      <c r="E13" s="310"/>
      <c r="F13" s="308"/>
      <c r="G13" s="122"/>
      <c r="H13" s="592" t="s">
        <v>166</v>
      </c>
      <c r="I13" s="593"/>
      <c r="J13" s="593"/>
      <c r="K13" s="593"/>
      <c r="L13" s="593"/>
      <c r="M13" s="593"/>
      <c r="N13" s="593"/>
      <c r="O13" s="594"/>
      <c r="P13" s="595" t="s">
        <v>206</v>
      </c>
      <c r="Q13" s="593"/>
      <c r="R13" s="593"/>
      <c r="S13" s="593"/>
      <c r="T13" s="593"/>
      <c r="U13" s="597" t="s">
        <v>348</v>
      </c>
      <c r="V13" s="599"/>
      <c r="W13" s="599"/>
      <c r="X13" s="599"/>
      <c r="Y13" s="599"/>
      <c r="Z13" s="599"/>
      <c r="AA13" s="599"/>
      <c r="AB13" s="598"/>
      <c r="AC13" s="496">
        <v>0.1</v>
      </c>
      <c r="AD13" s="595" t="s">
        <v>166</v>
      </c>
      <c r="AE13" s="593"/>
      <c r="AF13" s="593"/>
      <c r="AG13" s="593"/>
      <c r="AH13" s="593"/>
      <c r="AI13" s="593"/>
      <c r="AJ13" s="593"/>
      <c r="AK13" s="594"/>
      <c r="AL13" s="595" t="s">
        <v>206</v>
      </c>
      <c r="AM13" s="593"/>
      <c r="AN13" s="593"/>
      <c r="AO13" s="593"/>
      <c r="AP13" s="594"/>
      <c r="AQ13" s="497" t="s">
        <v>153</v>
      </c>
      <c r="AR13" s="597" t="s">
        <v>57</v>
      </c>
      <c r="AS13" s="599"/>
      <c r="AT13" s="598"/>
      <c r="AU13" s="597" t="s">
        <v>58</v>
      </c>
      <c r="AV13" s="599"/>
      <c r="AW13" s="599"/>
      <c r="AX13" s="598"/>
      <c r="AY13" s="597" t="s">
        <v>348</v>
      </c>
      <c r="AZ13" s="599"/>
      <c r="BA13" s="599"/>
      <c r="BB13" s="599"/>
      <c r="BC13" s="599"/>
      <c r="BD13" s="599"/>
      <c r="BE13" s="598"/>
      <c r="BF13" s="496">
        <v>0.1</v>
      </c>
      <c r="BG13" s="603" t="s">
        <v>166</v>
      </c>
      <c r="BH13" s="603"/>
      <c r="BI13" s="603"/>
      <c r="BJ13" s="603"/>
      <c r="BK13" s="603"/>
      <c r="BL13" s="603"/>
      <c r="BM13" s="603"/>
      <c r="BN13" s="603" t="s">
        <v>206</v>
      </c>
      <c r="BO13" s="603"/>
      <c r="BP13" s="603"/>
      <c r="BQ13" s="603"/>
      <c r="BR13" s="498" t="s">
        <v>153</v>
      </c>
      <c r="BS13" s="597" t="s">
        <v>57</v>
      </c>
      <c r="BT13" s="598"/>
      <c r="BU13" s="597" t="s">
        <v>58</v>
      </c>
      <c r="BV13" s="599"/>
      <c r="BW13" s="599"/>
      <c r="BX13" s="598"/>
      <c r="BY13" s="597" t="s">
        <v>348</v>
      </c>
      <c r="BZ13" s="599"/>
      <c r="CA13" s="599"/>
      <c r="CB13" s="599"/>
      <c r="CC13" s="599"/>
      <c r="CD13" s="599"/>
      <c r="CE13" s="598"/>
      <c r="CF13" s="496">
        <v>0.1</v>
      </c>
      <c r="CG13" s="603" t="s">
        <v>166</v>
      </c>
      <c r="CH13" s="603"/>
      <c r="CI13" s="603"/>
      <c r="CJ13" s="603"/>
      <c r="CK13" s="603"/>
      <c r="CL13" s="603"/>
      <c r="CM13" s="603"/>
      <c r="CN13" s="603" t="s">
        <v>206</v>
      </c>
      <c r="CO13" s="603"/>
      <c r="CP13" s="603"/>
      <c r="CQ13" s="603"/>
      <c r="CR13" s="498" t="s">
        <v>153</v>
      </c>
      <c r="CS13" s="597" t="s">
        <v>57</v>
      </c>
      <c r="CT13" s="598"/>
      <c r="CU13" s="597" t="s">
        <v>58</v>
      </c>
      <c r="CV13" s="599"/>
      <c r="CW13" s="599"/>
      <c r="CX13" s="598"/>
    </row>
    <row r="14" spans="1:102" s="22" customFormat="1" ht="13" x14ac:dyDescent="0.3">
      <c r="A14" s="499" t="s">
        <v>18</v>
      </c>
      <c r="B14" s="500" t="s">
        <v>88</v>
      </c>
      <c r="C14" s="500" t="s">
        <v>106</v>
      </c>
      <c r="D14" s="500" t="s">
        <v>19</v>
      </c>
      <c r="E14" s="500" t="s">
        <v>37</v>
      </c>
      <c r="F14" s="500" t="s">
        <v>120</v>
      </c>
      <c r="G14" s="500" t="s">
        <v>192</v>
      </c>
      <c r="H14" s="500" t="s">
        <v>146</v>
      </c>
      <c r="I14" s="500" t="s">
        <v>225</v>
      </c>
      <c r="J14" s="500" t="s">
        <v>0</v>
      </c>
      <c r="K14" s="500" t="s">
        <v>1</v>
      </c>
      <c r="L14" s="500" t="s">
        <v>2</v>
      </c>
      <c r="M14" s="500" t="s">
        <v>3</v>
      </c>
      <c r="N14" s="500" t="s">
        <v>38</v>
      </c>
      <c r="O14" s="500" t="s">
        <v>39</v>
      </c>
      <c r="P14" s="500" t="s">
        <v>1</v>
      </c>
      <c r="Q14" s="500" t="s">
        <v>2</v>
      </c>
      <c r="R14" s="500" t="s">
        <v>3</v>
      </c>
      <c r="S14" s="500" t="s">
        <v>38</v>
      </c>
      <c r="T14" s="500" t="s">
        <v>39</v>
      </c>
      <c r="U14" s="500" t="s">
        <v>119</v>
      </c>
      <c r="V14" s="500" t="s">
        <v>89</v>
      </c>
      <c r="W14" s="500" t="s">
        <v>90</v>
      </c>
      <c r="X14" s="500" t="s">
        <v>9</v>
      </c>
      <c r="Y14" s="501" t="s">
        <v>14</v>
      </c>
      <c r="Z14" s="500" t="s">
        <v>21</v>
      </c>
      <c r="AA14" s="500" t="s">
        <v>22</v>
      </c>
      <c r="AB14" s="500" t="s">
        <v>23</v>
      </c>
      <c r="AC14" s="500" t="s">
        <v>297</v>
      </c>
      <c r="AD14" s="500" t="s">
        <v>146</v>
      </c>
      <c r="AE14" s="500" t="s">
        <v>225</v>
      </c>
      <c r="AF14" s="500" t="s">
        <v>0</v>
      </c>
      <c r="AG14" s="500" t="s">
        <v>1</v>
      </c>
      <c r="AH14" s="500" t="s">
        <v>2</v>
      </c>
      <c r="AI14" s="500" t="s">
        <v>3</v>
      </c>
      <c r="AJ14" s="500" t="s">
        <v>38</v>
      </c>
      <c r="AK14" s="500" t="s">
        <v>39</v>
      </c>
      <c r="AL14" s="500" t="s">
        <v>1</v>
      </c>
      <c r="AM14" s="500" t="s">
        <v>2</v>
      </c>
      <c r="AN14" s="500" t="s">
        <v>3</v>
      </c>
      <c r="AO14" s="500" t="s">
        <v>38</v>
      </c>
      <c r="AP14" s="500" t="s">
        <v>39</v>
      </c>
      <c r="AQ14" s="500" t="s">
        <v>150</v>
      </c>
      <c r="AR14" s="500" t="s">
        <v>116</v>
      </c>
      <c r="AS14" s="500" t="s">
        <v>117</v>
      </c>
      <c r="AT14" s="500" t="s">
        <v>118</v>
      </c>
      <c r="AU14" s="500" t="s">
        <v>102</v>
      </c>
      <c r="AV14" s="502" t="s">
        <v>103</v>
      </c>
      <c r="AW14" s="502" t="s">
        <v>104</v>
      </c>
      <c r="AX14" s="502" t="s">
        <v>105</v>
      </c>
      <c r="AY14" s="503" t="s">
        <v>119</v>
      </c>
      <c r="AZ14" s="500" t="s">
        <v>89</v>
      </c>
      <c r="BA14" s="500" t="s">
        <v>90</v>
      </c>
      <c r="BB14" s="500" t="s">
        <v>9</v>
      </c>
      <c r="BC14" s="501" t="s">
        <v>14</v>
      </c>
      <c r="BD14" s="500" t="s">
        <v>21</v>
      </c>
      <c r="BE14" s="500" t="s">
        <v>22</v>
      </c>
      <c r="BF14" s="500" t="s">
        <v>297</v>
      </c>
      <c r="BG14" s="500" t="s">
        <v>146</v>
      </c>
      <c r="BH14" s="500" t="s">
        <v>225</v>
      </c>
      <c r="BI14" s="500" t="s">
        <v>0</v>
      </c>
      <c r="BJ14" s="500" t="s">
        <v>1</v>
      </c>
      <c r="BK14" s="500" t="s">
        <v>2</v>
      </c>
      <c r="BL14" s="500" t="s">
        <v>38</v>
      </c>
      <c r="BM14" s="500" t="s">
        <v>39</v>
      </c>
      <c r="BN14" s="500" t="s">
        <v>1</v>
      </c>
      <c r="BO14" s="500" t="s">
        <v>2</v>
      </c>
      <c r="BP14" s="500" t="s">
        <v>38</v>
      </c>
      <c r="BQ14" s="500" t="s">
        <v>39</v>
      </c>
      <c r="BR14" s="500" t="s">
        <v>150</v>
      </c>
      <c r="BS14" s="500" t="s">
        <v>116</v>
      </c>
      <c r="BT14" s="500" t="s">
        <v>117</v>
      </c>
      <c r="BU14" s="500" t="s">
        <v>102</v>
      </c>
      <c r="BV14" s="502" t="s">
        <v>103</v>
      </c>
      <c r="BW14" s="502" t="s">
        <v>104</v>
      </c>
      <c r="BX14" s="502" t="s">
        <v>105</v>
      </c>
      <c r="BY14" s="500" t="s">
        <v>119</v>
      </c>
      <c r="BZ14" s="500" t="s">
        <v>89</v>
      </c>
      <c r="CA14" s="500" t="s">
        <v>90</v>
      </c>
      <c r="CB14" s="500" t="s">
        <v>9</v>
      </c>
      <c r="CC14" s="501" t="s">
        <v>14</v>
      </c>
      <c r="CD14" s="500" t="s">
        <v>21</v>
      </c>
      <c r="CE14" s="500" t="s">
        <v>22</v>
      </c>
      <c r="CF14" s="500" t="s">
        <v>297</v>
      </c>
      <c r="CG14" s="500" t="s">
        <v>146</v>
      </c>
      <c r="CH14" s="500" t="s">
        <v>225</v>
      </c>
      <c r="CI14" s="500" t="s">
        <v>0</v>
      </c>
      <c r="CJ14" s="500" t="s">
        <v>1</v>
      </c>
      <c r="CK14" s="500" t="s">
        <v>2</v>
      </c>
      <c r="CL14" s="500" t="s">
        <v>38</v>
      </c>
      <c r="CM14" s="500" t="s">
        <v>39</v>
      </c>
      <c r="CN14" s="500" t="s">
        <v>1</v>
      </c>
      <c r="CO14" s="500" t="s">
        <v>2</v>
      </c>
      <c r="CP14" s="500" t="s">
        <v>38</v>
      </c>
      <c r="CQ14" s="500" t="s">
        <v>39</v>
      </c>
      <c r="CR14" s="500" t="s">
        <v>150</v>
      </c>
      <c r="CS14" s="500" t="s">
        <v>116</v>
      </c>
      <c r="CT14" s="500" t="s">
        <v>117</v>
      </c>
      <c r="CU14" s="500" t="s">
        <v>102</v>
      </c>
      <c r="CV14" s="502" t="s">
        <v>103</v>
      </c>
      <c r="CW14" s="502" t="s">
        <v>104</v>
      </c>
      <c r="CX14" s="500" t="s">
        <v>105</v>
      </c>
    </row>
    <row r="15" spans="1:102" s="23" customFormat="1" x14ac:dyDescent="0.25">
      <c r="A15" s="31">
        <v>1</v>
      </c>
      <c r="B15" s="83">
        <v>3</v>
      </c>
      <c r="C15" s="31">
        <v>40</v>
      </c>
      <c r="D15" s="31" t="s">
        <v>36</v>
      </c>
      <c r="E15" s="31" t="s">
        <v>4</v>
      </c>
      <c r="F15" s="31" t="s">
        <v>12</v>
      </c>
      <c r="G15" s="31" t="str">
        <f>D15&amp;" "&amp;C15&amp;" "&amp;E15&amp;" "&amp;B15&amp;" "&amp;F15</f>
        <v>Kommunal 40 C 3 A</v>
      </c>
      <c r="H15" s="48">
        <f t="shared" ref="H15:H78" si="0">AD15+BG15+CG15</f>
        <v>5.1291304537188262E-2</v>
      </c>
      <c r="I15" s="40">
        <f t="shared" ref="I15:I78" si="1">AE15+BH15+CH15</f>
        <v>4.6238274226412586E-2</v>
      </c>
      <c r="J15" s="99">
        <f t="shared" ref="J15:J78" si="2">AF15+BI15+CI15</f>
        <v>4.0825197288338859E-4</v>
      </c>
      <c r="K15" s="48">
        <f t="shared" ref="K15:K78" si="3">AG15+BJ15+CJ15</f>
        <v>8.1378567670665376E-3</v>
      </c>
      <c r="L15" s="48">
        <f t="shared" ref="L15:L78" si="4">AH15+BK15+CK15</f>
        <v>3.7692165486462662E-2</v>
      </c>
      <c r="M15" s="48">
        <f>AI15</f>
        <v>7.8861806187613501E-2</v>
      </c>
      <c r="N15" s="99">
        <f t="shared" ref="N15:N78" si="5">AJ15+BL15+CL15</f>
        <v>1.4929238462035111E-3</v>
      </c>
      <c r="O15" s="48">
        <f t="shared" ref="O15:O78" si="6">AK15+BM15+CM15</f>
        <v>8.2983022749560167E-3</v>
      </c>
      <c r="P15" s="48">
        <f t="shared" ref="P15:P78" si="7">AL15+BN15+CN15</f>
        <v>1.2206785150599805E-2</v>
      </c>
      <c r="Q15" s="48">
        <f t="shared" ref="Q15:Q78" si="8">AM15+BO15+CO15</f>
        <v>5.6538248229693992E-2</v>
      </c>
      <c r="R15" s="40">
        <f>AN15</f>
        <v>0.55203264331329449</v>
      </c>
      <c r="S15" s="99">
        <f t="shared" ref="S15:S78" si="9">AO15++BP15+CP15</f>
        <v>2.2393857693052666E-3</v>
      </c>
      <c r="T15" s="48">
        <f t="shared" ref="T15:T78" si="10">AP15++BQ15+CQ15</f>
        <v>1.2447453412434025E-2</v>
      </c>
      <c r="U15" s="40">
        <v>0.40919472000000001</v>
      </c>
      <c r="V15" s="40">
        <v>1.45</v>
      </c>
      <c r="W15" s="41">
        <v>0.5</v>
      </c>
      <c r="X15" s="40">
        <v>0.81311046136052012</v>
      </c>
      <c r="Y15" s="42">
        <v>0.70351646821904235</v>
      </c>
      <c r="Z15" s="42">
        <v>12.82560934778585</v>
      </c>
      <c r="AA15" s="42">
        <v>86.470874183995122</v>
      </c>
      <c r="AB15" s="42">
        <v>3.5871559633027532</v>
      </c>
      <c r="AC15" s="125">
        <v>1</v>
      </c>
      <c r="AD15" s="94">
        <f>AC15*$E$7*U15/10^6*($B$7)^V15*($B$8/$B$7)^W15</f>
        <v>2.7037523595813701E-2</v>
      </c>
      <c r="AE15" s="94">
        <f>X15*AD15</f>
        <v>2.1984493285038029E-2</v>
      </c>
      <c r="AF15" s="96">
        <f t="shared" ref="AF15:AF78" si="11">$AE15*Y15/100</f>
        <v>1.5466453071475206E-4</v>
      </c>
      <c r="AG15" s="95">
        <f t="shared" ref="AG15:AG30" si="12">$AE15*Z15/100</f>
        <v>2.8196452258291899E-3</v>
      </c>
      <c r="AH15" s="94">
        <f>$AE15*AA15/100</f>
        <v>1.9010183528494089E-2</v>
      </c>
      <c r="AI15" s="94">
        <f>$AE15*AB15</f>
        <v>7.8861806187613501E-2</v>
      </c>
      <c r="AJ15" s="96">
        <f>AG15*AU15+AH15*AW15</f>
        <v>5.42378114546766E-4</v>
      </c>
      <c r="AK15" s="95">
        <f t="shared" ref="AK15:AK78" si="13">AG15*AV15+AH15*AX15</f>
        <v>3.2608245219364045E-3</v>
      </c>
      <c r="AL15" s="95">
        <f t="shared" ref="AL15:AL78" si="14">AG15*AR15</f>
        <v>4.2294678387437851E-3</v>
      </c>
      <c r="AM15" s="94">
        <f t="shared" ref="AM15:AM78" si="15">AH15*AS15</f>
        <v>2.8515275292741133E-2</v>
      </c>
      <c r="AN15" s="93">
        <f t="shared" ref="AN15:AN78" si="16">AI15*AT15</f>
        <v>0.55203264331329449</v>
      </c>
      <c r="AO15" s="96">
        <f t="shared" ref="AO15:AO78" si="17">AL15*AU15+AM15*AW15</f>
        <v>8.135671718201491E-4</v>
      </c>
      <c r="AP15" s="95">
        <f t="shared" ref="AP15:AP78" si="18">AL15*AV15+AM15*AX15</f>
        <v>4.8912367829046077E-3</v>
      </c>
      <c r="AQ15" s="93">
        <f t="shared" ref="AQ15:AQ78" si="19">(AF15+AG15)/AE15</f>
        <v>0.13529125816004894</v>
      </c>
      <c r="AR15" s="31">
        <v>1.5</v>
      </c>
      <c r="AS15" s="31">
        <v>1.5</v>
      </c>
      <c r="AT15" s="31">
        <v>7</v>
      </c>
      <c r="AU15" s="43">
        <v>7.0999999999999994E-2</v>
      </c>
      <c r="AV15" s="44">
        <v>0.28000000000000003</v>
      </c>
      <c r="AW15" s="43">
        <v>1.7999999999999999E-2</v>
      </c>
      <c r="AX15" s="44">
        <v>0.13</v>
      </c>
      <c r="AY15" s="40">
        <v>6.316987959964214</v>
      </c>
      <c r="AZ15" s="41">
        <v>0.5</v>
      </c>
      <c r="BA15" s="40">
        <v>0.72</v>
      </c>
      <c r="BB15" s="45">
        <v>1</v>
      </c>
      <c r="BC15" s="41">
        <v>2.8979862246705492</v>
      </c>
      <c r="BD15" s="41">
        <v>22.894025067660387</v>
      </c>
      <c r="BE15" s="41">
        <v>74.207988707669074</v>
      </c>
      <c r="BF15" s="125">
        <v>1</v>
      </c>
      <c r="BG15" s="48">
        <f>BF15*$E$8*AY15/10^6*($B$7)^AZ15*($B$9)^BA15</f>
        <v>3.6631769931111274E-3</v>
      </c>
      <c r="BH15" s="48">
        <f>BB15*BG15</f>
        <v>3.6631769931111274E-3</v>
      </c>
      <c r="BI15" s="99">
        <f>$BH15*BC15/100</f>
        <v>1.061583646456613E-4</v>
      </c>
      <c r="BJ15" s="99">
        <f>$BH15*BD15/100</f>
        <v>8.3864865907562957E-4</v>
      </c>
      <c r="BK15" s="48">
        <f>$BH15*BE15/100</f>
        <v>2.7183699693898366E-3</v>
      </c>
      <c r="BL15" s="99">
        <f t="shared" ref="BL15:BL78" si="20">BJ15*BU15+BK15*BW15</f>
        <v>1.6735359168041993E-4</v>
      </c>
      <c r="BM15" s="48">
        <f t="shared" ref="BM15:BM78" si="21">BJ15*BV15+BK15*BX15</f>
        <v>8.9590643068973184E-4</v>
      </c>
      <c r="BN15" s="48">
        <f t="shared" ref="BN15:BN78" si="22">BJ15*BS15</f>
        <v>1.2579729886134444E-3</v>
      </c>
      <c r="BO15" s="48">
        <f t="shared" ref="BO15:BO78" si="23">BK15*BT15</f>
        <v>4.0775549540847545E-3</v>
      </c>
      <c r="BP15" s="99">
        <f t="shared" ref="BP15:BP78" si="24">BN15*BU15+BO15*BW15</f>
        <v>2.5103038752062991E-4</v>
      </c>
      <c r="BQ15" s="48">
        <f t="shared" ref="BQ15:BQ78" si="25">BN15*BV15+BO15*BX15</f>
        <v>1.3438596460345975E-3</v>
      </c>
      <c r="BR15" s="40">
        <f t="shared" ref="BR15:BR78" si="26">(BI15+BJ15)/BH15</f>
        <v>0.25792011292330935</v>
      </c>
      <c r="BS15" s="31">
        <v>1.5</v>
      </c>
      <c r="BT15" s="31">
        <v>1.5</v>
      </c>
      <c r="BU15" s="43">
        <v>0.125</v>
      </c>
      <c r="BV15" s="44">
        <v>0.42</v>
      </c>
      <c r="BW15" s="43">
        <v>2.3E-2</v>
      </c>
      <c r="BX15" s="44">
        <v>0.2</v>
      </c>
      <c r="BY15" s="40">
        <v>15.675043576489299</v>
      </c>
      <c r="BZ15" s="40">
        <v>0.52</v>
      </c>
      <c r="CA15" s="40">
        <v>0.65</v>
      </c>
      <c r="CB15" s="45">
        <v>1</v>
      </c>
      <c r="CC15" s="41">
        <v>0.71600171560489412</v>
      </c>
      <c r="CD15" s="41">
        <v>21.755373924034487</v>
      </c>
      <c r="CE15" s="41">
        <v>77.528624360360624</v>
      </c>
      <c r="CF15" s="125">
        <v>1</v>
      </c>
      <c r="CG15" s="40">
        <f>CF15*$E$9*BY15/10^6*($B$7)^BZ15*($B$10)^CA15</f>
        <v>2.0590603948263429E-2</v>
      </c>
      <c r="CH15" s="40">
        <f>CB15*CG15</f>
        <v>2.0590603948263429E-2</v>
      </c>
      <c r="CI15" s="99">
        <f>CC15/100*CH15</f>
        <v>1.4742907752297521E-4</v>
      </c>
      <c r="CJ15" s="100">
        <f>CD15/100*CH15</f>
        <v>4.4795628821617172E-3</v>
      </c>
      <c r="CK15" s="100">
        <f>CE15/100*CH15</f>
        <v>1.5963611988578735E-2</v>
      </c>
      <c r="CL15" s="101">
        <f t="shared" ref="CL15:CL78" si="27">CJ15*CU15+CK15*CW15</f>
        <v>7.8319213997632528E-4</v>
      </c>
      <c r="CM15" s="100">
        <f t="shared" ref="CM15:CM78" si="28">CJ15*CV15+CK15*CX15</f>
        <v>4.1415713223298799E-3</v>
      </c>
      <c r="CN15" s="100">
        <f t="shared" ref="CN15:CN78" si="29">CJ15*CS15</f>
        <v>6.7193443232425754E-3</v>
      </c>
      <c r="CO15" s="100">
        <f t="shared" ref="CO15:CO78" si="30">CK15*CT15</f>
        <v>2.3945417982868103E-2</v>
      </c>
      <c r="CP15" s="101">
        <f t="shared" ref="CP15:CP78" si="31">CN15*CU15+CO15*CW15</f>
        <v>1.1747882099644876E-3</v>
      </c>
      <c r="CQ15" s="100">
        <f t="shared" ref="CQ15:CQ78" si="32">CN15*CV15+CO15*CX15</f>
        <v>6.2123569834948199E-3</v>
      </c>
      <c r="CR15" s="99">
        <f t="shared" ref="CR15:CR78" si="33">(CI15+CJ15)/CH15</f>
        <v>0.22471375639639379</v>
      </c>
      <c r="CS15" s="31">
        <v>1.5</v>
      </c>
      <c r="CT15" s="31">
        <v>1.5</v>
      </c>
      <c r="CU15" s="43">
        <v>0.1</v>
      </c>
      <c r="CV15" s="44">
        <v>0.39</v>
      </c>
      <c r="CW15" s="43">
        <v>2.1000000000000001E-2</v>
      </c>
      <c r="CX15" s="44">
        <v>0.15</v>
      </c>
    </row>
    <row r="16" spans="1:102" s="23" customFormat="1" x14ac:dyDescent="0.25">
      <c r="A16" s="31">
        <v>2</v>
      </c>
      <c r="B16" s="83">
        <v>3</v>
      </c>
      <c r="C16" s="31">
        <v>40</v>
      </c>
      <c r="D16" s="31" t="s">
        <v>36</v>
      </c>
      <c r="E16" s="31" t="s">
        <v>4</v>
      </c>
      <c r="F16" s="31" t="s">
        <v>13</v>
      </c>
      <c r="G16" s="31" t="str">
        <f t="shared" ref="G16:G79" si="34">D16&amp;" "&amp;C16&amp;" "&amp;E16&amp;" "&amp;B16&amp;" "&amp;F16</f>
        <v>Kommunal 40 C 3 B</v>
      </c>
      <c r="H16" s="48">
        <f t="shared" si="0"/>
        <v>5.1291304537188276E-2</v>
      </c>
      <c r="I16" s="40">
        <f t="shared" si="1"/>
        <v>4.6238274226412607E-2</v>
      </c>
      <c r="J16" s="99">
        <f t="shared" si="2"/>
        <v>4.0825197288338875E-4</v>
      </c>
      <c r="K16" s="48">
        <f t="shared" si="3"/>
        <v>8.1378567670665411E-3</v>
      </c>
      <c r="L16" s="48">
        <f t="shared" si="4"/>
        <v>3.7692165486462675E-2</v>
      </c>
      <c r="M16" s="48">
        <f t="shared" ref="M16:M79" si="35">AI16</f>
        <v>7.8861806187613501E-2</v>
      </c>
      <c r="N16" s="99">
        <f t="shared" si="5"/>
        <v>1.4929238462035119E-3</v>
      </c>
      <c r="O16" s="48">
        <f t="shared" si="6"/>
        <v>8.2983022749560219E-3</v>
      </c>
      <c r="P16" s="48">
        <f t="shared" si="7"/>
        <v>1.2206785150599813E-2</v>
      </c>
      <c r="Q16" s="48">
        <f t="shared" si="8"/>
        <v>5.653824822969402E-2</v>
      </c>
      <c r="R16" s="40">
        <f t="shared" ref="R16:R79" si="36">AN16</f>
        <v>0.55203264331329449</v>
      </c>
      <c r="S16" s="99">
        <f t="shared" si="9"/>
        <v>2.2393857693052683E-3</v>
      </c>
      <c r="T16" s="48">
        <f t="shared" si="10"/>
        <v>1.2447453412434032E-2</v>
      </c>
      <c r="U16" s="40">
        <v>0.40919472000000001</v>
      </c>
      <c r="V16" s="40">
        <v>1.45</v>
      </c>
      <c r="W16" s="41">
        <v>0.5</v>
      </c>
      <c r="X16" s="40">
        <v>0.81311046136052012</v>
      </c>
      <c r="Y16" s="42">
        <v>0.70351646821904235</v>
      </c>
      <c r="Z16" s="42">
        <v>12.82560934778585</v>
      </c>
      <c r="AA16" s="42">
        <v>86.470874183995122</v>
      </c>
      <c r="AB16" s="42">
        <v>3.5871559633027532</v>
      </c>
      <c r="AC16" s="125">
        <v>1</v>
      </c>
      <c r="AD16" s="94">
        <f t="shared" ref="AD16:AD79" si="37">AC16*$E$7*U16/10^6*($B$7)^V16*($B$8/$B$7)^W16</f>
        <v>2.7037523595813701E-2</v>
      </c>
      <c r="AE16" s="94">
        <f t="shared" ref="AE16:AE79" si="38">X16*AD16</f>
        <v>2.1984493285038029E-2</v>
      </c>
      <c r="AF16" s="96">
        <f t="shared" si="11"/>
        <v>1.5466453071475206E-4</v>
      </c>
      <c r="AG16" s="95">
        <f t="shared" si="12"/>
        <v>2.8196452258291899E-3</v>
      </c>
      <c r="AH16" s="94">
        <f t="shared" ref="AH16:AH79" si="39">$AE16*AA16/100</f>
        <v>1.9010183528494089E-2</v>
      </c>
      <c r="AI16" s="94">
        <f t="shared" ref="AI16:AI79" si="40">$AE16*AB16</f>
        <v>7.8861806187613501E-2</v>
      </c>
      <c r="AJ16" s="96">
        <f t="shared" ref="AJ16:AJ78" si="41">AG16*AU16+AH16*AW16</f>
        <v>5.42378114546766E-4</v>
      </c>
      <c r="AK16" s="95">
        <f t="shared" si="13"/>
        <v>3.2608245219364045E-3</v>
      </c>
      <c r="AL16" s="95">
        <f t="shared" si="14"/>
        <v>4.2294678387437851E-3</v>
      </c>
      <c r="AM16" s="94">
        <f t="shared" si="15"/>
        <v>2.8515275292741133E-2</v>
      </c>
      <c r="AN16" s="93">
        <f t="shared" si="16"/>
        <v>0.55203264331329449</v>
      </c>
      <c r="AO16" s="96">
        <f t="shared" si="17"/>
        <v>8.135671718201491E-4</v>
      </c>
      <c r="AP16" s="95">
        <f t="shared" si="18"/>
        <v>4.8912367829046077E-3</v>
      </c>
      <c r="AQ16" s="93">
        <f t="shared" si="19"/>
        <v>0.13529125816004894</v>
      </c>
      <c r="AR16" s="31">
        <v>1.5</v>
      </c>
      <c r="AS16" s="31">
        <v>1.5</v>
      </c>
      <c r="AT16" s="31">
        <v>7</v>
      </c>
      <c r="AU16" s="43">
        <v>7.0999999999999994E-2</v>
      </c>
      <c r="AV16" s="44">
        <v>0.28000000000000003</v>
      </c>
      <c r="AW16" s="43">
        <v>1.7999999999999999E-2</v>
      </c>
      <c r="AX16" s="44">
        <v>0.13</v>
      </c>
      <c r="AY16" s="40">
        <v>6.316987959964214</v>
      </c>
      <c r="AZ16" s="41">
        <v>0.5</v>
      </c>
      <c r="BA16" s="40">
        <v>0.72</v>
      </c>
      <c r="BB16" s="45">
        <v>1</v>
      </c>
      <c r="BC16" s="41">
        <v>2.8979862246705492</v>
      </c>
      <c r="BD16" s="41">
        <v>22.894025067660387</v>
      </c>
      <c r="BE16" s="41">
        <v>74.207988707669074</v>
      </c>
      <c r="BF16" s="125">
        <v>1</v>
      </c>
      <c r="BG16" s="48">
        <f t="shared" ref="BG16:BG79" si="42">BF16*$E$8*AY16/10^6*($B$7)^AZ16*($B$9)^BA16</f>
        <v>3.6631769931111274E-3</v>
      </c>
      <c r="BH16" s="48">
        <f t="shared" ref="BH16:BH79" si="43">BB16*BG16</f>
        <v>3.6631769931111274E-3</v>
      </c>
      <c r="BI16" s="99">
        <f t="shared" ref="BI16:BI79" si="44">$BH16*BC16/100</f>
        <v>1.061583646456613E-4</v>
      </c>
      <c r="BJ16" s="99">
        <f t="shared" ref="BJ16:BJ79" si="45">$BH16*BD16/100</f>
        <v>8.3864865907562957E-4</v>
      </c>
      <c r="BK16" s="48">
        <f t="shared" ref="BK16:BK79" si="46">$BH16*BE16/100</f>
        <v>2.7183699693898366E-3</v>
      </c>
      <c r="BL16" s="99">
        <f t="shared" si="20"/>
        <v>1.6735359168041993E-4</v>
      </c>
      <c r="BM16" s="48">
        <f t="shared" si="21"/>
        <v>8.9590643068973184E-4</v>
      </c>
      <c r="BN16" s="48">
        <f t="shared" si="22"/>
        <v>1.2579729886134444E-3</v>
      </c>
      <c r="BO16" s="48">
        <f t="shared" si="23"/>
        <v>4.0775549540847545E-3</v>
      </c>
      <c r="BP16" s="99">
        <f t="shared" si="24"/>
        <v>2.5103038752062991E-4</v>
      </c>
      <c r="BQ16" s="48">
        <f t="shared" si="25"/>
        <v>1.3438596460345975E-3</v>
      </c>
      <c r="BR16" s="40">
        <f t="shared" si="26"/>
        <v>0.25792011292330935</v>
      </c>
      <c r="BS16" s="31">
        <v>1.5</v>
      </c>
      <c r="BT16" s="31">
        <v>1.5</v>
      </c>
      <c r="BU16" s="43">
        <v>0.125</v>
      </c>
      <c r="BV16" s="44">
        <v>0.42</v>
      </c>
      <c r="BW16" s="43">
        <v>2.3E-2</v>
      </c>
      <c r="BX16" s="44">
        <v>0.2</v>
      </c>
      <c r="BY16" s="40">
        <v>15.675043576489315</v>
      </c>
      <c r="BZ16" s="40">
        <v>0.52</v>
      </c>
      <c r="CA16" s="40">
        <v>0.65</v>
      </c>
      <c r="CB16" s="45">
        <v>1</v>
      </c>
      <c r="CC16" s="41">
        <v>0.71600171560489412</v>
      </c>
      <c r="CD16" s="41">
        <v>21.755373924034487</v>
      </c>
      <c r="CE16" s="41">
        <v>77.528624360360624</v>
      </c>
      <c r="CF16" s="125">
        <v>1</v>
      </c>
      <c r="CG16" s="40">
        <f t="shared" ref="CG16:CG79" si="47">CF16*$E$9*BY16/10^6*($B$7)^BZ16*($B$10)^CA16</f>
        <v>2.0590603948263449E-2</v>
      </c>
      <c r="CH16" s="40">
        <f t="shared" ref="CH16:CH79" si="48">CB16*CG16</f>
        <v>2.0590603948263449E-2</v>
      </c>
      <c r="CI16" s="99">
        <f t="shared" ref="CI16:CI79" si="49">CC16/100*CH16</f>
        <v>1.4742907752297537E-4</v>
      </c>
      <c r="CJ16" s="100">
        <f t="shared" ref="CJ16:CJ79" si="50">CD16/100*CH16</f>
        <v>4.4795628821617224E-3</v>
      </c>
      <c r="CK16" s="100">
        <f t="shared" ref="CK16:CK79" si="51">CE16/100*CH16</f>
        <v>1.5963611988578753E-2</v>
      </c>
      <c r="CL16" s="101">
        <f t="shared" si="27"/>
        <v>7.8319213997632615E-4</v>
      </c>
      <c r="CM16" s="100">
        <f t="shared" si="28"/>
        <v>4.1415713223298851E-3</v>
      </c>
      <c r="CN16" s="100">
        <f t="shared" si="29"/>
        <v>6.7193443232425841E-3</v>
      </c>
      <c r="CO16" s="100">
        <f t="shared" si="30"/>
        <v>2.3945417982868131E-2</v>
      </c>
      <c r="CP16" s="101">
        <f t="shared" si="31"/>
        <v>1.1747882099644893E-3</v>
      </c>
      <c r="CQ16" s="100">
        <f t="shared" si="32"/>
        <v>6.2123569834948277E-3</v>
      </c>
      <c r="CR16" s="99">
        <f t="shared" si="33"/>
        <v>0.22471375639639382</v>
      </c>
      <c r="CS16" s="31">
        <v>1.5</v>
      </c>
      <c r="CT16" s="31">
        <v>1.5</v>
      </c>
      <c r="CU16" s="43">
        <v>0.1</v>
      </c>
      <c r="CV16" s="44">
        <v>0.39</v>
      </c>
      <c r="CW16" s="43">
        <v>2.1000000000000001E-2</v>
      </c>
      <c r="CX16" s="44">
        <v>0.15</v>
      </c>
    </row>
    <row r="17" spans="1:102" s="23" customFormat="1" x14ac:dyDescent="0.25">
      <c r="A17" s="31">
        <v>3</v>
      </c>
      <c r="B17" s="83">
        <v>3</v>
      </c>
      <c r="C17" s="31">
        <v>40</v>
      </c>
      <c r="D17" s="31" t="s">
        <v>36</v>
      </c>
      <c r="E17" s="31" t="s">
        <v>4</v>
      </c>
      <c r="F17" s="31" t="s">
        <v>70</v>
      </c>
      <c r="G17" s="31" t="str">
        <f t="shared" si="34"/>
        <v>Kommunal 40 C 3 Ck</v>
      </c>
      <c r="H17" s="48">
        <f t="shared" si="0"/>
        <v>4.8587552177606907E-2</v>
      </c>
      <c r="I17" s="40">
        <f t="shared" si="1"/>
        <v>4.4039824897908808E-2</v>
      </c>
      <c r="J17" s="99">
        <f t="shared" si="2"/>
        <v>3.9278551981191355E-4</v>
      </c>
      <c r="K17" s="48">
        <f t="shared" si="3"/>
        <v>7.8558922444836223E-3</v>
      </c>
      <c r="L17" s="48">
        <f t="shared" si="4"/>
        <v>3.5791147133613269E-2</v>
      </c>
      <c r="M17" s="48">
        <f t="shared" si="35"/>
        <v>7.097562556885216E-2</v>
      </c>
      <c r="N17" s="99">
        <f t="shared" si="5"/>
        <v>1.4386860347488355E-3</v>
      </c>
      <c r="O17" s="48">
        <f t="shared" si="6"/>
        <v>7.9722198227623817E-3</v>
      </c>
      <c r="P17" s="48">
        <f t="shared" si="7"/>
        <v>1.1783838366725434E-2</v>
      </c>
      <c r="Q17" s="48">
        <f t="shared" si="8"/>
        <v>5.368672070041991E-2</v>
      </c>
      <c r="R17" s="40">
        <f t="shared" si="36"/>
        <v>0.49682937898196511</v>
      </c>
      <c r="S17" s="99">
        <f t="shared" si="9"/>
        <v>2.1580290521232533E-3</v>
      </c>
      <c r="T17" s="48">
        <f t="shared" si="10"/>
        <v>1.1958329734143573E-2</v>
      </c>
      <c r="U17" s="40">
        <v>0.36827524800000006</v>
      </c>
      <c r="V17" s="40">
        <v>1.45</v>
      </c>
      <c r="W17" s="41">
        <v>0.5</v>
      </c>
      <c r="X17" s="40">
        <v>0.81311046136052023</v>
      </c>
      <c r="Y17" s="42">
        <v>0.70351646821904235</v>
      </c>
      <c r="Z17" s="42">
        <v>12.825609347785846</v>
      </c>
      <c r="AA17" s="42">
        <v>86.470874183995107</v>
      </c>
      <c r="AB17" s="42">
        <v>3.5871559633027528</v>
      </c>
      <c r="AC17" s="125">
        <v>1</v>
      </c>
      <c r="AD17" s="94">
        <f t="shared" si="37"/>
        <v>2.4333771236232333E-2</v>
      </c>
      <c r="AE17" s="94">
        <f t="shared" si="38"/>
        <v>1.978604395653423E-2</v>
      </c>
      <c r="AF17" s="96">
        <f t="shared" si="11"/>
        <v>1.3919807764327689E-4</v>
      </c>
      <c r="AG17" s="95">
        <f t="shared" si="12"/>
        <v>2.5376807032462707E-3</v>
      </c>
      <c r="AH17" s="94">
        <f t="shared" si="39"/>
        <v>1.7109165175644682E-2</v>
      </c>
      <c r="AI17" s="94">
        <f t="shared" si="40"/>
        <v>7.097562556885216E-2</v>
      </c>
      <c r="AJ17" s="96">
        <f t="shared" si="41"/>
        <v>4.8814030309208943E-4</v>
      </c>
      <c r="AK17" s="95">
        <f t="shared" si="13"/>
        <v>2.9347420697427647E-3</v>
      </c>
      <c r="AL17" s="95">
        <f t="shared" si="14"/>
        <v>3.8065210548694061E-3</v>
      </c>
      <c r="AM17" s="94">
        <f t="shared" si="15"/>
        <v>2.5663747763467023E-2</v>
      </c>
      <c r="AN17" s="93">
        <f t="shared" si="16"/>
        <v>0.49682937898196511</v>
      </c>
      <c r="AO17" s="96">
        <f t="shared" si="17"/>
        <v>7.3221045463813428E-4</v>
      </c>
      <c r="AP17" s="95">
        <f t="shared" si="18"/>
        <v>4.4021131046141464E-3</v>
      </c>
      <c r="AQ17" s="93">
        <f t="shared" si="19"/>
        <v>0.13529125816004889</v>
      </c>
      <c r="AR17" s="31">
        <v>1.5</v>
      </c>
      <c r="AS17" s="31">
        <v>1.5</v>
      </c>
      <c r="AT17" s="31">
        <v>7</v>
      </c>
      <c r="AU17" s="43">
        <v>7.0999999999999994E-2</v>
      </c>
      <c r="AV17" s="44">
        <v>0.28000000000000003</v>
      </c>
      <c r="AW17" s="43">
        <v>1.7999999999999999E-2</v>
      </c>
      <c r="AX17" s="44">
        <v>0.13</v>
      </c>
      <c r="AY17" s="40">
        <v>6.316987959964214</v>
      </c>
      <c r="AZ17" s="41">
        <v>0.5</v>
      </c>
      <c r="BA17" s="40">
        <v>0.72</v>
      </c>
      <c r="BB17" s="45">
        <v>1</v>
      </c>
      <c r="BC17" s="41">
        <v>2.8979862246705492</v>
      </c>
      <c r="BD17" s="41">
        <v>22.894025067660387</v>
      </c>
      <c r="BE17" s="41">
        <v>74.207988707669074</v>
      </c>
      <c r="BF17" s="125">
        <v>1</v>
      </c>
      <c r="BG17" s="48">
        <f t="shared" si="42"/>
        <v>3.6631769931111274E-3</v>
      </c>
      <c r="BH17" s="48">
        <f t="shared" si="43"/>
        <v>3.6631769931111274E-3</v>
      </c>
      <c r="BI17" s="99">
        <f t="shared" si="44"/>
        <v>1.061583646456613E-4</v>
      </c>
      <c r="BJ17" s="99">
        <f t="shared" si="45"/>
        <v>8.3864865907562957E-4</v>
      </c>
      <c r="BK17" s="48">
        <f t="shared" si="46"/>
        <v>2.7183699693898366E-3</v>
      </c>
      <c r="BL17" s="99">
        <f t="shared" si="20"/>
        <v>1.6735359168041993E-4</v>
      </c>
      <c r="BM17" s="48">
        <f t="shared" si="21"/>
        <v>8.9590643068973184E-4</v>
      </c>
      <c r="BN17" s="48">
        <f t="shared" si="22"/>
        <v>1.2579729886134444E-3</v>
      </c>
      <c r="BO17" s="48">
        <f t="shared" si="23"/>
        <v>4.0775549540847545E-3</v>
      </c>
      <c r="BP17" s="99">
        <f t="shared" si="24"/>
        <v>2.5103038752062991E-4</v>
      </c>
      <c r="BQ17" s="48">
        <f t="shared" si="25"/>
        <v>1.3438596460345975E-3</v>
      </c>
      <c r="BR17" s="40">
        <f t="shared" si="26"/>
        <v>0.25792011292330935</v>
      </c>
      <c r="BS17" s="31">
        <v>1.5</v>
      </c>
      <c r="BT17" s="31">
        <v>1.5</v>
      </c>
      <c r="BU17" s="43">
        <v>0.125</v>
      </c>
      <c r="BV17" s="44">
        <v>0.42</v>
      </c>
      <c r="BW17" s="43">
        <v>2.3E-2</v>
      </c>
      <c r="BX17" s="44">
        <v>0.2</v>
      </c>
      <c r="BY17" s="40">
        <v>15.675043576489315</v>
      </c>
      <c r="BZ17" s="40">
        <v>0.52</v>
      </c>
      <c r="CA17" s="40">
        <v>0.65</v>
      </c>
      <c r="CB17" s="45">
        <v>1</v>
      </c>
      <c r="CC17" s="41">
        <v>0.71600171560489412</v>
      </c>
      <c r="CD17" s="41">
        <v>21.755373924034487</v>
      </c>
      <c r="CE17" s="41">
        <v>77.528624360360624</v>
      </c>
      <c r="CF17" s="125">
        <v>1</v>
      </c>
      <c r="CG17" s="40">
        <f t="shared" si="47"/>
        <v>2.0590603948263449E-2</v>
      </c>
      <c r="CH17" s="40">
        <f t="shared" si="48"/>
        <v>2.0590603948263449E-2</v>
      </c>
      <c r="CI17" s="99">
        <f t="shared" si="49"/>
        <v>1.4742907752297537E-4</v>
      </c>
      <c r="CJ17" s="100">
        <f t="shared" si="50"/>
        <v>4.4795628821617224E-3</v>
      </c>
      <c r="CK17" s="100">
        <f t="shared" si="51"/>
        <v>1.5963611988578753E-2</v>
      </c>
      <c r="CL17" s="101">
        <f t="shared" si="27"/>
        <v>7.8319213997632615E-4</v>
      </c>
      <c r="CM17" s="100">
        <f t="shared" si="28"/>
        <v>4.1415713223298851E-3</v>
      </c>
      <c r="CN17" s="100">
        <f t="shared" si="29"/>
        <v>6.7193443232425841E-3</v>
      </c>
      <c r="CO17" s="100">
        <f t="shared" si="30"/>
        <v>2.3945417982868131E-2</v>
      </c>
      <c r="CP17" s="101">
        <f t="shared" si="31"/>
        <v>1.1747882099644893E-3</v>
      </c>
      <c r="CQ17" s="100">
        <f t="shared" si="32"/>
        <v>6.2123569834948277E-3</v>
      </c>
      <c r="CR17" s="99">
        <f t="shared" si="33"/>
        <v>0.22471375639639382</v>
      </c>
      <c r="CS17" s="31">
        <v>1.5</v>
      </c>
      <c r="CT17" s="31">
        <v>1.5</v>
      </c>
      <c r="CU17" s="43">
        <v>0.1</v>
      </c>
      <c r="CV17" s="44">
        <v>0.39</v>
      </c>
      <c r="CW17" s="43">
        <v>2.1000000000000001E-2</v>
      </c>
      <c r="CX17" s="44">
        <v>0.15</v>
      </c>
    </row>
    <row r="18" spans="1:102" s="23" customFormat="1" x14ac:dyDescent="0.25">
      <c r="A18" s="31">
        <v>4</v>
      </c>
      <c r="B18" s="83">
        <v>3</v>
      </c>
      <c r="C18" s="31">
        <v>40</v>
      </c>
      <c r="D18" s="31" t="s">
        <v>36</v>
      </c>
      <c r="E18" s="31" t="s">
        <v>4</v>
      </c>
      <c r="F18" s="31" t="s">
        <v>71</v>
      </c>
      <c r="G18" s="31" t="str">
        <f t="shared" si="34"/>
        <v>Kommunal 40 C 3 Cm</v>
      </c>
      <c r="H18" s="48">
        <f t="shared" si="0"/>
        <v>4.8587552177606907E-2</v>
      </c>
      <c r="I18" s="40">
        <f t="shared" si="1"/>
        <v>4.4039824897908808E-2</v>
      </c>
      <c r="J18" s="99">
        <f t="shared" si="2"/>
        <v>3.9278551981191355E-4</v>
      </c>
      <c r="K18" s="48">
        <f t="shared" si="3"/>
        <v>7.8558922444836223E-3</v>
      </c>
      <c r="L18" s="48">
        <f t="shared" si="4"/>
        <v>3.5791147133613269E-2</v>
      </c>
      <c r="M18" s="48">
        <f t="shared" si="35"/>
        <v>7.097562556885216E-2</v>
      </c>
      <c r="N18" s="99">
        <f t="shared" si="5"/>
        <v>1.4386860347488355E-3</v>
      </c>
      <c r="O18" s="48">
        <f t="shared" si="6"/>
        <v>7.9722198227623817E-3</v>
      </c>
      <c r="P18" s="48">
        <f t="shared" si="7"/>
        <v>1.1783838366725434E-2</v>
      </c>
      <c r="Q18" s="48">
        <f t="shared" si="8"/>
        <v>5.368672070041991E-2</v>
      </c>
      <c r="R18" s="40">
        <f t="shared" si="36"/>
        <v>0.49682937898196511</v>
      </c>
      <c r="S18" s="99">
        <f t="shared" si="9"/>
        <v>2.1580290521232533E-3</v>
      </c>
      <c r="T18" s="48">
        <f t="shared" si="10"/>
        <v>1.1958329734143573E-2</v>
      </c>
      <c r="U18" s="40">
        <v>0.36827524800000006</v>
      </c>
      <c r="V18" s="40">
        <v>1.45</v>
      </c>
      <c r="W18" s="41">
        <v>0.5</v>
      </c>
      <c r="X18" s="40">
        <v>0.81311046136052023</v>
      </c>
      <c r="Y18" s="42">
        <v>0.70351646821904235</v>
      </c>
      <c r="Z18" s="42">
        <v>12.825609347785846</v>
      </c>
      <c r="AA18" s="42">
        <v>86.470874183995107</v>
      </c>
      <c r="AB18" s="42">
        <v>3.5871559633027528</v>
      </c>
      <c r="AC18" s="125">
        <v>1</v>
      </c>
      <c r="AD18" s="94">
        <f t="shared" si="37"/>
        <v>2.4333771236232333E-2</v>
      </c>
      <c r="AE18" s="94">
        <f t="shared" si="38"/>
        <v>1.978604395653423E-2</v>
      </c>
      <c r="AF18" s="96">
        <f t="shared" si="11"/>
        <v>1.3919807764327689E-4</v>
      </c>
      <c r="AG18" s="95">
        <f t="shared" si="12"/>
        <v>2.5376807032462707E-3</v>
      </c>
      <c r="AH18" s="94">
        <f t="shared" si="39"/>
        <v>1.7109165175644682E-2</v>
      </c>
      <c r="AI18" s="94">
        <f t="shared" si="40"/>
        <v>7.097562556885216E-2</v>
      </c>
      <c r="AJ18" s="96">
        <f t="shared" si="41"/>
        <v>4.8814030309208943E-4</v>
      </c>
      <c r="AK18" s="95">
        <f t="shared" si="13"/>
        <v>2.9347420697427647E-3</v>
      </c>
      <c r="AL18" s="95">
        <f t="shared" si="14"/>
        <v>3.8065210548694061E-3</v>
      </c>
      <c r="AM18" s="94">
        <f t="shared" si="15"/>
        <v>2.5663747763467023E-2</v>
      </c>
      <c r="AN18" s="93">
        <f t="shared" si="16"/>
        <v>0.49682937898196511</v>
      </c>
      <c r="AO18" s="96">
        <f t="shared" si="17"/>
        <v>7.3221045463813428E-4</v>
      </c>
      <c r="AP18" s="95">
        <f t="shared" si="18"/>
        <v>4.4021131046141464E-3</v>
      </c>
      <c r="AQ18" s="93">
        <f t="shared" si="19"/>
        <v>0.13529125816004889</v>
      </c>
      <c r="AR18" s="31">
        <v>1.5</v>
      </c>
      <c r="AS18" s="31">
        <v>1.5</v>
      </c>
      <c r="AT18" s="31">
        <v>7</v>
      </c>
      <c r="AU18" s="43">
        <v>7.0999999999999994E-2</v>
      </c>
      <c r="AV18" s="44">
        <v>0.28000000000000003</v>
      </c>
      <c r="AW18" s="43">
        <v>1.7999999999999999E-2</v>
      </c>
      <c r="AX18" s="44">
        <v>0.13</v>
      </c>
      <c r="AY18" s="40">
        <v>6.316987959964214</v>
      </c>
      <c r="AZ18" s="41">
        <v>0.5</v>
      </c>
      <c r="BA18" s="40">
        <v>0.72</v>
      </c>
      <c r="BB18" s="45">
        <v>1</v>
      </c>
      <c r="BC18" s="41">
        <v>2.8979862246705492</v>
      </c>
      <c r="BD18" s="41">
        <v>22.894025067660387</v>
      </c>
      <c r="BE18" s="41">
        <v>74.207988707669074</v>
      </c>
      <c r="BF18" s="125">
        <v>1</v>
      </c>
      <c r="BG18" s="48">
        <f t="shared" si="42"/>
        <v>3.6631769931111274E-3</v>
      </c>
      <c r="BH18" s="48">
        <f t="shared" si="43"/>
        <v>3.6631769931111274E-3</v>
      </c>
      <c r="BI18" s="99">
        <f t="shared" si="44"/>
        <v>1.061583646456613E-4</v>
      </c>
      <c r="BJ18" s="99">
        <f t="shared" si="45"/>
        <v>8.3864865907562957E-4</v>
      </c>
      <c r="BK18" s="48">
        <f t="shared" si="46"/>
        <v>2.7183699693898366E-3</v>
      </c>
      <c r="BL18" s="99">
        <f t="shared" si="20"/>
        <v>1.6735359168041993E-4</v>
      </c>
      <c r="BM18" s="48">
        <f t="shared" si="21"/>
        <v>8.9590643068973184E-4</v>
      </c>
      <c r="BN18" s="48">
        <f t="shared" si="22"/>
        <v>1.2579729886134444E-3</v>
      </c>
      <c r="BO18" s="48">
        <f t="shared" si="23"/>
        <v>4.0775549540847545E-3</v>
      </c>
      <c r="BP18" s="99">
        <f t="shared" si="24"/>
        <v>2.5103038752062991E-4</v>
      </c>
      <c r="BQ18" s="48">
        <f t="shared" si="25"/>
        <v>1.3438596460345975E-3</v>
      </c>
      <c r="BR18" s="40">
        <f t="shared" si="26"/>
        <v>0.25792011292330935</v>
      </c>
      <c r="BS18" s="31">
        <v>1.5</v>
      </c>
      <c r="BT18" s="31">
        <v>1.5</v>
      </c>
      <c r="BU18" s="43">
        <v>0.125</v>
      </c>
      <c r="BV18" s="44">
        <v>0.42</v>
      </c>
      <c r="BW18" s="43">
        <v>2.3E-2</v>
      </c>
      <c r="BX18" s="44">
        <v>0.2</v>
      </c>
      <c r="BY18" s="40">
        <v>15.675043576489315</v>
      </c>
      <c r="BZ18" s="40">
        <v>0.52</v>
      </c>
      <c r="CA18" s="40">
        <v>0.65</v>
      </c>
      <c r="CB18" s="45">
        <v>1</v>
      </c>
      <c r="CC18" s="41">
        <v>0.71600171560489412</v>
      </c>
      <c r="CD18" s="41">
        <v>21.755373924034487</v>
      </c>
      <c r="CE18" s="41">
        <v>77.528624360360624</v>
      </c>
      <c r="CF18" s="125">
        <v>1</v>
      </c>
      <c r="CG18" s="40">
        <f t="shared" si="47"/>
        <v>2.0590603948263449E-2</v>
      </c>
      <c r="CH18" s="40">
        <f t="shared" si="48"/>
        <v>2.0590603948263449E-2</v>
      </c>
      <c r="CI18" s="99">
        <f t="shared" si="49"/>
        <v>1.4742907752297537E-4</v>
      </c>
      <c r="CJ18" s="100">
        <f t="shared" si="50"/>
        <v>4.4795628821617224E-3</v>
      </c>
      <c r="CK18" s="100">
        <f t="shared" si="51"/>
        <v>1.5963611988578753E-2</v>
      </c>
      <c r="CL18" s="101">
        <f t="shared" si="27"/>
        <v>7.8319213997632615E-4</v>
      </c>
      <c r="CM18" s="100">
        <f t="shared" si="28"/>
        <v>4.1415713223298851E-3</v>
      </c>
      <c r="CN18" s="100">
        <f t="shared" si="29"/>
        <v>6.7193443232425841E-3</v>
      </c>
      <c r="CO18" s="100">
        <f t="shared" si="30"/>
        <v>2.3945417982868131E-2</v>
      </c>
      <c r="CP18" s="101">
        <f t="shared" si="31"/>
        <v>1.1747882099644893E-3</v>
      </c>
      <c r="CQ18" s="100">
        <f t="shared" si="32"/>
        <v>6.2123569834948277E-3</v>
      </c>
      <c r="CR18" s="99">
        <f t="shared" si="33"/>
        <v>0.22471375639639382</v>
      </c>
      <c r="CS18" s="31">
        <v>1.5</v>
      </c>
      <c r="CT18" s="31">
        <v>1.5</v>
      </c>
      <c r="CU18" s="43">
        <v>0.1</v>
      </c>
      <c r="CV18" s="44">
        <v>0.39</v>
      </c>
      <c r="CW18" s="43">
        <v>2.1000000000000001E-2</v>
      </c>
      <c r="CX18" s="44">
        <v>0.15</v>
      </c>
    </row>
    <row r="19" spans="1:102" s="23" customFormat="1" x14ac:dyDescent="0.25">
      <c r="A19" s="31">
        <v>5</v>
      </c>
      <c r="B19" s="83">
        <v>3</v>
      </c>
      <c r="C19" s="31">
        <v>40</v>
      </c>
      <c r="D19" s="31" t="s">
        <v>36</v>
      </c>
      <c r="E19" s="31" t="s">
        <v>4</v>
      </c>
      <c r="F19" s="31" t="s">
        <v>0</v>
      </c>
      <c r="G19" s="31" t="str">
        <f t="shared" si="34"/>
        <v>Kommunal 40 C 3 D</v>
      </c>
      <c r="H19" s="48">
        <f t="shared" si="0"/>
        <v>5.1414483958030006E-2</v>
      </c>
      <c r="I19" s="40">
        <f t="shared" si="1"/>
        <v>5.407767451908381E-2</v>
      </c>
      <c r="J19" s="99">
        <f t="shared" si="2"/>
        <v>2.5358744216863666E-4</v>
      </c>
      <c r="K19" s="48">
        <f t="shared" si="3"/>
        <v>8.3525263963835656E-3</v>
      </c>
      <c r="L19" s="48">
        <f t="shared" si="4"/>
        <v>4.5471560680531611E-2</v>
      </c>
      <c r="M19" s="48">
        <f t="shared" si="35"/>
        <v>0.15336955591681917</v>
      </c>
      <c r="N19" s="99">
        <f t="shared" si="5"/>
        <v>1.6481945033782616E-3</v>
      </c>
      <c r="O19" s="48">
        <f t="shared" si="6"/>
        <v>9.3697311463937505E-3</v>
      </c>
      <c r="P19" s="48">
        <f t="shared" si="7"/>
        <v>1.2528789594575349E-2</v>
      </c>
      <c r="Q19" s="48">
        <f t="shared" si="8"/>
        <v>6.820734102079741E-2</v>
      </c>
      <c r="R19" s="40">
        <f t="shared" si="36"/>
        <v>1.0735868914177342</v>
      </c>
      <c r="S19" s="99">
        <f t="shared" si="9"/>
        <v>2.4722917550673924E-3</v>
      </c>
      <c r="T19" s="48">
        <f t="shared" si="10"/>
        <v>1.4054596719590624E-2</v>
      </c>
      <c r="U19" s="40">
        <v>1.1222406360000008</v>
      </c>
      <c r="V19" s="40">
        <v>1.2</v>
      </c>
      <c r="W19" s="45">
        <v>0</v>
      </c>
      <c r="X19" s="40">
        <v>1.0980530790907985</v>
      </c>
      <c r="Y19" s="42">
        <v>0</v>
      </c>
      <c r="Z19" s="42">
        <v>10.174107036829358</v>
      </c>
      <c r="AA19" s="42">
        <v>89.825892963170645</v>
      </c>
      <c r="AB19" s="42">
        <v>5.1425061425061411</v>
      </c>
      <c r="AC19" s="125">
        <v>1</v>
      </c>
      <c r="AD19" s="94">
        <f t="shared" si="37"/>
        <v>2.7160703016655428E-2</v>
      </c>
      <c r="AE19" s="94">
        <f t="shared" si="38"/>
        <v>2.9823893577709232E-2</v>
      </c>
      <c r="AF19" s="96">
        <f t="shared" si="11"/>
        <v>0</v>
      </c>
      <c r="AG19" s="95">
        <f>$AE19*Z19/100</f>
        <v>3.034314855146214E-3</v>
      </c>
      <c r="AH19" s="94">
        <f t="shared" si="39"/>
        <v>2.6789578722563018E-2</v>
      </c>
      <c r="AI19" s="94">
        <f t="shared" si="40"/>
        <v>0.15336955591681917</v>
      </c>
      <c r="AJ19" s="96">
        <f t="shared" si="41"/>
        <v>6.9764877172151551E-4</v>
      </c>
      <c r="AK19" s="95">
        <f t="shared" si="13"/>
        <v>4.3322533933741331E-3</v>
      </c>
      <c r="AL19" s="95">
        <f t="shared" si="14"/>
        <v>4.551472282719321E-3</v>
      </c>
      <c r="AM19" s="94">
        <f t="shared" si="15"/>
        <v>4.0184368083844527E-2</v>
      </c>
      <c r="AN19" s="93">
        <f t="shared" si="16"/>
        <v>1.0735868914177342</v>
      </c>
      <c r="AO19" s="96">
        <f t="shared" si="17"/>
        <v>1.0464731575822732E-3</v>
      </c>
      <c r="AP19" s="95">
        <f t="shared" si="18"/>
        <v>6.4983800900611987E-3</v>
      </c>
      <c r="AQ19" s="93">
        <f t="shared" si="19"/>
        <v>0.10174107036829358</v>
      </c>
      <c r="AR19" s="31">
        <v>1.5</v>
      </c>
      <c r="AS19" s="31">
        <v>1.5</v>
      </c>
      <c r="AT19" s="31">
        <v>7</v>
      </c>
      <c r="AU19" s="43">
        <v>7.0999999999999994E-2</v>
      </c>
      <c r="AV19" s="44">
        <v>0.28000000000000003</v>
      </c>
      <c r="AW19" s="43">
        <v>1.7999999999999999E-2</v>
      </c>
      <c r="AX19" s="44">
        <v>0.13</v>
      </c>
      <c r="AY19" s="40">
        <v>6.316987959964214</v>
      </c>
      <c r="AZ19" s="41">
        <v>0.5</v>
      </c>
      <c r="BA19" s="40">
        <v>0.72</v>
      </c>
      <c r="BB19" s="45">
        <v>1</v>
      </c>
      <c r="BC19" s="41">
        <v>2.8979862246705492</v>
      </c>
      <c r="BD19" s="41">
        <v>22.894025067660387</v>
      </c>
      <c r="BE19" s="41">
        <v>74.207988707669074</v>
      </c>
      <c r="BF19" s="125">
        <v>1</v>
      </c>
      <c r="BG19" s="48">
        <f t="shared" si="42"/>
        <v>3.6631769931111274E-3</v>
      </c>
      <c r="BH19" s="48">
        <f t="shared" si="43"/>
        <v>3.6631769931111274E-3</v>
      </c>
      <c r="BI19" s="99">
        <f t="shared" si="44"/>
        <v>1.061583646456613E-4</v>
      </c>
      <c r="BJ19" s="99">
        <f t="shared" si="45"/>
        <v>8.3864865907562957E-4</v>
      </c>
      <c r="BK19" s="48">
        <f t="shared" si="46"/>
        <v>2.7183699693898366E-3</v>
      </c>
      <c r="BL19" s="99">
        <f t="shared" si="20"/>
        <v>1.6735359168041993E-4</v>
      </c>
      <c r="BM19" s="48">
        <f t="shared" si="21"/>
        <v>8.9590643068973184E-4</v>
      </c>
      <c r="BN19" s="48">
        <f t="shared" si="22"/>
        <v>1.2579729886134444E-3</v>
      </c>
      <c r="BO19" s="48">
        <f t="shared" si="23"/>
        <v>4.0775549540847545E-3</v>
      </c>
      <c r="BP19" s="99">
        <f t="shared" si="24"/>
        <v>2.5103038752062991E-4</v>
      </c>
      <c r="BQ19" s="48">
        <f t="shared" si="25"/>
        <v>1.3438596460345975E-3</v>
      </c>
      <c r="BR19" s="40">
        <f t="shared" si="26"/>
        <v>0.25792011292330935</v>
      </c>
      <c r="BS19" s="31">
        <v>1.5</v>
      </c>
      <c r="BT19" s="31">
        <v>1.5</v>
      </c>
      <c r="BU19" s="43">
        <v>0.125</v>
      </c>
      <c r="BV19" s="44">
        <v>0.42</v>
      </c>
      <c r="BW19" s="43">
        <v>2.3E-2</v>
      </c>
      <c r="BX19" s="44">
        <v>0.2</v>
      </c>
      <c r="BY19" s="40">
        <v>15.675043576489315</v>
      </c>
      <c r="BZ19" s="40">
        <v>0.52</v>
      </c>
      <c r="CA19" s="40">
        <v>0.65</v>
      </c>
      <c r="CB19" s="45">
        <v>1</v>
      </c>
      <c r="CC19" s="41">
        <v>0.71600171560489412</v>
      </c>
      <c r="CD19" s="41">
        <v>21.755373924034487</v>
      </c>
      <c r="CE19" s="41">
        <v>77.528624360360624</v>
      </c>
      <c r="CF19" s="125">
        <v>1</v>
      </c>
      <c r="CG19" s="40">
        <f t="shared" si="47"/>
        <v>2.0590603948263449E-2</v>
      </c>
      <c r="CH19" s="40">
        <f t="shared" si="48"/>
        <v>2.0590603948263449E-2</v>
      </c>
      <c r="CI19" s="99">
        <f t="shared" si="49"/>
        <v>1.4742907752297537E-4</v>
      </c>
      <c r="CJ19" s="100">
        <f t="shared" si="50"/>
        <v>4.4795628821617224E-3</v>
      </c>
      <c r="CK19" s="100">
        <f t="shared" si="51"/>
        <v>1.5963611988578753E-2</v>
      </c>
      <c r="CL19" s="101">
        <f t="shared" si="27"/>
        <v>7.8319213997632615E-4</v>
      </c>
      <c r="CM19" s="100">
        <f t="shared" si="28"/>
        <v>4.1415713223298851E-3</v>
      </c>
      <c r="CN19" s="100">
        <f t="shared" si="29"/>
        <v>6.7193443232425841E-3</v>
      </c>
      <c r="CO19" s="100">
        <f t="shared" si="30"/>
        <v>2.3945417982868131E-2</v>
      </c>
      <c r="CP19" s="101">
        <f t="shared" si="31"/>
        <v>1.1747882099644893E-3</v>
      </c>
      <c r="CQ19" s="100">
        <f t="shared" si="32"/>
        <v>6.2123569834948277E-3</v>
      </c>
      <c r="CR19" s="99">
        <f t="shared" si="33"/>
        <v>0.22471375639639382</v>
      </c>
      <c r="CS19" s="31">
        <v>1.5</v>
      </c>
      <c r="CT19" s="31">
        <v>1.5</v>
      </c>
      <c r="CU19" s="43">
        <v>0.1</v>
      </c>
      <c r="CV19" s="44">
        <v>0.39</v>
      </c>
      <c r="CW19" s="43">
        <v>2.1000000000000001E-2</v>
      </c>
      <c r="CX19" s="44">
        <v>0.15</v>
      </c>
    </row>
    <row r="20" spans="1:102" s="23" customFormat="1" x14ac:dyDescent="0.25">
      <c r="A20" s="31">
        <v>6</v>
      </c>
      <c r="B20" s="83">
        <v>3</v>
      </c>
      <c r="C20" s="31">
        <v>40</v>
      </c>
      <c r="D20" s="31" t="s">
        <v>36</v>
      </c>
      <c r="E20" s="31" t="s">
        <v>4</v>
      </c>
      <c r="F20" s="31" t="s">
        <v>62</v>
      </c>
      <c r="G20" s="31" t="str">
        <f t="shared" si="34"/>
        <v>Kommunal 40 C 3 EE</v>
      </c>
      <c r="H20" s="48">
        <f t="shared" si="0"/>
        <v>8.0271950261458141E-2</v>
      </c>
      <c r="I20" s="40">
        <f t="shared" si="1"/>
        <v>7.0189461282526192E-2</v>
      </c>
      <c r="J20" s="99">
        <f t="shared" si="2"/>
        <v>2.5358744216863666E-4</v>
      </c>
      <c r="K20" s="48">
        <f t="shared" si="3"/>
        <v>9.9917568272419009E-3</v>
      </c>
      <c r="L20" s="48">
        <f t="shared" si="4"/>
        <v>5.9944117013115653E-2</v>
      </c>
      <c r="M20" s="48">
        <f t="shared" si="35"/>
        <v>0.16477844966413105</v>
      </c>
      <c r="N20" s="99">
        <f t="shared" si="5"/>
        <v>2.0250858779557162E-3</v>
      </c>
      <c r="O20" s="48">
        <f t="shared" si="6"/>
        <v>1.1710147990270009E-2</v>
      </c>
      <c r="P20" s="48">
        <f t="shared" si="7"/>
        <v>1.498763524086285E-2</v>
      </c>
      <c r="Q20" s="48">
        <f t="shared" si="8"/>
        <v>8.9916175519673486E-2</v>
      </c>
      <c r="R20" s="40">
        <f t="shared" si="36"/>
        <v>1.1534491476489173</v>
      </c>
      <c r="S20" s="99">
        <f t="shared" si="9"/>
        <v>3.0376288169335743E-3</v>
      </c>
      <c r="T20" s="48">
        <f t="shared" si="10"/>
        <v>1.7565221985405013E-2</v>
      </c>
      <c r="U20" s="40">
        <v>2.8833552</v>
      </c>
      <c r="V20" s="40">
        <v>1.2</v>
      </c>
      <c r="W20" s="41">
        <v>0.1</v>
      </c>
      <c r="X20" s="40">
        <v>0.82001395080725725</v>
      </c>
      <c r="Y20" s="42">
        <v>0</v>
      </c>
      <c r="Z20" s="42">
        <v>10.17410703682936</v>
      </c>
      <c r="AA20" s="42">
        <v>89.825892963170645</v>
      </c>
      <c r="AB20" s="42">
        <v>3.5871559633027532</v>
      </c>
      <c r="AC20" s="125">
        <v>1</v>
      </c>
      <c r="AD20" s="94">
        <f t="shared" si="37"/>
        <v>5.601816932008357E-2</v>
      </c>
      <c r="AE20" s="94">
        <f t="shared" si="38"/>
        <v>4.5935680341151613E-2</v>
      </c>
      <c r="AF20" s="96">
        <f t="shared" si="11"/>
        <v>0</v>
      </c>
      <c r="AG20" s="95">
        <f t="shared" si="12"/>
        <v>4.6735452860045476E-3</v>
      </c>
      <c r="AH20" s="94">
        <f>$AE20*AA20/100</f>
        <v>4.1262135055147066E-2</v>
      </c>
      <c r="AI20" s="94">
        <f t="shared" si="40"/>
        <v>0.16477844966413105</v>
      </c>
      <c r="AJ20" s="96">
        <f t="shared" si="41"/>
        <v>1.07454014629897E-3</v>
      </c>
      <c r="AK20" s="95">
        <f t="shared" si="13"/>
        <v>6.6726702372503924E-3</v>
      </c>
      <c r="AL20" s="95">
        <f t="shared" si="14"/>
        <v>7.0103179290068214E-3</v>
      </c>
      <c r="AM20" s="94">
        <f t="shared" si="15"/>
        <v>6.1893202582720602E-2</v>
      </c>
      <c r="AN20" s="93">
        <f t="shared" si="16"/>
        <v>1.1534491476489173</v>
      </c>
      <c r="AO20" s="96">
        <f t="shared" si="17"/>
        <v>1.611810219448455E-3</v>
      </c>
      <c r="AP20" s="95">
        <f t="shared" si="18"/>
        <v>1.0009005355875589E-2</v>
      </c>
      <c r="AQ20" s="93">
        <f t="shared" si="19"/>
        <v>0.10174107036829361</v>
      </c>
      <c r="AR20" s="31">
        <v>1.5</v>
      </c>
      <c r="AS20" s="31">
        <v>1.5</v>
      </c>
      <c r="AT20" s="31">
        <v>7</v>
      </c>
      <c r="AU20" s="43">
        <v>7.0999999999999994E-2</v>
      </c>
      <c r="AV20" s="44">
        <v>0.28000000000000003</v>
      </c>
      <c r="AW20" s="43">
        <v>1.7999999999999999E-2</v>
      </c>
      <c r="AX20" s="44">
        <v>0.13</v>
      </c>
      <c r="AY20" s="40">
        <v>6.316987959964214</v>
      </c>
      <c r="AZ20" s="41">
        <v>0.5</v>
      </c>
      <c r="BA20" s="40">
        <v>0.72</v>
      </c>
      <c r="BB20" s="45">
        <v>1</v>
      </c>
      <c r="BC20" s="41">
        <v>2.8979862246705492</v>
      </c>
      <c r="BD20" s="41">
        <v>22.894025067660387</v>
      </c>
      <c r="BE20" s="41">
        <v>74.207988707669074</v>
      </c>
      <c r="BF20" s="125">
        <v>1</v>
      </c>
      <c r="BG20" s="48">
        <f t="shared" si="42"/>
        <v>3.6631769931111274E-3</v>
      </c>
      <c r="BH20" s="48">
        <f t="shared" si="43"/>
        <v>3.6631769931111274E-3</v>
      </c>
      <c r="BI20" s="99">
        <f t="shared" si="44"/>
        <v>1.061583646456613E-4</v>
      </c>
      <c r="BJ20" s="99">
        <f t="shared" si="45"/>
        <v>8.3864865907562957E-4</v>
      </c>
      <c r="BK20" s="48">
        <f t="shared" si="46"/>
        <v>2.7183699693898366E-3</v>
      </c>
      <c r="BL20" s="99">
        <f t="shared" si="20"/>
        <v>1.6735359168041993E-4</v>
      </c>
      <c r="BM20" s="48">
        <f t="shared" si="21"/>
        <v>8.9590643068973184E-4</v>
      </c>
      <c r="BN20" s="48">
        <f t="shared" si="22"/>
        <v>1.2579729886134444E-3</v>
      </c>
      <c r="BO20" s="48">
        <f t="shared" si="23"/>
        <v>4.0775549540847545E-3</v>
      </c>
      <c r="BP20" s="99">
        <f t="shared" si="24"/>
        <v>2.5103038752062991E-4</v>
      </c>
      <c r="BQ20" s="48">
        <f t="shared" si="25"/>
        <v>1.3438596460345975E-3</v>
      </c>
      <c r="BR20" s="40">
        <f t="shared" si="26"/>
        <v>0.25792011292330935</v>
      </c>
      <c r="BS20" s="31">
        <v>1.5</v>
      </c>
      <c r="BT20" s="31">
        <v>1.5</v>
      </c>
      <c r="BU20" s="43">
        <v>0.125</v>
      </c>
      <c r="BV20" s="44">
        <v>0.42</v>
      </c>
      <c r="BW20" s="43">
        <v>2.3E-2</v>
      </c>
      <c r="BX20" s="44">
        <v>0.2</v>
      </c>
      <c r="BY20" s="40">
        <v>15.675043576489315</v>
      </c>
      <c r="BZ20" s="40">
        <v>0.52</v>
      </c>
      <c r="CA20" s="40">
        <v>0.65</v>
      </c>
      <c r="CB20" s="45">
        <v>1</v>
      </c>
      <c r="CC20" s="41">
        <v>0.71600171560489412</v>
      </c>
      <c r="CD20" s="41">
        <v>21.755373924034487</v>
      </c>
      <c r="CE20" s="41">
        <v>77.528624360360624</v>
      </c>
      <c r="CF20" s="125">
        <v>1</v>
      </c>
      <c r="CG20" s="40">
        <f t="shared" si="47"/>
        <v>2.0590603948263449E-2</v>
      </c>
      <c r="CH20" s="40">
        <f t="shared" si="48"/>
        <v>2.0590603948263449E-2</v>
      </c>
      <c r="CI20" s="99">
        <f t="shared" si="49"/>
        <v>1.4742907752297537E-4</v>
      </c>
      <c r="CJ20" s="100">
        <f t="shared" si="50"/>
        <v>4.4795628821617224E-3</v>
      </c>
      <c r="CK20" s="100">
        <f t="shared" si="51"/>
        <v>1.5963611988578753E-2</v>
      </c>
      <c r="CL20" s="101">
        <f t="shared" si="27"/>
        <v>7.8319213997632615E-4</v>
      </c>
      <c r="CM20" s="100">
        <f t="shared" si="28"/>
        <v>4.1415713223298851E-3</v>
      </c>
      <c r="CN20" s="100">
        <f t="shared" si="29"/>
        <v>6.7193443232425841E-3</v>
      </c>
      <c r="CO20" s="100">
        <f t="shared" si="30"/>
        <v>2.3945417982868131E-2</v>
      </c>
      <c r="CP20" s="101">
        <f t="shared" si="31"/>
        <v>1.1747882099644893E-3</v>
      </c>
      <c r="CQ20" s="100">
        <f t="shared" si="32"/>
        <v>6.2123569834948277E-3</v>
      </c>
      <c r="CR20" s="99">
        <f t="shared" si="33"/>
        <v>0.22471375639639382</v>
      </c>
      <c r="CS20" s="31">
        <v>1.5</v>
      </c>
      <c r="CT20" s="31">
        <v>1.5</v>
      </c>
      <c r="CU20" s="43">
        <v>0.1</v>
      </c>
      <c r="CV20" s="44">
        <v>0.39</v>
      </c>
      <c r="CW20" s="43">
        <v>2.1000000000000001E-2</v>
      </c>
      <c r="CX20" s="44">
        <v>0.15</v>
      </c>
    </row>
    <row r="21" spans="1:102" s="23" customFormat="1" x14ac:dyDescent="0.25">
      <c r="A21" s="31">
        <v>7</v>
      </c>
      <c r="B21" s="83">
        <v>3</v>
      </c>
      <c r="C21" s="31">
        <v>40</v>
      </c>
      <c r="D21" s="31" t="s">
        <v>36</v>
      </c>
      <c r="E21" s="31" t="s">
        <v>4</v>
      </c>
      <c r="F21" s="31" t="s">
        <v>63</v>
      </c>
      <c r="G21" s="31" t="str">
        <f t="shared" si="34"/>
        <v>Kommunal 40 C 3 ES</v>
      </c>
      <c r="H21" s="48">
        <f t="shared" si="0"/>
        <v>6.3500043279397192E-2</v>
      </c>
      <c r="I21" s="40">
        <f t="shared" si="1"/>
        <v>5.6436263575594559E-2</v>
      </c>
      <c r="J21" s="99">
        <f t="shared" si="2"/>
        <v>2.5358744216863666E-4</v>
      </c>
      <c r="K21" s="48">
        <f t="shared" si="3"/>
        <v>8.5924917715519133E-3</v>
      </c>
      <c r="L21" s="48">
        <f t="shared" si="4"/>
        <v>4.7590184361874011E-2</v>
      </c>
      <c r="M21" s="48">
        <f t="shared" si="35"/>
        <v>0.11544358449522951</v>
      </c>
      <c r="N21" s="99">
        <f t="shared" si="5"/>
        <v>1.7033672712793778E-3</v>
      </c>
      <c r="O21" s="48">
        <f t="shared" si="6"/>
        <v>9.7123425300154002E-3</v>
      </c>
      <c r="P21" s="48">
        <f t="shared" si="7"/>
        <v>1.2888737657327872E-2</v>
      </c>
      <c r="Q21" s="48">
        <f t="shared" si="8"/>
        <v>7.1385276542811016E-2</v>
      </c>
      <c r="R21" s="40">
        <f t="shared" si="36"/>
        <v>0.80810509146660658</v>
      </c>
      <c r="S21" s="99">
        <f t="shared" si="9"/>
        <v>2.5550509069190664E-3</v>
      </c>
      <c r="T21" s="48">
        <f t="shared" si="10"/>
        <v>1.4568513795023099E-2</v>
      </c>
      <c r="U21" s="40">
        <v>2.0200752</v>
      </c>
      <c r="V21" s="40">
        <v>1.2</v>
      </c>
      <c r="W21" s="41">
        <v>0.1</v>
      </c>
      <c r="X21" s="40">
        <v>0.82001395080725714</v>
      </c>
      <c r="Y21" s="42">
        <v>0</v>
      </c>
      <c r="Z21" s="42">
        <v>10.17410703682936</v>
      </c>
      <c r="AA21" s="42">
        <v>89.825892963170645</v>
      </c>
      <c r="AB21" s="42">
        <v>3.5871559633027528</v>
      </c>
      <c r="AC21" s="125">
        <v>1</v>
      </c>
      <c r="AD21" s="94">
        <f t="shared" si="37"/>
        <v>3.9246262338022614E-2</v>
      </c>
      <c r="AE21" s="94">
        <f t="shared" si="38"/>
        <v>3.2182482634219987E-2</v>
      </c>
      <c r="AF21" s="96">
        <f t="shared" si="11"/>
        <v>0</v>
      </c>
      <c r="AG21" s="95">
        <f t="shared" si="12"/>
        <v>3.2742802303145622E-3</v>
      </c>
      <c r="AH21" s="94">
        <f t="shared" si="39"/>
        <v>2.8908202403905427E-2</v>
      </c>
      <c r="AI21" s="94">
        <f t="shared" si="40"/>
        <v>0.11544358449522951</v>
      </c>
      <c r="AJ21" s="96">
        <f t="shared" si="41"/>
        <v>7.5282153962263161E-4</v>
      </c>
      <c r="AK21" s="95">
        <f t="shared" si="13"/>
        <v>4.6748647769957827E-3</v>
      </c>
      <c r="AL21" s="95">
        <f t="shared" si="14"/>
        <v>4.9114203454718435E-3</v>
      </c>
      <c r="AM21" s="94">
        <f t="shared" si="15"/>
        <v>4.3362303605858139E-2</v>
      </c>
      <c r="AN21" s="93">
        <f t="shared" si="16"/>
        <v>0.80810509146660658</v>
      </c>
      <c r="AO21" s="96">
        <f t="shared" si="17"/>
        <v>1.1292323094339472E-3</v>
      </c>
      <c r="AP21" s="95">
        <f t="shared" si="18"/>
        <v>7.012297165493675E-3</v>
      </c>
      <c r="AQ21" s="93">
        <f t="shared" si="19"/>
        <v>0.10174107036829359</v>
      </c>
      <c r="AR21" s="31">
        <v>1.5</v>
      </c>
      <c r="AS21" s="31">
        <v>1.5</v>
      </c>
      <c r="AT21" s="31">
        <v>7</v>
      </c>
      <c r="AU21" s="43">
        <v>7.0999999999999994E-2</v>
      </c>
      <c r="AV21" s="44">
        <v>0.28000000000000003</v>
      </c>
      <c r="AW21" s="43">
        <v>1.7999999999999999E-2</v>
      </c>
      <c r="AX21" s="44">
        <v>0.13</v>
      </c>
      <c r="AY21" s="40">
        <v>6.316987959964214</v>
      </c>
      <c r="AZ21" s="41">
        <v>0.5</v>
      </c>
      <c r="BA21" s="40">
        <v>0.72</v>
      </c>
      <c r="BB21" s="45">
        <v>1</v>
      </c>
      <c r="BC21" s="41">
        <v>2.8979862246705492</v>
      </c>
      <c r="BD21" s="41">
        <v>22.894025067660387</v>
      </c>
      <c r="BE21" s="41">
        <v>74.207988707669074</v>
      </c>
      <c r="BF21" s="125">
        <v>1</v>
      </c>
      <c r="BG21" s="48">
        <f t="shared" si="42"/>
        <v>3.6631769931111274E-3</v>
      </c>
      <c r="BH21" s="48">
        <f t="shared" si="43"/>
        <v>3.6631769931111274E-3</v>
      </c>
      <c r="BI21" s="99">
        <f t="shared" si="44"/>
        <v>1.061583646456613E-4</v>
      </c>
      <c r="BJ21" s="99">
        <f t="shared" si="45"/>
        <v>8.3864865907562957E-4</v>
      </c>
      <c r="BK21" s="48">
        <f t="shared" si="46"/>
        <v>2.7183699693898366E-3</v>
      </c>
      <c r="BL21" s="99">
        <f t="shared" si="20"/>
        <v>1.6735359168041993E-4</v>
      </c>
      <c r="BM21" s="48">
        <f t="shared" si="21"/>
        <v>8.9590643068973184E-4</v>
      </c>
      <c r="BN21" s="48">
        <f t="shared" si="22"/>
        <v>1.2579729886134444E-3</v>
      </c>
      <c r="BO21" s="48">
        <f t="shared" si="23"/>
        <v>4.0775549540847545E-3</v>
      </c>
      <c r="BP21" s="99">
        <f t="shared" si="24"/>
        <v>2.5103038752062991E-4</v>
      </c>
      <c r="BQ21" s="48">
        <f t="shared" si="25"/>
        <v>1.3438596460345975E-3</v>
      </c>
      <c r="BR21" s="40">
        <f t="shared" si="26"/>
        <v>0.25792011292330935</v>
      </c>
      <c r="BS21" s="31">
        <v>1.5</v>
      </c>
      <c r="BT21" s="31">
        <v>1.5</v>
      </c>
      <c r="BU21" s="43">
        <v>0.125</v>
      </c>
      <c r="BV21" s="44">
        <v>0.42</v>
      </c>
      <c r="BW21" s="43">
        <v>2.3E-2</v>
      </c>
      <c r="BX21" s="44">
        <v>0.2</v>
      </c>
      <c r="BY21" s="40">
        <v>15.675043576489315</v>
      </c>
      <c r="BZ21" s="40">
        <v>0.52</v>
      </c>
      <c r="CA21" s="40">
        <v>0.65</v>
      </c>
      <c r="CB21" s="45">
        <v>1</v>
      </c>
      <c r="CC21" s="41">
        <v>0.71600171560489412</v>
      </c>
      <c r="CD21" s="41">
        <v>21.755373924034487</v>
      </c>
      <c r="CE21" s="41">
        <v>77.528624360360624</v>
      </c>
      <c r="CF21" s="125">
        <v>1</v>
      </c>
      <c r="CG21" s="40">
        <f t="shared" si="47"/>
        <v>2.0590603948263449E-2</v>
      </c>
      <c r="CH21" s="40">
        <f t="shared" si="48"/>
        <v>2.0590603948263449E-2</v>
      </c>
      <c r="CI21" s="99">
        <f t="shared" si="49"/>
        <v>1.4742907752297537E-4</v>
      </c>
      <c r="CJ21" s="100">
        <f t="shared" si="50"/>
        <v>4.4795628821617224E-3</v>
      </c>
      <c r="CK21" s="100">
        <f t="shared" si="51"/>
        <v>1.5963611988578753E-2</v>
      </c>
      <c r="CL21" s="101">
        <f t="shared" si="27"/>
        <v>7.8319213997632615E-4</v>
      </c>
      <c r="CM21" s="100">
        <f t="shared" si="28"/>
        <v>4.1415713223298851E-3</v>
      </c>
      <c r="CN21" s="100">
        <f t="shared" si="29"/>
        <v>6.7193443232425841E-3</v>
      </c>
      <c r="CO21" s="100">
        <f t="shared" si="30"/>
        <v>2.3945417982868131E-2</v>
      </c>
      <c r="CP21" s="101">
        <f t="shared" si="31"/>
        <v>1.1747882099644893E-3</v>
      </c>
      <c r="CQ21" s="100">
        <f t="shared" si="32"/>
        <v>6.2123569834948277E-3</v>
      </c>
      <c r="CR21" s="99">
        <f t="shared" si="33"/>
        <v>0.22471375639639382</v>
      </c>
      <c r="CS21" s="31">
        <v>1.5</v>
      </c>
      <c r="CT21" s="31">
        <v>1.5</v>
      </c>
      <c r="CU21" s="43">
        <v>0.1</v>
      </c>
      <c r="CV21" s="44">
        <v>0.39</v>
      </c>
      <c r="CW21" s="43">
        <v>2.1000000000000001E-2</v>
      </c>
      <c r="CX21" s="44">
        <v>0.15</v>
      </c>
    </row>
    <row r="22" spans="1:102" s="23" customFormat="1" x14ac:dyDescent="0.25">
      <c r="A22" s="31">
        <v>8</v>
      </c>
      <c r="B22" s="83">
        <v>3</v>
      </c>
      <c r="C22" s="31">
        <v>40</v>
      </c>
      <c r="D22" s="31" t="s">
        <v>36</v>
      </c>
      <c r="E22" s="31" t="s">
        <v>5</v>
      </c>
      <c r="F22" s="31" t="s">
        <v>12</v>
      </c>
      <c r="G22" s="31" t="str">
        <f t="shared" si="34"/>
        <v>Kommunal 40 M 3 A</v>
      </c>
      <c r="H22" s="48">
        <f t="shared" si="0"/>
        <v>5.5855436960701776E-2</v>
      </c>
      <c r="I22" s="40">
        <f t="shared" si="1"/>
        <v>5.0635172883420204E-2</v>
      </c>
      <c r="J22" s="99">
        <f t="shared" si="2"/>
        <v>4.3918487902633904E-4</v>
      </c>
      <c r="K22" s="48">
        <f t="shared" si="3"/>
        <v>8.7017858122323787E-3</v>
      </c>
      <c r="L22" s="48">
        <f t="shared" si="4"/>
        <v>4.1494202192161482E-2</v>
      </c>
      <c r="M22" s="48">
        <f t="shared" si="35"/>
        <v>7.7156253042434883E-2</v>
      </c>
      <c r="N22" s="99">
        <f t="shared" si="5"/>
        <v>1.6013994691128648E-3</v>
      </c>
      <c r="O22" s="48">
        <f t="shared" si="6"/>
        <v>8.9504671793433008E-3</v>
      </c>
      <c r="P22" s="48">
        <f t="shared" si="7"/>
        <v>1.3052678718348566E-2</v>
      </c>
      <c r="Q22" s="48">
        <f t="shared" si="8"/>
        <v>6.224130328824222E-2</v>
      </c>
      <c r="R22" s="40">
        <f t="shared" si="36"/>
        <v>0.54009377129704417</v>
      </c>
      <c r="S22" s="99">
        <f t="shared" si="9"/>
        <v>2.4020992036692976E-3</v>
      </c>
      <c r="T22" s="48">
        <f t="shared" si="10"/>
        <v>1.3425700769014951E-2</v>
      </c>
      <c r="U22" s="40">
        <v>0.47826979199999992</v>
      </c>
      <c r="V22" s="40">
        <v>1.45</v>
      </c>
      <c r="W22" s="41">
        <v>0.5</v>
      </c>
      <c r="X22" s="40">
        <v>0.83481042657736282</v>
      </c>
      <c r="Y22" s="42">
        <v>0.70351646821904223</v>
      </c>
      <c r="Z22" s="42">
        <v>12.825609347785846</v>
      </c>
      <c r="AA22" s="42">
        <v>86.470874183995107</v>
      </c>
      <c r="AB22" s="42">
        <v>2.9246467817896402</v>
      </c>
      <c r="AC22" s="125">
        <v>1</v>
      </c>
      <c r="AD22" s="94">
        <f t="shared" si="37"/>
        <v>3.1601656019327198E-2</v>
      </c>
      <c r="AE22" s="94">
        <f t="shared" si="38"/>
        <v>2.6381391942045623E-2</v>
      </c>
      <c r="AF22" s="96">
        <f t="shared" si="11"/>
        <v>1.8559743685770235E-4</v>
      </c>
      <c r="AG22" s="95">
        <f t="shared" si="12"/>
        <v>3.3835742709950258E-3</v>
      </c>
      <c r="AH22" s="94">
        <f t="shared" si="39"/>
        <v>2.2812220234192892E-2</v>
      </c>
      <c r="AI22" s="94">
        <f t="shared" si="40"/>
        <v>7.7156253042434883E-2</v>
      </c>
      <c r="AJ22" s="96">
        <f t="shared" si="41"/>
        <v>6.5085373745611881E-4</v>
      </c>
      <c r="AK22" s="95">
        <f t="shared" si="13"/>
        <v>3.9129894263236834E-3</v>
      </c>
      <c r="AL22" s="95">
        <f t="shared" si="14"/>
        <v>5.0753614064925389E-3</v>
      </c>
      <c r="AM22" s="94">
        <f t="shared" si="15"/>
        <v>3.4218330351289336E-2</v>
      </c>
      <c r="AN22" s="93">
        <f t="shared" si="16"/>
        <v>0.54009377129704417</v>
      </c>
      <c r="AO22" s="96">
        <f t="shared" si="17"/>
        <v>9.7628060618417832E-4</v>
      </c>
      <c r="AP22" s="95">
        <f t="shared" si="18"/>
        <v>5.869484139485525E-3</v>
      </c>
      <c r="AQ22" s="93">
        <f t="shared" si="19"/>
        <v>0.13529125816004889</v>
      </c>
      <c r="AR22" s="31">
        <v>1.5</v>
      </c>
      <c r="AS22" s="31">
        <v>1.5</v>
      </c>
      <c r="AT22" s="31">
        <v>7</v>
      </c>
      <c r="AU22" s="43">
        <v>7.0999999999999994E-2</v>
      </c>
      <c r="AV22" s="44">
        <v>0.28000000000000003</v>
      </c>
      <c r="AW22" s="43">
        <v>1.7999999999999999E-2</v>
      </c>
      <c r="AX22" s="44">
        <v>0.13</v>
      </c>
      <c r="AY22" s="40">
        <v>6.316987959964214</v>
      </c>
      <c r="AZ22" s="41">
        <v>0.5</v>
      </c>
      <c r="BA22" s="40">
        <v>0.72</v>
      </c>
      <c r="BB22" s="45">
        <v>1</v>
      </c>
      <c r="BC22" s="41">
        <v>2.8979862246705492</v>
      </c>
      <c r="BD22" s="41">
        <v>22.894025067660387</v>
      </c>
      <c r="BE22" s="41">
        <v>74.207988707669074</v>
      </c>
      <c r="BF22" s="125">
        <v>1</v>
      </c>
      <c r="BG22" s="48">
        <f t="shared" si="42"/>
        <v>3.6631769931111274E-3</v>
      </c>
      <c r="BH22" s="48">
        <f t="shared" si="43"/>
        <v>3.6631769931111274E-3</v>
      </c>
      <c r="BI22" s="99">
        <f t="shared" si="44"/>
        <v>1.061583646456613E-4</v>
      </c>
      <c r="BJ22" s="99">
        <f t="shared" si="45"/>
        <v>8.3864865907562957E-4</v>
      </c>
      <c r="BK22" s="48">
        <f t="shared" si="46"/>
        <v>2.7183699693898366E-3</v>
      </c>
      <c r="BL22" s="99">
        <f t="shared" si="20"/>
        <v>1.6735359168041993E-4</v>
      </c>
      <c r="BM22" s="48">
        <f t="shared" si="21"/>
        <v>8.9590643068973184E-4</v>
      </c>
      <c r="BN22" s="48">
        <f t="shared" si="22"/>
        <v>1.2579729886134444E-3</v>
      </c>
      <c r="BO22" s="48">
        <f t="shared" si="23"/>
        <v>4.0775549540847545E-3</v>
      </c>
      <c r="BP22" s="99">
        <f t="shared" si="24"/>
        <v>2.5103038752062991E-4</v>
      </c>
      <c r="BQ22" s="48">
        <f t="shared" si="25"/>
        <v>1.3438596460345975E-3</v>
      </c>
      <c r="BR22" s="40">
        <f t="shared" si="26"/>
        <v>0.25792011292330935</v>
      </c>
      <c r="BS22" s="31">
        <v>1.5</v>
      </c>
      <c r="BT22" s="31">
        <v>1.5</v>
      </c>
      <c r="BU22" s="43">
        <v>0.125</v>
      </c>
      <c r="BV22" s="44">
        <v>0.42</v>
      </c>
      <c r="BW22" s="43">
        <v>2.3E-2</v>
      </c>
      <c r="BX22" s="44">
        <v>0.2</v>
      </c>
      <c r="BY22" s="40">
        <v>15.675043576489315</v>
      </c>
      <c r="BZ22" s="40">
        <v>0.52</v>
      </c>
      <c r="CA22" s="40">
        <v>0.65</v>
      </c>
      <c r="CB22" s="45">
        <v>1</v>
      </c>
      <c r="CC22" s="41">
        <v>0.71600171560489401</v>
      </c>
      <c r="CD22" s="41">
        <v>21.755373924034487</v>
      </c>
      <c r="CE22" s="41">
        <v>77.528624360360624</v>
      </c>
      <c r="CF22" s="125">
        <v>1</v>
      </c>
      <c r="CG22" s="40">
        <f t="shared" si="47"/>
        <v>2.0590603948263449E-2</v>
      </c>
      <c r="CH22" s="40">
        <f t="shared" si="48"/>
        <v>2.0590603948263449E-2</v>
      </c>
      <c r="CI22" s="99">
        <f t="shared" si="49"/>
        <v>1.4742907752297534E-4</v>
      </c>
      <c r="CJ22" s="100">
        <f t="shared" si="50"/>
        <v>4.4795628821617224E-3</v>
      </c>
      <c r="CK22" s="100">
        <f t="shared" si="51"/>
        <v>1.5963611988578753E-2</v>
      </c>
      <c r="CL22" s="101">
        <f t="shared" si="27"/>
        <v>7.8319213997632615E-4</v>
      </c>
      <c r="CM22" s="100">
        <f t="shared" si="28"/>
        <v>4.1415713223298851E-3</v>
      </c>
      <c r="CN22" s="100">
        <f t="shared" si="29"/>
        <v>6.7193443232425841E-3</v>
      </c>
      <c r="CO22" s="100">
        <f t="shared" si="30"/>
        <v>2.3945417982868131E-2</v>
      </c>
      <c r="CP22" s="101">
        <f t="shared" si="31"/>
        <v>1.1747882099644893E-3</v>
      </c>
      <c r="CQ22" s="100">
        <f t="shared" si="32"/>
        <v>6.2123569834948277E-3</v>
      </c>
      <c r="CR22" s="99">
        <f t="shared" si="33"/>
        <v>0.22471375639639382</v>
      </c>
      <c r="CS22" s="31">
        <v>1.5</v>
      </c>
      <c r="CT22" s="31">
        <v>1.5</v>
      </c>
      <c r="CU22" s="43">
        <v>0.1</v>
      </c>
      <c r="CV22" s="44">
        <v>0.39</v>
      </c>
      <c r="CW22" s="43">
        <v>2.1000000000000001E-2</v>
      </c>
      <c r="CX22" s="44">
        <v>0.15</v>
      </c>
    </row>
    <row r="23" spans="1:102" s="23" customFormat="1" x14ac:dyDescent="0.25">
      <c r="A23" s="31">
        <v>9</v>
      </c>
      <c r="B23" s="83">
        <v>3</v>
      </c>
      <c r="C23" s="31">
        <v>40</v>
      </c>
      <c r="D23" s="31" t="s">
        <v>36</v>
      </c>
      <c r="E23" s="31" t="s">
        <v>5</v>
      </c>
      <c r="F23" s="31" t="s">
        <v>13</v>
      </c>
      <c r="G23" s="31" t="str">
        <f t="shared" si="34"/>
        <v>Kommunal 40 M 3 B</v>
      </c>
      <c r="H23" s="48">
        <f t="shared" si="0"/>
        <v>5.5855436960701776E-2</v>
      </c>
      <c r="I23" s="40">
        <f t="shared" si="1"/>
        <v>5.0635172883420204E-2</v>
      </c>
      <c r="J23" s="99">
        <f t="shared" si="2"/>
        <v>4.3918487902633904E-4</v>
      </c>
      <c r="K23" s="48">
        <f t="shared" si="3"/>
        <v>8.7017858122323787E-3</v>
      </c>
      <c r="L23" s="48">
        <f t="shared" si="4"/>
        <v>4.1494202192161482E-2</v>
      </c>
      <c r="M23" s="48">
        <f t="shared" si="35"/>
        <v>7.7156253042434883E-2</v>
      </c>
      <c r="N23" s="99">
        <f t="shared" si="5"/>
        <v>1.6013994691128648E-3</v>
      </c>
      <c r="O23" s="48">
        <f t="shared" si="6"/>
        <v>8.9504671793433008E-3</v>
      </c>
      <c r="P23" s="48">
        <f t="shared" si="7"/>
        <v>1.3052678718348566E-2</v>
      </c>
      <c r="Q23" s="48">
        <f t="shared" si="8"/>
        <v>6.224130328824222E-2</v>
      </c>
      <c r="R23" s="40">
        <f t="shared" si="36"/>
        <v>0.54009377129704417</v>
      </c>
      <c r="S23" s="99">
        <f t="shared" si="9"/>
        <v>2.4020992036692976E-3</v>
      </c>
      <c r="T23" s="48">
        <f t="shared" si="10"/>
        <v>1.3425700769014951E-2</v>
      </c>
      <c r="U23" s="40">
        <v>0.47826979199999992</v>
      </c>
      <c r="V23" s="40">
        <v>1.45</v>
      </c>
      <c r="W23" s="41">
        <v>0.5</v>
      </c>
      <c r="X23" s="40">
        <v>0.83481042657736282</v>
      </c>
      <c r="Y23" s="42">
        <v>0.70351646821904223</v>
      </c>
      <c r="Z23" s="42">
        <v>12.825609347785846</v>
      </c>
      <c r="AA23" s="42">
        <v>86.470874183995107</v>
      </c>
      <c r="AB23" s="42">
        <v>2.9246467817896402</v>
      </c>
      <c r="AC23" s="125">
        <v>1</v>
      </c>
      <c r="AD23" s="94">
        <f t="shared" si="37"/>
        <v>3.1601656019327198E-2</v>
      </c>
      <c r="AE23" s="94">
        <f t="shared" si="38"/>
        <v>2.6381391942045623E-2</v>
      </c>
      <c r="AF23" s="96">
        <f t="shared" si="11"/>
        <v>1.8559743685770235E-4</v>
      </c>
      <c r="AG23" s="95">
        <f t="shared" si="12"/>
        <v>3.3835742709950258E-3</v>
      </c>
      <c r="AH23" s="94">
        <f t="shared" si="39"/>
        <v>2.2812220234192892E-2</v>
      </c>
      <c r="AI23" s="94">
        <f t="shared" si="40"/>
        <v>7.7156253042434883E-2</v>
      </c>
      <c r="AJ23" s="96">
        <f t="shared" si="41"/>
        <v>6.5085373745611881E-4</v>
      </c>
      <c r="AK23" s="95">
        <f t="shared" si="13"/>
        <v>3.9129894263236834E-3</v>
      </c>
      <c r="AL23" s="95">
        <f t="shared" si="14"/>
        <v>5.0753614064925389E-3</v>
      </c>
      <c r="AM23" s="94">
        <f t="shared" si="15"/>
        <v>3.4218330351289336E-2</v>
      </c>
      <c r="AN23" s="93">
        <f t="shared" si="16"/>
        <v>0.54009377129704417</v>
      </c>
      <c r="AO23" s="96">
        <f t="shared" si="17"/>
        <v>9.7628060618417832E-4</v>
      </c>
      <c r="AP23" s="95">
        <f t="shared" si="18"/>
        <v>5.869484139485525E-3</v>
      </c>
      <c r="AQ23" s="93">
        <f t="shared" si="19"/>
        <v>0.13529125816004889</v>
      </c>
      <c r="AR23" s="31">
        <v>1.5</v>
      </c>
      <c r="AS23" s="31">
        <v>1.5</v>
      </c>
      <c r="AT23" s="31">
        <v>7</v>
      </c>
      <c r="AU23" s="43">
        <v>7.0999999999999994E-2</v>
      </c>
      <c r="AV23" s="44">
        <v>0.28000000000000003</v>
      </c>
      <c r="AW23" s="43">
        <v>1.7999999999999999E-2</v>
      </c>
      <c r="AX23" s="44">
        <v>0.13</v>
      </c>
      <c r="AY23" s="40">
        <v>6.316987959964214</v>
      </c>
      <c r="AZ23" s="41">
        <v>0.5</v>
      </c>
      <c r="BA23" s="40">
        <v>0.72</v>
      </c>
      <c r="BB23" s="45">
        <v>1</v>
      </c>
      <c r="BC23" s="41">
        <v>2.8979862246705492</v>
      </c>
      <c r="BD23" s="41">
        <v>22.894025067660387</v>
      </c>
      <c r="BE23" s="41">
        <v>74.207988707669074</v>
      </c>
      <c r="BF23" s="125">
        <v>1</v>
      </c>
      <c r="BG23" s="48">
        <f t="shared" si="42"/>
        <v>3.6631769931111274E-3</v>
      </c>
      <c r="BH23" s="48">
        <f t="shared" si="43"/>
        <v>3.6631769931111274E-3</v>
      </c>
      <c r="BI23" s="99">
        <f t="shared" si="44"/>
        <v>1.061583646456613E-4</v>
      </c>
      <c r="BJ23" s="99">
        <f t="shared" si="45"/>
        <v>8.3864865907562957E-4</v>
      </c>
      <c r="BK23" s="48">
        <f t="shared" si="46"/>
        <v>2.7183699693898366E-3</v>
      </c>
      <c r="BL23" s="99">
        <f t="shared" si="20"/>
        <v>1.6735359168041993E-4</v>
      </c>
      <c r="BM23" s="48">
        <f t="shared" si="21"/>
        <v>8.9590643068973184E-4</v>
      </c>
      <c r="BN23" s="48">
        <f t="shared" si="22"/>
        <v>1.2579729886134444E-3</v>
      </c>
      <c r="BO23" s="48">
        <f t="shared" si="23"/>
        <v>4.0775549540847545E-3</v>
      </c>
      <c r="BP23" s="99">
        <f t="shared" si="24"/>
        <v>2.5103038752062991E-4</v>
      </c>
      <c r="BQ23" s="48">
        <f t="shared" si="25"/>
        <v>1.3438596460345975E-3</v>
      </c>
      <c r="BR23" s="40">
        <f t="shared" si="26"/>
        <v>0.25792011292330935</v>
      </c>
      <c r="BS23" s="31">
        <v>1.5</v>
      </c>
      <c r="BT23" s="31">
        <v>1.5</v>
      </c>
      <c r="BU23" s="43">
        <v>0.125</v>
      </c>
      <c r="BV23" s="44">
        <v>0.42</v>
      </c>
      <c r="BW23" s="43">
        <v>2.3E-2</v>
      </c>
      <c r="BX23" s="44">
        <v>0.2</v>
      </c>
      <c r="BY23" s="40">
        <v>15.675043576489315</v>
      </c>
      <c r="BZ23" s="40">
        <v>0.52</v>
      </c>
      <c r="CA23" s="40">
        <v>0.65</v>
      </c>
      <c r="CB23" s="45">
        <v>1</v>
      </c>
      <c r="CC23" s="41">
        <v>0.71600171560489401</v>
      </c>
      <c r="CD23" s="41">
        <v>21.755373924034487</v>
      </c>
      <c r="CE23" s="41">
        <v>77.528624360360624</v>
      </c>
      <c r="CF23" s="125">
        <v>1</v>
      </c>
      <c r="CG23" s="40">
        <f t="shared" si="47"/>
        <v>2.0590603948263449E-2</v>
      </c>
      <c r="CH23" s="40">
        <f t="shared" si="48"/>
        <v>2.0590603948263449E-2</v>
      </c>
      <c r="CI23" s="99">
        <f t="shared" si="49"/>
        <v>1.4742907752297534E-4</v>
      </c>
      <c r="CJ23" s="100">
        <f t="shared" si="50"/>
        <v>4.4795628821617224E-3</v>
      </c>
      <c r="CK23" s="100">
        <f t="shared" si="51"/>
        <v>1.5963611988578753E-2</v>
      </c>
      <c r="CL23" s="101">
        <f t="shared" si="27"/>
        <v>7.8319213997632615E-4</v>
      </c>
      <c r="CM23" s="100">
        <f t="shared" si="28"/>
        <v>4.1415713223298851E-3</v>
      </c>
      <c r="CN23" s="100">
        <f t="shared" si="29"/>
        <v>6.7193443232425841E-3</v>
      </c>
      <c r="CO23" s="100">
        <f t="shared" si="30"/>
        <v>2.3945417982868131E-2</v>
      </c>
      <c r="CP23" s="101">
        <f t="shared" si="31"/>
        <v>1.1747882099644893E-3</v>
      </c>
      <c r="CQ23" s="100">
        <f t="shared" si="32"/>
        <v>6.2123569834948277E-3</v>
      </c>
      <c r="CR23" s="99">
        <f t="shared" si="33"/>
        <v>0.22471375639639382</v>
      </c>
      <c r="CS23" s="31">
        <v>1.5</v>
      </c>
      <c r="CT23" s="31">
        <v>1.5</v>
      </c>
      <c r="CU23" s="43">
        <v>0.1</v>
      </c>
      <c r="CV23" s="44">
        <v>0.39</v>
      </c>
      <c r="CW23" s="43">
        <v>2.1000000000000001E-2</v>
      </c>
      <c r="CX23" s="44">
        <v>0.15</v>
      </c>
    </row>
    <row r="24" spans="1:102" s="23" customFormat="1" x14ac:dyDescent="0.25">
      <c r="A24" s="31">
        <v>10</v>
      </c>
      <c r="B24" s="83">
        <v>3</v>
      </c>
      <c r="C24" s="31">
        <v>40</v>
      </c>
      <c r="D24" s="31" t="s">
        <v>36</v>
      </c>
      <c r="E24" s="31" t="s">
        <v>5</v>
      </c>
      <c r="F24" s="31" t="s">
        <v>70</v>
      </c>
      <c r="G24" s="31" t="str">
        <f t="shared" si="34"/>
        <v>Kommunal 40 M 3 Ck</v>
      </c>
      <c r="H24" s="48">
        <f t="shared" si="0"/>
        <v>5.2695271358769058E-2</v>
      </c>
      <c r="I24" s="40">
        <f t="shared" si="1"/>
        <v>4.7997033689215651E-2</v>
      </c>
      <c r="J24" s="99">
        <f t="shared" si="2"/>
        <v>4.2062513534056893E-4</v>
      </c>
      <c r="K24" s="48">
        <f t="shared" si="3"/>
        <v>8.3634283851328761E-3</v>
      </c>
      <c r="L24" s="48">
        <f t="shared" si="4"/>
        <v>3.9212980168742202E-2</v>
      </c>
      <c r="M24" s="48">
        <f t="shared" si="35"/>
        <v>6.9440627738191416E-2</v>
      </c>
      <c r="N24" s="99">
        <f t="shared" si="5"/>
        <v>1.5363140953672532E-3</v>
      </c>
      <c r="O24" s="48">
        <f t="shared" si="6"/>
        <v>8.5591682367109345E-3</v>
      </c>
      <c r="P24" s="48">
        <f t="shared" si="7"/>
        <v>1.2545142577699316E-2</v>
      </c>
      <c r="Q24" s="48">
        <f t="shared" si="8"/>
        <v>5.88194702531133E-2</v>
      </c>
      <c r="R24" s="40">
        <f t="shared" si="36"/>
        <v>0.48608439416733989</v>
      </c>
      <c r="S24" s="99">
        <f t="shared" si="9"/>
        <v>2.3044711430508799E-3</v>
      </c>
      <c r="T24" s="48">
        <f t="shared" si="10"/>
        <v>1.28387523550664E-2</v>
      </c>
      <c r="U24" s="40">
        <v>0.43044281279999991</v>
      </c>
      <c r="V24" s="40">
        <v>1.45</v>
      </c>
      <c r="W24" s="41">
        <v>0.5</v>
      </c>
      <c r="X24" s="40">
        <v>0.83481042657736304</v>
      </c>
      <c r="Y24" s="42">
        <v>0.70351646821904246</v>
      </c>
      <c r="Z24" s="42">
        <v>12.82560934778585</v>
      </c>
      <c r="AA24" s="42">
        <v>86.470874183995107</v>
      </c>
      <c r="AB24" s="42">
        <v>2.9246467817896402</v>
      </c>
      <c r="AC24" s="125">
        <v>1</v>
      </c>
      <c r="AD24" s="94">
        <f t="shared" si="37"/>
        <v>2.844149041739448E-2</v>
      </c>
      <c r="AE24" s="94">
        <f t="shared" si="38"/>
        <v>2.374325274784107E-2</v>
      </c>
      <c r="AF24" s="96">
        <f t="shared" si="11"/>
        <v>1.6703769317193224E-4</v>
      </c>
      <c r="AG24" s="95">
        <f t="shared" si="12"/>
        <v>3.045216843895525E-3</v>
      </c>
      <c r="AH24" s="94">
        <f t="shared" si="39"/>
        <v>2.0530998210773612E-2</v>
      </c>
      <c r="AI24" s="94">
        <f t="shared" si="40"/>
        <v>6.9440627738191416E-2</v>
      </c>
      <c r="AJ24" s="96">
        <f t="shared" si="41"/>
        <v>5.8576836371050721E-4</v>
      </c>
      <c r="AK24" s="95">
        <f t="shared" si="13"/>
        <v>3.5216904836913167E-3</v>
      </c>
      <c r="AL24" s="95">
        <f t="shared" si="14"/>
        <v>4.5678252658432877E-3</v>
      </c>
      <c r="AM24" s="94">
        <f t="shared" si="15"/>
        <v>3.0796497316160416E-2</v>
      </c>
      <c r="AN24" s="93">
        <f t="shared" si="16"/>
        <v>0.48608439416733989</v>
      </c>
      <c r="AO24" s="96">
        <f t="shared" si="17"/>
        <v>8.7865254556576092E-4</v>
      </c>
      <c r="AP24" s="95">
        <f t="shared" si="18"/>
        <v>5.2825357255369748E-3</v>
      </c>
      <c r="AQ24" s="93">
        <f t="shared" si="19"/>
        <v>0.13529125816004892</v>
      </c>
      <c r="AR24" s="31">
        <v>1.5</v>
      </c>
      <c r="AS24" s="31">
        <v>1.5</v>
      </c>
      <c r="AT24" s="31">
        <v>7</v>
      </c>
      <c r="AU24" s="43">
        <v>7.0999999999999994E-2</v>
      </c>
      <c r="AV24" s="44">
        <v>0.28000000000000003</v>
      </c>
      <c r="AW24" s="43">
        <v>1.7999999999999999E-2</v>
      </c>
      <c r="AX24" s="44">
        <v>0.13</v>
      </c>
      <c r="AY24" s="40">
        <v>6.316987959964214</v>
      </c>
      <c r="AZ24" s="41">
        <v>0.5</v>
      </c>
      <c r="BA24" s="40">
        <v>0.72</v>
      </c>
      <c r="BB24" s="45">
        <v>1</v>
      </c>
      <c r="BC24" s="41">
        <v>2.8979862246705492</v>
      </c>
      <c r="BD24" s="41">
        <v>22.894025067660387</v>
      </c>
      <c r="BE24" s="41">
        <v>74.207988707669074</v>
      </c>
      <c r="BF24" s="125">
        <v>1</v>
      </c>
      <c r="BG24" s="48">
        <f t="shared" si="42"/>
        <v>3.6631769931111274E-3</v>
      </c>
      <c r="BH24" s="48">
        <f t="shared" si="43"/>
        <v>3.6631769931111274E-3</v>
      </c>
      <c r="BI24" s="99">
        <f t="shared" si="44"/>
        <v>1.061583646456613E-4</v>
      </c>
      <c r="BJ24" s="99">
        <f t="shared" si="45"/>
        <v>8.3864865907562957E-4</v>
      </c>
      <c r="BK24" s="48">
        <f t="shared" si="46"/>
        <v>2.7183699693898366E-3</v>
      </c>
      <c r="BL24" s="99">
        <f t="shared" si="20"/>
        <v>1.6735359168041993E-4</v>
      </c>
      <c r="BM24" s="48">
        <f t="shared" si="21"/>
        <v>8.9590643068973184E-4</v>
      </c>
      <c r="BN24" s="48">
        <f t="shared" si="22"/>
        <v>1.2579729886134444E-3</v>
      </c>
      <c r="BO24" s="48">
        <f t="shared" si="23"/>
        <v>4.0775549540847545E-3</v>
      </c>
      <c r="BP24" s="99">
        <f t="shared" si="24"/>
        <v>2.5103038752062991E-4</v>
      </c>
      <c r="BQ24" s="48">
        <f t="shared" si="25"/>
        <v>1.3438596460345975E-3</v>
      </c>
      <c r="BR24" s="40">
        <f t="shared" si="26"/>
        <v>0.25792011292330935</v>
      </c>
      <c r="BS24" s="31">
        <v>1.5</v>
      </c>
      <c r="BT24" s="31">
        <v>1.5</v>
      </c>
      <c r="BU24" s="43">
        <v>0.125</v>
      </c>
      <c r="BV24" s="44">
        <v>0.42</v>
      </c>
      <c r="BW24" s="43">
        <v>2.3E-2</v>
      </c>
      <c r="BX24" s="44">
        <v>0.2</v>
      </c>
      <c r="BY24" s="40">
        <v>15.675043576489315</v>
      </c>
      <c r="BZ24" s="40">
        <v>0.52</v>
      </c>
      <c r="CA24" s="40">
        <v>0.65</v>
      </c>
      <c r="CB24" s="45">
        <v>1</v>
      </c>
      <c r="CC24" s="41">
        <v>0.71600171560489401</v>
      </c>
      <c r="CD24" s="41">
        <v>21.755373924034487</v>
      </c>
      <c r="CE24" s="41">
        <v>77.528624360360624</v>
      </c>
      <c r="CF24" s="125">
        <v>1</v>
      </c>
      <c r="CG24" s="40">
        <f t="shared" si="47"/>
        <v>2.0590603948263449E-2</v>
      </c>
      <c r="CH24" s="40">
        <f t="shared" si="48"/>
        <v>2.0590603948263449E-2</v>
      </c>
      <c r="CI24" s="99">
        <f t="shared" si="49"/>
        <v>1.4742907752297534E-4</v>
      </c>
      <c r="CJ24" s="100">
        <f t="shared" si="50"/>
        <v>4.4795628821617224E-3</v>
      </c>
      <c r="CK24" s="100">
        <f t="shared" si="51"/>
        <v>1.5963611988578753E-2</v>
      </c>
      <c r="CL24" s="101">
        <f t="shared" si="27"/>
        <v>7.8319213997632615E-4</v>
      </c>
      <c r="CM24" s="100">
        <f t="shared" si="28"/>
        <v>4.1415713223298851E-3</v>
      </c>
      <c r="CN24" s="100">
        <f t="shared" si="29"/>
        <v>6.7193443232425841E-3</v>
      </c>
      <c r="CO24" s="100">
        <f t="shared" si="30"/>
        <v>2.3945417982868131E-2</v>
      </c>
      <c r="CP24" s="101">
        <f t="shared" si="31"/>
        <v>1.1747882099644893E-3</v>
      </c>
      <c r="CQ24" s="100">
        <f t="shared" si="32"/>
        <v>6.2123569834948277E-3</v>
      </c>
      <c r="CR24" s="99">
        <f t="shared" si="33"/>
        <v>0.22471375639639382</v>
      </c>
      <c r="CS24" s="31">
        <v>1.5</v>
      </c>
      <c r="CT24" s="31">
        <v>1.5</v>
      </c>
      <c r="CU24" s="43">
        <v>0.1</v>
      </c>
      <c r="CV24" s="44">
        <v>0.39</v>
      </c>
      <c r="CW24" s="43">
        <v>2.1000000000000001E-2</v>
      </c>
      <c r="CX24" s="44">
        <v>0.15</v>
      </c>
    </row>
    <row r="25" spans="1:102" s="23" customFormat="1" x14ac:dyDescent="0.25">
      <c r="A25" s="31">
        <v>11</v>
      </c>
      <c r="B25" s="83">
        <v>3</v>
      </c>
      <c r="C25" s="31">
        <v>40</v>
      </c>
      <c r="D25" s="31" t="s">
        <v>36</v>
      </c>
      <c r="E25" s="31" t="s">
        <v>5</v>
      </c>
      <c r="F25" s="31" t="s">
        <v>71</v>
      </c>
      <c r="G25" s="31" t="str">
        <f t="shared" si="34"/>
        <v>Kommunal 40 M 3 Cm</v>
      </c>
      <c r="H25" s="48">
        <f t="shared" si="0"/>
        <v>5.2695271358769058E-2</v>
      </c>
      <c r="I25" s="40">
        <f t="shared" si="1"/>
        <v>4.7997033689215651E-2</v>
      </c>
      <c r="J25" s="99">
        <f t="shared" si="2"/>
        <v>4.2062513534056893E-4</v>
      </c>
      <c r="K25" s="48">
        <f t="shared" si="3"/>
        <v>8.3634283851328761E-3</v>
      </c>
      <c r="L25" s="48">
        <f t="shared" si="4"/>
        <v>3.9212980168742202E-2</v>
      </c>
      <c r="M25" s="48">
        <f t="shared" si="35"/>
        <v>6.9440627738191416E-2</v>
      </c>
      <c r="N25" s="99">
        <f t="shared" si="5"/>
        <v>1.5363140953672532E-3</v>
      </c>
      <c r="O25" s="48">
        <f t="shared" si="6"/>
        <v>8.5591682367109345E-3</v>
      </c>
      <c r="P25" s="48">
        <f t="shared" si="7"/>
        <v>1.2545142577699316E-2</v>
      </c>
      <c r="Q25" s="48">
        <f t="shared" si="8"/>
        <v>5.88194702531133E-2</v>
      </c>
      <c r="R25" s="40">
        <f t="shared" si="36"/>
        <v>0.48608439416733989</v>
      </c>
      <c r="S25" s="99">
        <f t="shared" si="9"/>
        <v>2.3044711430508799E-3</v>
      </c>
      <c r="T25" s="48">
        <f t="shared" si="10"/>
        <v>1.28387523550664E-2</v>
      </c>
      <c r="U25" s="40">
        <v>0.43044281279999991</v>
      </c>
      <c r="V25" s="40">
        <v>1.45</v>
      </c>
      <c r="W25" s="41">
        <v>0.5</v>
      </c>
      <c r="X25" s="40">
        <v>0.83481042657736304</v>
      </c>
      <c r="Y25" s="42">
        <v>0.70351646821904246</v>
      </c>
      <c r="Z25" s="42">
        <v>12.82560934778585</v>
      </c>
      <c r="AA25" s="42">
        <v>86.470874183995107</v>
      </c>
      <c r="AB25" s="42">
        <v>2.9246467817896402</v>
      </c>
      <c r="AC25" s="125">
        <v>1</v>
      </c>
      <c r="AD25" s="94">
        <f t="shared" si="37"/>
        <v>2.844149041739448E-2</v>
      </c>
      <c r="AE25" s="94">
        <f t="shared" si="38"/>
        <v>2.374325274784107E-2</v>
      </c>
      <c r="AF25" s="96">
        <f t="shared" si="11"/>
        <v>1.6703769317193224E-4</v>
      </c>
      <c r="AG25" s="95">
        <f t="shared" si="12"/>
        <v>3.045216843895525E-3</v>
      </c>
      <c r="AH25" s="94">
        <f t="shared" si="39"/>
        <v>2.0530998210773612E-2</v>
      </c>
      <c r="AI25" s="94">
        <f t="shared" si="40"/>
        <v>6.9440627738191416E-2</v>
      </c>
      <c r="AJ25" s="96">
        <f t="shared" si="41"/>
        <v>5.8576836371050721E-4</v>
      </c>
      <c r="AK25" s="95">
        <f t="shared" si="13"/>
        <v>3.5216904836913167E-3</v>
      </c>
      <c r="AL25" s="95">
        <f t="shared" si="14"/>
        <v>4.5678252658432877E-3</v>
      </c>
      <c r="AM25" s="94">
        <f t="shared" si="15"/>
        <v>3.0796497316160416E-2</v>
      </c>
      <c r="AN25" s="93">
        <f t="shared" si="16"/>
        <v>0.48608439416733989</v>
      </c>
      <c r="AO25" s="96">
        <f t="shared" si="17"/>
        <v>8.7865254556576092E-4</v>
      </c>
      <c r="AP25" s="95">
        <f t="shared" si="18"/>
        <v>5.2825357255369748E-3</v>
      </c>
      <c r="AQ25" s="93">
        <f t="shared" si="19"/>
        <v>0.13529125816004892</v>
      </c>
      <c r="AR25" s="31">
        <v>1.5</v>
      </c>
      <c r="AS25" s="31">
        <v>1.5</v>
      </c>
      <c r="AT25" s="31">
        <v>7</v>
      </c>
      <c r="AU25" s="43">
        <v>7.0999999999999994E-2</v>
      </c>
      <c r="AV25" s="44">
        <v>0.28000000000000003</v>
      </c>
      <c r="AW25" s="43">
        <v>1.7999999999999999E-2</v>
      </c>
      <c r="AX25" s="44">
        <v>0.13</v>
      </c>
      <c r="AY25" s="40">
        <v>6.316987959964214</v>
      </c>
      <c r="AZ25" s="41">
        <v>0.5</v>
      </c>
      <c r="BA25" s="40">
        <v>0.72</v>
      </c>
      <c r="BB25" s="45">
        <v>1</v>
      </c>
      <c r="BC25" s="41">
        <v>2.8979862246705492</v>
      </c>
      <c r="BD25" s="41">
        <v>22.894025067660387</v>
      </c>
      <c r="BE25" s="41">
        <v>74.207988707669074</v>
      </c>
      <c r="BF25" s="125">
        <v>1</v>
      </c>
      <c r="BG25" s="48">
        <f t="shared" si="42"/>
        <v>3.6631769931111274E-3</v>
      </c>
      <c r="BH25" s="48">
        <f t="shared" si="43"/>
        <v>3.6631769931111274E-3</v>
      </c>
      <c r="BI25" s="99">
        <f t="shared" si="44"/>
        <v>1.061583646456613E-4</v>
      </c>
      <c r="BJ25" s="99">
        <f t="shared" si="45"/>
        <v>8.3864865907562957E-4</v>
      </c>
      <c r="BK25" s="48">
        <f t="shared" si="46"/>
        <v>2.7183699693898366E-3</v>
      </c>
      <c r="BL25" s="99">
        <f t="shared" si="20"/>
        <v>1.6735359168041993E-4</v>
      </c>
      <c r="BM25" s="48">
        <f t="shared" si="21"/>
        <v>8.9590643068973184E-4</v>
      </c>
      <c r="BN25" s="48">
        <f t="shared" si="22"/>
        <v>1.2579729886134444E-3</v>
      </c>
      <c r="BO25" s="48">
        <f t="shared" si="23"/>
        <v>4.0775549540847545E-3</v>
      </c>
      <c r="BP25" s="99">
        <f t="shared" si="24"/>
        <v>2.5103038752062991E-4</v>
      </c>
      <c r="BQ25" s="48">
        <f t="shared" si="25"/>
        <v>1.3438596460345975E-3</v>
      </c>
      <c r="BR25" s="40">
        <f t="shared" si="26"/>
        <v>0.25792011292330935</v>
      </c>
      <c r="BS25" s="31">
        <v>1.5</v>
      </c>
      <c r="BT25" s="31">
        <v>1.5</v>
      </c>
      <c r="BU25" s="43">
        <v>0.125</v>
      </c>
      <c r="BV25" s="44">
        <v>0.42</v>
      </c>
      <c r="BW25" s="43">
        <v>2.3E-2</v>
      </c>
      <c r="BX25" s="44">
        <v>0.2</v>
      </c>
      <c r="BY25" s="40">
        <v>15.675043576489315</v>
      </c>
      <c r="BZ25" s="40">
        <v>0.52</v>
      </c>
      <c r="CA25" s="40">
        <v>0.65</v>
      </c>
      <c r="CB25" s="45">
        <v>1</v>
      </c>
      <c r="CC25" s="41">
        <v>0.71600171560489401</v>
      </c>
      <c r="CD25" s="41">
        <v>21.755373924034487</v>
      </c>
      <c r="CE25" s="41">
        <v>77.528624360360624</v>
      </c>
      <c r="CF25" s="125">
        <v>1</v>
      </c>
      <c r="CG25" s="40">
        <f t="shared" si="47"/>
        <v>2.0590603948263449E-2</v>
      </c>
      <c r="CH25" s="40">
        <f t="shared" si="48"/>
        <v>2.0590603948263449E-2</v>
      </c>
      <c r="CI25" s="99">
        <f t="shared" si="49"/>
        <v>1.4742907752297534E-4</v>
      </c>
      <c r="CJ25" s="100">
        <f t="shared" si="50"/>
        <v>4.4795628821617224E-3</v>
      </c>
      <c r="CK25" s="100">
        <f t="shared" si="51"/>
        <v>1.5963611988578753E-2</v>
      </c>
      <c r="CL25" s="101">
        <f t="shared" si="27"/>
        <v>7.8319213997632615E-4</v>
      </c>
      <c r="CM25" s="100">
        <f t="shared" si="28"/>
        <v>4.1415713223298851E-3</v>
      </c>
      <c r="CN25" s="100">
        <f t="shared" si="29"/>
        <v>6.7193443232425841E-3</v>
      </c>
      <c r="CO25" s="100">
        <f t="shared" si="30"/>
        <v>2.3945417982868131E-2</v>
      </c>
      <c r="CP25" s="101">
        <f t="shared" si="31"/>
        <v>1.1747882099644893E-3</v>
      </c>
      <c r="CQ25" s="100">
        <f t="shared" si="32"/>
        <v>6.2123569834948277E-3</v>
      </c>
      <c r="CR25" s="99">
        <f t="shared" si="33"/>
        <v>0.22471375639639382</v>
      </c>
      <c r="CS25" s="31">
        <v>1.5</v>
      </c>
      <c r="CT25" s="31">
        <v>1.5</v>
      </c>
      <c r="CU25" s="43">
        <v>0.1</v>
      </c>
      <c r="CV25" s="44">
        <v>0.39</v>
      </c>
      <c r="CW25" s="43">
        <v>2.1000000000000001E-2</v>
      </c>
      <c r="CX25" s="44">
        <v>0.15</v>
      </c>
    </row>
    <row r="26" spans="1:102" s="23" customFormat="1" x14ac:dyDescent="0.25">
      <c r="A26" s="31">
        <v>12</v>
      </c>
      <c r="B26" s="83">
        <v>3</v>
      </c>
      <c r="C26" s="31">
        <v>40</v>
      </c>
      <c r="D26" s="31" t="s">
        <v>36</v>
      </c>
      <c r="E26" s="31" t="s">
        <v>5</v>
      </c>
      <c r="F26" s="31" t="s">
        <v>0</v>
      </c>
      <c r="G26" s="31" t="str">
        <f t="shared" si="34"/>
        <v>Kommunal 40 M 3 D</v>
      </c>
      <c r="H26" s="48">
        <f t="shared" si="0"/>
        <v>5.1414483958030006E-2</v>
      </c>
      <c r="I26" s="40">
        <f t="shared" si="1"/>
        <v>5.407767451908381E-2</v>
      </c>
      <c r="J26" s="99">
        <f t="shared" si="2"/>
        <v>2.5358744216863666E-4</v>
      </c>
      <c r="K26" s="48">
        <f t="shared" si="3"/>
        <v>8.3525263963835656E-3</v>
      </c>
      <c r="L26" s="48">
        <f t="shared" si="4"/>
        <v>4.5471560680531611E-2</v>
      </c>
      <c r="M26" s="48">
        <f t="shared" si="35"/>
        <v>0.15336955591681917</v>
      </c>
      <c r="N26" s="99">
        <f t="shared" si="5"/>
        <v>1.6481945033782616E-3</v>
      </c>
      <c r="O26" s="48">
        <f t="shared" si="6"/>
        <v>9.3697311463937505E-3</v>
      </c>
      <c r="P26" s="48">
        <f t="shared" si="7"/>
        <v>1.2528789594575349E-2</v>
      </c>
      <c r="Q26" s="48">
        <f t="shared" si="8"/>
        <v>6.820734102079741E-2</v>
      </c>
      <c r="R26" s="40">
        <f t="shared" si="36"/>
        <v>1.0735868914177342</v>
      </c>
      <c r="S26" s="99">
        <f t="shared" si="9"/>
        <v>2.4722917550673924E-3</v>
      </c>
      <c r="T26" s="48">
        <f t="shared" si="10"/>
        <v>1.4054596719590624E-2</v>
      </c>
      <c r="U26" s="40">
        <v>1.1222406360000008</v>
      </c>
      <c r="V26" s="40">
        <v>1.2</v>
      </c>
      <c r="W26" s="45">
        <v>0</v>
      </c>
      <c r="X26" s="40">
        <v>1.0980530790907985</v>
      </c>
      <c r="Y26" s="42">
        <v>0</v>
      </c>
      <c r="Z26" s="42">
        <v>10.174107036829358</v>
      </c>
      <c r="AA26" s="42">
        <v>89.825892963170645</v>
      </c>
      <c r="AB26" s="42">
        <v>5.1425061425061411</v>
      </c>
      <c r="AC26" s="125">
        <v>1</v>
      </c>
      <c r="AD26" s="94">
        <f t="shared" si="37"/>
        <v>2.7160703016655428E-2</v>
      </c>
      <c r="AE26" s="94">
        <f t="shared" si="38"/>
        <v>2.9823893577709232E-2</v>
      </c>
      <c r="AF26" s="96">
        <f t="shared" si="11"/>
        <v>0</v>
      </c>
      <c r="AG26" s="95">
        <f t="shared" si="12"/>
        <v>3.034314855146214E-3</v>
      </c>
      <c r="AH26" s="94">
        <f t="shared" si="39"/>
        <v>2.6789578722563018E-2</v>
      </c>
      <c r="AI26" s="94">
        <f t="shared" si="40"/>
        <v>0.15336955591681917</v>
      </c>
      <c r="AJ26" s="96">
        <f t="shared" si="41"/>
        <v>6.9764877172151551E-4</v>
      </c>
      <c r="AK26" s="95">
        <f t="shared" si="13"/>
        <v>4.3322533933741331E-3</v>
      </c>
      <c r="AL26" s="95">
        <f t="shared" si="14"/>
        <v>4.551472282719321E-3</v>
      </c>
      <c r="AM26" s="94">
        <f t="shared" si="15"/>
        <v>4.0184368083844527E-2</v>
      </c>
      <c r="AN26" s="93">
        <f t="shared" si="16"/>
        <v>1.0735868914177342</v>
      </c>
      <c r="AO26" s="96">
        <f t="shared" si="17"/>
        <v>1.0464731575822732E-3</v>
      </c>
      <c r="AP26" s="95">
        <f t="shared" si="18"/>
        <v>6.4983800900611987E-3</v>
      </c>
      <c r="AQ26" s="93">
        <f t="shared" si="19"/>
        <v>0.10174107036829358</v>
      </c>
      <c r="AR26" s="31">
        <v>1.5</v>
      </c>
      <c r="AS26" s="31">
        <v>1.5</v>
      </c>
      <c r="AT26" s="31">
        <v>7</v>
      </c>
      <c r="AU26" s="43">
        <v>7.0999999999999994E-2</v>
      </c>
      <c r="AV26" s="44">
        <v>0.28000000000000003</v>
      </c>
      <c r="AW26" s="43">
        <v>1.7999999999999999E-2</v>
      </c>
      <c r="AX26" s="44">
        <v>0.13</v>
      </c>
      <c r="AY26" s="40">
        <v>6.316987959964214</v>
      </c>
      <c r="AZ26" s="41">
        <v>0.5</v>
      </c>
      <c r="BA26" s="40">
        <v>0.72</v>
      </c>
      <c r="BB26" s="45">
        <v>1</v>
      </c>
      <c r="BC26" s="41">
        <v>2.8979862246705492</v>
      </c>
      <c r="BD26" s="41">
        <v>22.894025067660387</v>
      </c>
      <c r="BE26" s="41">
        <v>74.207988707669074</v>
      </c>
      <c r="BF26" s="125">
        <v>1</v>
      </c>
      <c r="BG26" s="48">
        <f t="shared" si="42"/>
        <v>3.6631769931111274E-3</v>
      </c>
      <c r="BH26" s="48">
        <f t="shared" si="43"/>
        <v>3.6631769931111274E-3</v>
      </c>
      <c r="BI26" s="99">
        <f t="shared" si="44"/>
        <v>1.061583646456613E-4</v>
      </c>
      <c r="BJ26" s="99">
        <f t="shared" si="45"/>
        <v>8.3864865907562957E-4</v>
      </c>
      <c r="BK26" s="48">
        <f t="shared" si="46"/>
        <v>2.7183699693898366E-3</v>
      </c>
      <c r="BL26" s="99">
        <f t="shared" si="20"/>
        <v>1.6735359168041993E-4</v>
      </c>
      <c r="BM26" s="48">
        <f t="shared" si="21"/>
        <v>8.9590643068973184E-4</v>
      </c>
      <c r="BN26" s="48">
        <f t="shared" si="22"/>
        <v>1.2579729886134444E-3</v>
      </c>
      <c r="BO26" s="48">
        <f t="shared" si="23"/>
        <v>4.0775549540847545E-3</v>
      </c>
      <c r="BP26" s="99">
        <f t="shared" si="24"/>
        <v>2.5103038752062991E-4</v>
      </c>
      <c r="BQ26" s="48">
        <f t="shared" si="25"/>
        <v>1.3438596460345975E-3</v>
      </c>
      <c r="BR26" s="40">
        <f t="shared" si="26"/>
        <v>0.25792011292330935</v>
      </c>
      <c r="BS26" s="31">
        <v>1.5</v>
      </c>
      <c r="BT26" s="31">
        <v>1.5</v>
      </c>
      <c r="BU26" s="43">
        <v>0.125</v>
      </c>
      <c r="BV26" s="44">
        <v>0.42</v>
      </c>
      <c r="BW26" s="43">
        <v>2.3E-2</v>
      </c>
      <c r="BX26" s="44">
        <v>0.2</v>
      </c>
      <c r="BY26" s="40">
        <v>15.675043576489315</v>
      </c>
      <c r="BZ26" s="40">
        <v>0.52</v>
      </c>
      <c r="CA26" s="40">
        <v>0.65</v>
      </c>
      <c r="CB26" s="45">
        <v>1</v>
      </c>
      <c r="CC26" s="41">
        <v>0.71600171560489401</v>
      </c>
      <c r="CD26" s="41">
        <v>21.755373924034487</v>
      </c>
      <c r="CE26" s="41">
        <v>77.528624360360624</v>
      </c>
      <c r="CF26" s="125">
        <v>1</v>
      </c>
      <c r="CG26" s="40">
        <f t="shared" si="47"/>
        <v>2.0590603948263449E-2</v>
      </c>
      <c r="CH26" s="40">
        <f t="shared" si="48"/>
        <v>2.0590603948263449E-2</v>
      </c>
      <c r="CI26" s="99">
        <f t="shared" si="49"/>
        <v>1.4742907752297534E-4</v>
      </c>
      <c r="CJ26" s="100">
        <f t="shared" si="50"/>
        <v>4.4795628821617224E-3</v>
      </c>
      <c r="CK26" s="100">
        <f t="shared" si="51"/>
        <v>1.5963611988578753E-2</v>
      </c>
      <c r="CL26" s="101">
        <f t="shared" si="27"/>
        <v>7.8319213997632615E-4</v>
      </c>
      <c r="CM26" s="100">
        <f t="shared" si="28"/>
        <v>4.1415713223298851E-3</v>
      </c>
      <c r="CN26" s="100">
        <f t="shared" si="29"/>
        <v>6.7193443232425841E-3</v>
      </c>
      <c r="CO26" s="100">
        <f t="shared" si="30"/>
        <v>2.3945417982868131E-2</v>
      </c>
      <c r="CP26" s="101">
        <f t="shared" si="31"/>
        <v>1.1747882099644893E-3</v>
      </c>
      <c r="CQ26" s="100">
        <f t="shared" si="32"/>
        <v>6.2123569834948277E-3</v>
      </c>
      <c r="CR26" s="99">
        <f t="shared" si="33"/>
        <v>0.22471375639639382</v>
      </c>
      <c r="CS26" s="31">
        <v>1.5</v>
      </c>
      <c r="CT26" s="31">
        <v>1.5</v>
      </c>
      <c r="CU26" s="43">
        <v>0.1</v>
      </c>
      <c r="CV26" s="44">
        <v>0.39</v>
      </c>
      <c r="CW26" s="43">
        <v>2.1000000000000001E-2</v>
      </c>
      <c r="CX26" s="44">
        <v>0.15</v>
      </c>
    </row>
    <row r="27" spans="1:102" s="23" customFormat="1" x14ac:dyDescent="0.25">
      <c r="A27" s="31">
        <v>13</v>
      </c>
      <c r="B27" s="83">
        <v>3</v>
      </c>
      <c r="C27" s="31">
        <v>40</v>
      </c>
      <c r="D27" s="31" t="s">
        <v>36</v>
      </c>
      <c r="E27" s="31" t="s">
        <v>5</v>
      </c>
      <c r="F27" s="31" t="s">
        <v>62</v>
      </c>
      <c r="G27" s="31" t="str">
        <f t="shared" si="34"/>
        <v>Kommunal 40 M 3 EE</v>
      </c>
      <c r="H27" s="48">
        <f t="shared" si="0"/>
        <v>8.9728228385215367E-2</v>
      </c>
      <c r="I27" s="40">
        <f t="shared" si="1"/>
        <v>7.9376597350756514E-2</v>
      </c>
      <c r="J27" s="99">
        <f t="shared" si="2"/>
        <v>2.5358744216863666E-4</v>
      </c>
      <c r="K27" s="48">
        <f t="shared" si="3"/>
        <v>1.0926465884442807E-2</v>
      </c>
      <c r="L27" s="48">
        <f t="shared" si="4"/>
        <v>6.8196544024145073E-2</v>
      </c>
      <c r="M27" s="48">
        <f t="shared" si="35"/>
        <v>0.16121476761488004</v>
      </c>
      <c r="N27" s="99">
        <f t="shared" si="5"/>
        <v>2.2399939072155102E-3</v>
      </c>
      <c r="O27" s="48">
        <f t="shared" si="6"/>
        <v>1.3044682037720089E-2</v>
      </c>
      <c r="P27" s="48">
        <f t="shared" si="7"/>
        <v>1.638969882666421E-2</v>
      </c>
      <c r="Q27" s="48">
        <f t="shared" si="8"/>
        <v>0.10229481603621761</v>
      </c>
      <c r="R27" s="40">
        <f t="shared" si="36"/>
        <v>1.1285033733041603</v>
      </c>
      <c r="S27" s="99">
        <f t="shared" si="9"/>
        <v>3.3599908608232649E-3</v>
      </c>
      <c r="T27" s="48">
        <f t="shared" si="10"/>
        <v>1.9567023056580132E-2</v>
      </c>
      <c r="U27" s="40">
        <v>3.3700867199999993</v>
      </c>
      <c r="V27" s="40">
        <v>1.2</v>
      </c>
      <c r="W27" s="41">
        <v>0.1</v>
      </c>
      <c r="X27" s="40">
        <v>0.8418981535760538</v>
      </c>
      <c r="Y27" s="42">
        <v>0</v>
      </c>
      <c r="Z27" s="42">
        <v>10.174107036829358</v>
      </c>
      <c r="AA27" s="42">
        <v>89.825892963170645</v>
      </c>
      <c r="AB27" s="42">
        <v>2.9246467817896402</v>
      </c>
      <c r="AC27" s="125">
        <v>1</v>
      </c>
      <c r="AD27" s="94">
        <f t="shared" si="37"/>
        <v>6.5474447443840789E-2</v>
      </c>
      <c r="AE27" s="94">
        <f t="shared" si="38"/>
        <v>5.5122816409381936E-2</v>
      </c>
      <c r="AF27" s="96">
        <f t="shared" si="11"/>
        <v>0</v>
      </c>
      <c r="AG27" s="95">
        <f t="shared" si="12"/>
        <v>5.6082543432054554E-3</v>
      </c>
      <c r="AH27" s="94">
        <f t="shared" si="39"/>
        <v>4.9514562066176486E-2</v>
      </c>
      <c r="AI27" s="94">
        <f t="shared" si="40"/>
        <v>0.16121476761488004</v>
      </c>
      <c r="AJ27" s="96">
        <f t="shared" si="41"/>
        <v>1.289448175558764E-3</v>
      </c>
      <c r="AK27" s="95">
        <f t="shared" si="13"/>
        <v>8.0072042847004719E-3</v>
      </c>
      <c r="AL27" s="95">
        <f t="shared" si="14"/>
        <v>8.4123815148081822E-3</v>
      </c>
      <c r="AM27" s="94">
        <f t="shared" si="15"/>
        <v>7.4271843099264725E-2</v>
      </c>
      <c r="AN27" s="93">
        <f t="shared" si="16"/>
        <v>1.1285033733041603</v>
      </c>
      <c r="AO27" s="96">
        <f t="shared" si="17"/>
        <v>1.9341722633381458E-3</v>
      </c>
      <c r="AP27" s="95">
        <f t="shared" si="18"/>
        <v>1.2010806427050706E-2</v>
      </c>
      <c r="AQ27" s="93">
        <f t="shared" si="19"/>
        <v>0.10174107036829358</v>
      </c>
      <c r="AR27" s="31">
        <v>1.5</v>
      </c>
      <c r="AS27" s="31">
        <v>1.5</v>
      </c>
      <c r="AT27" s="31">
        <v>7</v>
      </c>
      <c r="AU27" s="43">
        <v>7.0999999999999994E-2</v>
      </c>
      <c r="AV27" s="44">
        <v>0.28000000000000003</v>
      </c>
      <c r="AW27" s="43">
        <v>1.7999999999999999E-2</v>
      </c>
      <c r="AX27" s="44">
        <v>0.13</v>
      </c>
      <c r="AY27" s="40">
        <v>6.316987959964214</v>
      </c>
      <c r="AZ27" s="41">
        <v>0.5</v>
      </c>
      <c r="BA27" s="40">
        <v>0.72</v>
      </c>
      <c r="BB27" s="45">
        <v>1</v>
      </c>
      <c r="BC27" s="41">
        <v>2.8979862246705492</v>
      </c>
      <c r="BD27" s="41">
        <v>22.894025067660387</v>
      </c>
      <c r="BE27" s="41">
        <v>74.207988707669074</v>
      </c>
      <c r="BF27" s="125">
        <v>1</v>
      </c>
      <c r="BG27" s="48">
        <f t="shared" si="42"/>
        <v>3.6631769931111274E-3</v>
      </c>
      <c r="BH27" s="48">
        <f t="shared" si="43"/>
        <v>3.6631769931111274E-3</v>
      </c>
      <c r="BI27" s="99">
        <f t="shared" si="44"/>
        <v>1.061583646456613E-4</v>
      </c>
      <c r="BJ27" s="99">
        <f t="shared" si="45"/>
        <v>8.3864865907562957E-4</v>
      </c>
      <c r="BK27" s="48">
        <f t="shared" si="46"/>
        <v>2.7183699693898366E-3</v>
      </c>
      <c r="BL27" s="99">
        <f t="shared" si="20"/>
        <v>1.6735359168041993E-4</v>
      </c>
      <c r="BM27" s="48">
        <f t="shared" si="21"/>
        <v>8.9590643068973184E-4</v>
      </c>
      <c r="BN27" s="48">
        <f t="shared" si="22"/>
        <v>1.2579729886134444E-3</v>
      </c>
      <c r="BO27" s="48">
        <f t="shared" si="23"/>
        <v>4.0775549540847545E-3</v>
      </c>
      <c r="BP27" s="99">
        <f t="shared" si="24"/>
        <v>2.5103038752062991E-4</v>
      </c>
      <c r="BQ27" s="48">
        <f t="shared" si="25"/>
        <v>1.3438596460345975E-3</v>
      </c>
      <c r="BR27" s="40">
        <f t="shared" si="26"/>
        <v>0.25792011292330935</v>
      </c>
      <c r="BS27" s="31">
        <v>1.5</v>
      </c>
      <c r="BT27" s="31">
        <v>1.5</v>
      </c>
      <c r="BU27" s="43">
        <v>0.125</v>
      </c>
      <c r="BV27" s="44">
        <v>0.42</v>
      </c>
      <c r="BW27" s="43">
        <v>2.3E-2</v>
      </c>
      <c r="BX27" s="44">
        <v>0.2</v>
      </c>
      <c r="BY27" s="40">
        <v>15.675043576489315</v>
      </c>
      <c r="BZ27" s="40">
        <v>0.52</v>
      </c>
      <c r="CA27" s="40">
        <v>0.65</v>
      </c>
      <c r="CB27" s="45">
        <v>1</v>
      </c>
      <c r="CC27" s="41">
        <v>0.71600171560489401</v>
      </c>
      <c r="CD27" s="41">
        <v>21.755373924034487</v>
      </c>
      <c r="CE27" s="41">
        <v>77.528624360360624</v>
      </c>
      <c r="CF27" s="125">
        <v>1</v>
      </c>
      <c r="CG27" s="40">
        <f t="shared" si="47"/>
        <v>2.0590603948263449E-2</v>
      </c>
      <c r="CH27" s="40">
        <f t="shared" si="48"/>
        <v>2.0590603948263449E-2</v>
      </c>
      <c r="CI27" s="99">
        <f t="shared" si="49"/>
        <v>1.4742907752297534E-4</v>
      </c>
      <c r="CJ27" s="100">
        <f t="shared" si="50"/>
        <v>4.4795628821617224E-3</v>
      </c>
      <c r="CK27" s="100">
        <f t="shared" si="51"/>
        <v>1.5963611988578753E-2</v>
      </c>
      <c r="CL27" s="101">
        <f t="shared" si="27"/>
        <v>7.8319213997632615E-4</v>
      </c>
      <c r="CM27" s="100">
        <f t="shared" si="28"/>
        <v>4.1415713223298851E-3</v>
      </c>
      <c r="CN27" s="100">
        <f t="shared" si="29"/>
        <v>6.7193443232425841E-3</v>
      </c>
      <c r="CO27" s="100">
        <f t="shared" si="30"/>
        <v>2.3945417982868131E-2</v>
      </c>
      <c r="CP27" s="101">
        <f t="shared" si="31"/>
        <v>1.1747882099644893E-3</v>
      </c>
      <c r="CQ27" s="100">
        <f t="shared" si="32"/>
        <v>6.2123569834948277E-3</v>
      </c>
      <c r="CR27" s="99">
        <f t="shared" si="33"/>
        <v>0.22471375639639382</v>
      </c>
      <c r="CS27" s="31">
        <v>1.5</v>
      </c>
      <c r="CT27" s="31">
        <v>1.5</v>
      </c>
      <c r="CU27" s="43">
        <v>0.1</v>
      </c>
      <c r="CV27" s="44">
        <v>0.39</v>
      </c>
      <c r="CW27" s="43">
        <v>2.1000000000000001E-2</v>
      </c>
      <c r="CX27" s="44">
        <v>0.15</v>
      </c>
    </row>
    <row r="28" spans="1:102" s="23" customFormat="1" x14ac:dyDescent="0.25">
      <c r="A28" s="31">
        <v>14</v>
      </c>
      <c r="B28" s="83">
        <v>3</v>
      </c>
      <c r="C28" s="31">
        <v>40</v>
      </c>
      <c r="D28" s="31" t="s">
        <v>36</v>
      </c>
      <c r="E28" s="31" t="s">
        <v>5</v>
      </c>
      <c r="F28" s="31" t="s">
        <v>63</v>
      </c>
      <c r="G28" s="31" t="str">
        <f t="shared" si="34"/>
        <v>Kommunal 40 M 3 ES</v>
      </c>
      <c r="H28" s="48">
        <f t="shared" si="0"/>
        <v>6.3500043279397192E-2</v>
      </c>
      <c r="I28" s="40">
        <f t="shared" si="1"/>
        <v>5.6436263575594559E-2</v>
      </c>
      <c r="J28" s="99">
        <f t="shared" si="2"/>
        <v>2.5358744216863666E-4</v>
      </c>
      <c r="K28" s="48">
        <f t="shared" si="3"/>
        <v>8.5924917715519133E-3</v>
      </c>
      <c r="L28" s="48">
        <f t="shared" si="4"/>
        <v>4.7590184361874011E-2</v>
      </c>
      <c r="M28" s="48">
        <f t="shared" si="35"/>
        <v>0.11544358449522951</v>
      </c>
      <c r="N28" s="99">
        <f t="shared" si="5"/>
        <v>1.7033672712793778E-3</v>
      </c>
      <c r="O28" s="48">
        <f t="shared" si="6"/>
        <v>9.7123425300154002E-3</v>
      </c>
      <c r="P28" s="48">
        <f t="shared" si="7"/>
        <v>1.2888737657327872E-2</v>
      </c>
      <c r="Q28" s="48">
        <f t="shared" si="8"/>
        <v>7.1385276542811016E-2</v>
      </c>
      <c r="R28" s="40">
        <f t="shared" si="36"/>
        <v>0.80810509146660658</v>
      </c>
      <c r="S28" s="99">
        <f t="shared" si="9"/>
        <v>2.5550509069190664E-3</v>
      </c>
      <c r="T28" s="48">
        <f t="shared" si="10"/>
        <v>1.4568513795023099E-2</v>
      </c>
      <c r="U28" s="40">
        <v>2.0200752</v>
      </c>
      <c r="V28" s="40">
        <v>1.2</v>
      </c>
      <c r="W28" s="41">
        <v>0.1</v>
      </c>
      <c r="X28" s="40">
        <v>0.82001395080725714</v>
      </c>
      <c r="Y28" s="42">
        <v>0</v>
      </c>
      <c r="Z28" s="42">
        <v>10.17410703682936</v>
      </c>
      <c r="AA28" s="42">
        <v>89.825892963170645</v>
      </c>
      <c r="AB28" s="42">
        <v>3.5871559633027528</v>
      </c>
      <c r="AC28" s="125">
        <v>1</v>
      </c>
      <c r="AD28" s="94">
        <f t="shared" si="37"/>
        <v>3.9246262338022614E-2</v>
      </c>
      <c r="AE28" s="94">
        <f t="shared" si="38"/>
        <v>3.2182482634219987E-2</v>
      </c>
      <c r="AF28" s="96">
        <f t="shared" si="11"/>
        <v>0</v>
      </c>
      <c r="AG28" s="95">
        <f t="shared" si="12"/>
        <v>3.2742802303145622E-3</v>
      </c>
      <c r="AH28" s="94">
        <f t="shared" si="39"/>
        <v>2.8908202403905427E-2</v>
      </c>
      <c r="AI28" s="94">
        <f t="shared" si="40"/>
        <v>0.11544358449522951</v>
      </c>
      <c r="AJ28" s="96">
        <f t="shared" si="41"/>
        <v>7.5282153962263161E-4</v>
      </c>
      <c r="AK28" s="95">
        <f t="shared" si="13"/>
        <v>4.6748647769957827E-3</v>
      </c>
      <c r="AL28" s="95">
        <f t="shared" si="14"/>
        <v>4.9114203454718435E-3</v>
      </c>
      <c r="AM28" s="94">
        <f t="shared" si="15"/>
        <v>4.3362303605858139E-2</v>
      </c>
      <c r="AN28" s="93">
        <f t="shared" si="16"/>
        <v>0.80810509146660658</v>
      </c>
      <c r="AO28" s="96">
        <f t="shared" si="17"/>
        <v>1.1292323094339472E-3</v>
      </c>
      <c r="AP28" s="95">
        <f t="shared" si="18"/>
        <v>7.012297165493675E-3</v>
      </c>
      <c r="AQ28" s="93">
        <f t="shared" si="19"/>
        <v>0.10174107036829359</v>
      </c>
      <c r="AR28" s="31">
        <v>1.5</v>
      </c>
      <c r="AS28" s="31">
        <v>1.5</v>
      </c>
      <c r="AT28" s="31">
        <v>7</v>
      </c>
      <c r="AU28" s="43">
        <v>7.0999999999999994E-2</v>
      </c>
      <c r="AV28" s="44">
        <v>0.28000000000000003</v>
      </c>
      <c r="AW28" s="43">
        <v>1.7999999999999999E-2</v>
      </c>
      <c r="AX28" s="44">
        <v>0.13</v>
      </c>
      <c r="AY28" s="40">
        <v>6.316987959964214</v>
      </c>
      <c r="AZ28" s="41">
        <v>0.5</v>
      </c>
      <c r="BA28" s="40">
        <v>0.72</v>
      </c>
      <c r="BB28" s="45">
        <v>1</v>
      </c>
      <c r="BC28" s="41">
        <v>2.8979862246705492</v>
      </c>
      <c r="BD28" s="41">
        <v>22.894025067660387</v>
      </c>
      <c r="BE28" s="41">
        <v>74.207988707669074</v>
      </c>
      <c r="BF28" s="125">
        <v>1</v>
      </c>
      <c r="BG28" s="48">
        <f t="shared" si="42"/>
        <v>3.6631769931111274E-3</v>
      </c>
      <c r="BH28" s="48">
        <f t="shared" si="43"/>
        <v>3.6631769931111274E-3</v>
      </c>
      <c r="BI28" s="99">
        <f t="shared" si="44"/>
        <v>1.061583646456613E-4</v>
      </c>
      <c r="BJ28" s="99">
        <f t="shared" si="45"/>
        <v>8.3864865907562957E-4</v>
      </c>
      <c r="BK28" s="48">
        <f t="shared" si="46"/>
        <v>2.7183699693898366E-3</v>
      </c>
      <c r="BL28" s="99">
        <f t="shared" si="20"/>
        <v>1.6735359168041993E-4</v>
      </c>
      <c r="BM28" s="48">
        <f t="shared" si="21"/>
        <v>8.9590643068973184E-4</v>
      </c>
      <c r="BN28" s="48">
        <f t="shared" si="22"/>
        <v>1.2579729886134444E-3</v>
      </c>
      <c r="BO28" s="48">
        <f t="shared" si="23"/>
        <v>4.0775549540847545E-3</v>
      </c>
      <c r="BP28" s="99">
        <f t="shared" si="24"/>
        <v>2.5103038752062991E-4</v>
      </c>
      <c r="BQ28" s="48">
        <f t="shared" si="25"/>
        <v>1.3438596460345975E-3</v>
      </c>
      <c r="BR28" s="40">
        <f t="shared" si="26"/>
        <v>0.25792011292330935</v>
      </c>
      <c r="BS28" s="31">
        <v>1.5</v>
      </c>
      <c r="BT28" s="31">
        <v>1.5</v>
      </c>
      <c r="BU28" s="43">
        <v>0.125</v>
      </c>
      <c r="BV28" s="44">
        <v>0.42</v>
      </c>
      <c r="BW28" s="43">
        <v>2.3E-2</v>
      </c>
      <c r="BX28" s="44">
        <v>0.2</v>
      </c>
      <c r="BY28" s="40">
        <v>15.675043576489315</v>
      </c>
      <c r="BZ28" s="40">
        <v>0.52</v>
      </c>
      <c r="CA28" s="40">
        <v>0.65</v>
      </c>
      <c r="CB28" s="45">
        <v>1</v>
      </c>
      <c r="CC28" s="41">
        <v>0.71600171560489401</v>
      </c>
      <c r="CD28" s="41">
        <v>21.755373924034487</v>
      </c>
      <c r="CE28" s="41">
        <v>77.528624360360624</v>
      </c>
      <c r="CF28" s="125">
        <v>1</v>
      </c>
      <c r="CG28" s="40">
        <f t="shared" si="47"/>
        <v>2.0590603948263449E-2</v>
      </c>
      <c r="CH28" s="40">
        <f t="shared" si="48"/>
        <v>2.0590603948263449E-2</v>
      </c>
      <c r="CI28" s="99">
        <f t="shared" si="49"/>
        <v>1.4742907752297534E-4</v>
      </c>
      <c r="CJ28" s="100">
        <f t="shared" si="50"/>
        <v>4.4795628821617224E-3</v>
      </c>
      <c r="CK28" s="100">
        <f t="shared" si="51"/>
        <v>1.5963611988578753E-2</v>
      </c>
      <c r="CL28" s="101">
        <f t="shared" si="27"/>
        <v>7.8319213997632615E-4</v>
      </c>
      <c r="CM28" s="100">
        <f t="shared" si="28"/>
        <v>4.1415713223298851E-3</v>
      </c>
      <c r="CN28" s="100">
        <f t="shared" si="29"/>
        <v>6.7193443232425841E-3</v>
      </c>
      <c r="CO28" s="100">
        <f t="shared" si="30"/>
        <v>2.3945417982868131E-2</v>
      </c>
      <c r="CP28" s="101">
        <f t="shared" si="31"/>
        <v>1.1747882099644893E-3</v>
      </c>
      <c r="CQ28" s="100">
        <f t="shared" si="32"/>
        <v>6.2123569834948277E-3</v>
      </c>
      <c r="CR28" s="99">
        <f t="shared" si="33"/>
        <v>0.22471375639639382</v>
      </c>
      <c r="CS28" s="31">
        <v>1.5</v>
      </c>
      <c r="CT28" s="31">
        <v>1.5</v>
      </c>
      <c r="CU28" s="43">
        <v>0.1</v>
      </c>
      <c r="CV28" s="44">
        <v>0.39</v>
      </c>
      <c r="CW28" s="43">
        <v>2.1000000000000001E-2</v>
      </c>
      <c r="CX28" s="44">
        <v>0.15</v>
      </c>
    </row>
    <row r="29" spans="1:102" s="23" customFormat="1" x14ac:dyDescent="0.25">
      <c r="A29" s="31">
        <v>15</v>
      </c>
      <c r="B29" s="83">
        <v>3</v>
      </c>
      <c r="C29" s="31">
        <v>40</v>
      </c>
      <c r="D29" s="31" t="s">
        <v>36</v>
      </c>
      <c r="E29" s="31" t="s">
        <v>5</v>
      </c>
      <c r="F29" s="31" t="s">
        <v>64</v>
      </c>
      <c r="G29" s="31" t="str">
        <f t="shared" si="34"/>
        <v>Kommunal 40 M 3 F</v>
      </c>
      <c r="H29" s="48">
        <f t="shared" si="0"/>
        <v>3.7772542739281427E-2</v>
      </c>
      <c r="I29" s="40">
        <f t="shared" si="1"/>
        <v>3.7444476912397391E-2</v>
      </c>
      <c r="J29" s="99">
        <f t="shared" si="2"/>
        <v>3.4638616059748785E-4</v>
      </c>
      <c r="K29" s="48">
        <f t="shared" si="3"/>
        <v>7.0099986767348651E-3</v>
      </c>
      <c r="L29" s="48">
        <f t="shared" si="4"/>
        <v>3.0088092075065041E-2</v>
      </c>
      <c r="M29" s="48">
        <f t="shared" si="35"/>
        <v>4.7317083712568091E-2</v>
      </c>
      <c r="N29" s="99">
        <f t="shared" si="5"/>
        <v>1.2759726003848055E-3</v>
      </c>
      <c r="O29" s="48">
        <f t="shared" si="6"/>
        <v>6.9939724661814591E-3</v>
      </c>
      <c r="P29" s="48">
        <f t="shared" si="7"/>
        <v>1.0514998015102299E-2</v>
      </c>
      <c r="Q29" s="48">
        <f t="shared" si="8"/>
        <v>4.5132138112597558E-2</v>
      </c>
      <c r="R29" s="40">
        <f t="shared" si="36"/>
        <v>0.33121958598797663</v>
      </c>
      <c r="S29" s="99">
        <f t="shared" si="9"/>
        <v>1.9139589005772084E-3</v>
      </c>
      <c r="T29" s="48">
        <f t="shared" si="10"/>
        <v>1.0490958699272189E-2</v>
      </c>
      <c r="U29" s="40">
        <v>0.20459736000000001</v>
      </c>
      <c r="V29" s="40">
        <v>1.45</v>
      </c>
      <c r="W29" s="41">
        <v>0.5</v>
      </c>
      <c r="X29" s="40">
        <v>0.97573255363262401</v>
      </c>
      <c r="Y29" s="42">
        <v>0.70351646821904223</v>
      </c>
      <c r="Z29" s="42">
        <v>12.825609347785846</v>
      </c>
      <c r="AA29" s="42">
        <v>86.470874183995107</v>
      </c>
      <c r="AB29" s="42">
        <v>3.5871559633027532</v>
      </c>
      <c r="AC29" s="125">
        <v>1</v>
      </c>
      <c r="AD29" s="94">
        <f t="shared" si="37"/>
        <v>1.3518761797906851E-2</v>
      </c>
      <c r="AE29" s="94">
        <f t="shared" si="38"/>
        <v>1.3190695971022815E-2</v>
      </c>
      <c r="AF29" s="96">
        <f t="shared" si="11"/>
        <v>9.2798718428851215E-5</v>
      </c>
      <c r="AG29" s="95">
        <f t="shared" si="12"/>
        <v>1.6917871354975131E-3</v>
      </c>
      <c r="AH29" s="94">
        <f t="shared" si="39"/>
        <v>1.1406110117096451E-2</v>
      </c>
      <c r="AI29" s="94">
        <f t="shared" si="40"/>
        <v>4.7317083712568091E-2</v>
      </c>
      <c r="AJ29" s="96">
        <f t="shared" si="41"/>
        <v>3.2542686872805951E-4</v>
      </c>
      <c r="AK29" s="95">
        <f t="shared" si="13"/>
        <v>1.9564947131618425E-3</v>
      </c>
      <c r="AL29" s="95">
        <f t="shared" si="14"/>
        <v>2.5376807032462699E-3</v>
      </c>
      <c r="AM29" s="94">
        <f t="shared" si="15"/>
        <v>1.7109165175644675E-2</v>
      </c>
      <c r="AN29" s="93">
        <f t="shared" si="16"/>
        <v>0.33121958598797663</v>
      </c>
      <c r="AO29" s="96">
        <f t="shared" si="17"/>
        <v>4.8814030309208927E-4</v>
      </c>
      <c r="AP29" s="95">
        <f t="shared" si="18"/>
        <v>2.9347420697427634E-3</v>
      </c>
      <c r="AQ29" s="93">
        <f t="shared" si="19"/>
        <v>0.13529125816004889</v>
      </c>
      <c r="AR29" s="31">
        <v>1.5</v>
      </c>
      <c r="AS29" s="31">
        <v>1.5</v>
      </c>
      <c r="AT29" s="31">
        <v>7</v>
      </c>
      <c r="AU29" s="43">
        <v>7.0999999999999994E-2</v>
      </c>
      <c r="AV29" s="44">
        <v>0.28000000000000003</v>
      </c>
      <c r="AW29" s="43">
        <v>1.7999999999999999E-2</v>
      </c>
      <c r="AX29" s="44">
        <v>0.13</v>
      </c>
      <c r="AY29" s="40">
        <v>6.316987959964214</v>
      </c>
      <c r="AZ29" s="41">
        <v>0.5</v>
      </c>
      <c r="BA29" s="40">
        <v>0.72</v>
      </c>
      <c r="BB29" s="45">
        <v>1</v>
      </c>
      <c r="BC29" s="41">
        <v>2.8979862246705492</v>
      </c>
      <c r="BD29" s="41">
        <v>22.894025067660383</v>
      </c>
      <c r="BE29" s="41">
        <v>74.207988707669074</v>
      </c>
      <c r="BF29" s="125">
        <v>1</v>
      </c>
      <c r="BG29" s="48">
        <f t="shared" si="42"/>
        <v>3.6631769931111274E-3</v>
      </c>
      <c r="BH29" s="48">
        <f t="shared" si="43"/>
        <v>3.6631769931111274E-3</v>
      </c>
      <c r="BI29" s="99">
        <f t="shared" si="44"/>
        <v>1.061583646456613E-4</v>
      </c>
      <c r="BJ29" s="99">
        <f t="shared" si="45"/>
        <v>8.3864865907562936E-4</v>
      </c>
      <c r="BK29" s="48">
        <f t="shared" si="46"/>
        <v>2.7183699693898366E-3</v>
      </c>
      <c r="BL29" s="99">
        <f t="shared" si="20"/>
        <v>1.673535916804199E-4</v>
      </c>
      <c r="BM29" s="48">
        <f t="shared" si="21"/>
        <v>8.9590643068973173E-4</v>
      </c>
      <c r="BN29" s="48">
        <f t="shared" si="22"/>
        <v>1.2579729886134441E-3</v>
      </c>
      <c r="BO29" s="48">
        <f t="shared" si="23"/>
        <v>4.0775549540847545E-3</v>
      </c>
      <c r="BP29" s="99">
        <f t="shared" si="24"/>
        <v>2.5103038752062986E-4</v>
      </c>
      <c r="BQ29" s="48">
        <f t="shared" si="25"/>
        <v>1.3438596460345975E-3</v>
      </c>
      <c r="BR29" s="40">
        <f t="shared" si="26"/>
        <v>0.2579201129233093</v>
      </c>
      <c r="BS29" s="31">
        <v>1.5</v>
      </c>
      <c r="BT29" s="31">
        <v>1.5</v>
      </c>
      <c r="BU29" s="43">
        <v>0.125</v>
      </c>
      <c r="BV29" s="44">
        <v>0.42</v>
      </c>
      <c r="BW29" s="43">
        <v>2.3E-2</v>
      </c>
      <c r="BX29" s="44">
        <v>0.2</v>
      </c>
      <c r="BY29" s="40">
        <v>15.675043576489314</v>
      </c>
      <c r="BZ29" s="40">
        <v>0.52</v>
      </c>
      <c r="CA29" s="40">
        <v>0.65</v>
      </c>
      <c r="CB29" s="45">
        <v>1</v>
      </c>
      <c r="CC29" s="41">
        <v>0.71600171560489401</v>
      </c>
      <c r="CD29" s="41">
        <v>21.755373924034487</v>
      </c>
      <c r="CE29" s="41">
        <v>77.528624360360624</v>
      </c>
      <c r="CF29" s="125">
        <v>1</v>
      </c>
      <c r="CG29" s="40">
        <f t="shared" si="47"/>
        <v>2.0590603948263449E-2</v>
      </c>
      <c r="CH29" s="40">
        <f t="shared" si="48"/>
        <v>2.0590603948263449E-2</v>
      </c>
      <c r="CI29" s="99">
        <f t="shared" si="49"/>
        <v>1.4742907752297534E-4</v>
      </c>
      <c r="CJ29" s="100">
        <f t="shared" si="50"/>
        <v>4.4795628821617224E-3</v>
      </c>
      <c r="CK29" s="100">
        <f t="shared" si="51"/>
        <v>1.5963611988578753E-2</v>
      </c>
      <c r="CL29" s="101">
        <f t="shared" si="27"/>
        <v>7.8319213997632615E-4</v>
      </c>
      <c r="CM29" s="100">
        <f t="shared" si="28"/>
        <v>4.1415713223298851E-3</v>
      </c>
      <c r="CN29" s="100">
        <f t="shared" si="29"/>
        <v>6.7193443232425841E-3</v>
      </c>
      <c r="CO29" s="100">
        <f t="shared" si="30"/>
        <v>2.3945417982868131E-2</v>
      </c>
      <c r="CP29" s="101">
        <f t="shared" si="31"/>
        <v>1.1747882099644893E-3</v>
      </c>
      <c r="CQ29" s="100">
        <f t="shared" si="32"/>
        <v>6.2123569834948277E-3</v>
      </c>
      <c r="CR29" s="99">
        <f t="shared" si="33"/>
        <v>0.22471375639639382</v>
      </c>
      <c r="CS29" s="31">
        <v>1.5</v>
      </c>
      <c r="CT29" s="31">
        <v>1.5</v>
      </c>
      <c r="CU29" s="43">
        <v>0.1</v>
      </c>
      <c r="CV29" s="44">
        <v>0.39</v>
      </c>
      <c r="CW29" s="43">
        <v>2.1000000000000001E-2</v>
      </c>
      <c r="CX29" s="44">
        <v>0.15</v>
      </c>
    </row>
    <row r="30" spans="1:102" s="23" customFormat="1" x14ac:dyDescent="0.25">
      <c r="A30" s="31">
        <v>16</v>
      </c>
      <c r="B30" s="83">
        <v>3</v>
      </c>
      <c r="C30" s="31">
        <v>40</v>
      </c>
      <c r="D30" s="31" t="s">
        <v>36</v>
      </c>
      <c r="E30" s="31" t="s">
        <v>6</v>
      </c>
      <c r="F30" s="31" t="s">
        <v>12</v>
      </c>
      <c r="G30" s="31" t="str">
        <f t="shared" si="34"/>
        <v>Kommunal 40 Y 3 A</v>
      </c>
      <c r="H30" s="48">
        <f t="shared" si="0"/>
        <v>5.5855436960701769E-2</v>
      </c>
      <c r="I30" s="40">
        <f t="shared" si="1"/>
        <v>5.3725835930642653E-2</v>
      </c>
      <c r="J30" s="99">
        <f t="shared" si="2"/>
        <v>4.6238455863355194E-4</v>
      </c>
      <c r="K30" s="48">
        <f t="shared" si="3"/>
        <v>1.0139804877405265E-2</v>
      </c>
      <c r="L30" s="48">
        <f t="shared" si="4"/>
        <v>4.3123646494603839E-2</v>
      </c>
      <c r="M30" s="48">
        <f t="shared" si="35"/>
        <v>8.6195350777090202E-2</v>
      </c>
      <c r="N30" s="99">
        <f t="shared" si="5"/>
        <v>1.7328288201841023E-3</v>
      </c>
      <c r="O30" s="48">
        <f t="shared" si="6"/>
        <v>9.5649402769092152E-3</v>
      </c>
      <c r="P30" s="48">
        <f t="shared" si="7"/>
        <v>1.5209707316107896E-2</v>
      </c>
      <c r="Q30" s="48">
        <f t="shared" si="8"/>
        <v>6.4685469741905754E-2</v>
      </c>
      <c r="R30" s="40">
        <f t="shared" si="36"/>
        <v>0.60336745543963144</v>
      </c>
      <c r="S30" s="99">
        <f t="shared" si="9"/>
        <v>2.5992432302761534E-3</v>
      </c>
      <c r="T30" s="48">
        <f t="shared" si="10"/>
        <v>1.4347410415363821E-2</v>
      </c>
      <c r="U30" s="40">
        <v>0.47826979199999992</v>
      </c>
      <c r="V30" s="40">
        <v>1.45</v>
      </c>
      <c r="W30" s="41">
        <v>0.5</v>
      </c>
      <c r="X30" s="40">
        <v>0.93261109390100705</v>
      </c>
      <c r="Y30" s="42">
        <v>0.70845794954218966</v>
      </c>
      <c r="Z30" s="42">
        <v>16.35988171820269</v>
      </c>
      <c r="AA30" s="42">
        <v>82.93166033225512</v>
      </c>
      <c r="AB30" s="42">
        <v>2.9246467817896402</v>
      </c>
      <c r="AC30" s="125">
        <v>1</v>
      </c>
      <c r="AD30" s="94">
        <f t="shared" si="37"/>
        <v>3.1601656019327198E-2</v>
      </c>
      <c r="AE30" s="94">
        <f t="shared" si="38"/>
        <v>2.9472054989268082E-2</v>
      </c>
      <c r="AF30" s="96">
        <f t="shared" si="11"/>
        <v>2.0879711646491525E-4</v>
      </c>
      <c r="AG30" s="95">
        <f t="shared" si="12"/>
        <v>4.8215933361679128E-3</v>
      </c>
      <c r="AH30" s="94">
        <f t="shared" si="39"/>
        <v>2.4441664536635255E-2</v>
      </c>
      <c r="AI30" s="94">
        <f t="shared" si="40"/>
        <v>8.6195350777090202E-2</v>
      </c>
      <c r="AJ30" s="96">
        <f t="shared" si="41"/>
        <v>7.8228308852735639E-4</v>
      </c>
      <c r="AK30" s="95">
        <f t="shared" si="13"/>
        <v>4.5274625238895996E-3</v>
      </c>
      <c r="AL30" s="95">
        <f t="shared" si="14"/>
        <v>7.2323900042518697E-3</v>
      </c>
      <c r="AM30" s="94">
        <f t="shared" si="15"/>
        <v>3.6662496804952885E-2</v>
      </c>
      <c r="AN30" s="93">
        <f t="shared" si="16"/>
        <v>0.60336745543963144</v>
      </c>
      <c r="AO30" s="96">
        <f t="shared" si="17"/>
        <v>1.1734246327910346E-3</v>
      </c>
      <c r="AP30" s="95">
        <f t="shared" si="18"/>
        <v>6.7911937858343985E-3</v>
      </c>
      <c r="AQ30" s="93">
        <f t="shared" si="19"/>
        <v>0.17068339667744881</v>
      </c>
      <c r="AR30" s="31">
        <v>1.5</v>
      </c>
      <c r="AS30" s="31">
        <v>1.5</v>
      </c>
      <c r="AT30" s="31">
        <v>7</v>
      </c>
      <c r="AU30" s="43">
        <v>7.0999999999999994E-2</v>
      </c>
      <c r="AV30" s="44">
        <v>0.28000000000000003</v>
      </c>
      <c r="AW30" s="43">
        <v>1.7999999999999999E-2</v>
      </c>
      <c r="AX30" s="44">
        <v>0.13</v>
      </c>
      <c r="AY30" s="40">
        <v>6.3169879599642158</v>
      </c>
      <c r="AZ30" s="41">
        <v>0.5</v>
      </c>
      <c r="BA30" s="40">
        <v>0.72</v>
      </c>
      <c r="BB30" s="45">
        <v>1</v>
      </c>
      <c r="BC30" s="41">
        <v>2.8979862246705488</v>
      </c>
      <c r="BD30" s="41">
        <v>22.894025067660387</v>
      </c>
      <c r="BE30" s="41">
        <v>74.20798870766906</v>
      </c>
      <c r="BF30" s="125">
        <v>1</v>
      </c>
      <c r="BG30" s="48">
        <f t="shared" si="42"/>
        <v>3.6631769931111287E-3</v>
      </c>
      <c r="BH30" s="48">
        <f t="shared" si="43"/>
        <v>3.6631769931111287E-3</v>
      </c>
      <c r="BI30" s="99">
        <f t="shared" si="44"/>
        <v>1.0615836464566132E-4</v>
      </c>
      <c r="BJ30" s="99">
        <f t="shared" si="45"/>
        <v>8.3864865907562979E-4</v>
      </c>
      <c r="BK30" s="48">
        <f t="shared" si="46"/>
        <v>2.7183699693898371E-3</v>
      </c>
      <c r="BL30" s="99">
        <f t="shared" si="20"/>
        <v>1.6735359168041996E-4</v>
      </c>
      <c r="BM30" s="48">
        <f t="shared" si="21"/>
        <v>8.9590643068973184E-4</v>
      </c>
      <c r="BN30" s="48">
        <f t="shared" si="22"/>
        <v>1.2579729886134446E-3</v>
      </c>
      <c r="BO30" s="48">
        <f t="shared" si="23"/>
        <v>4.0775549540847554E-3</v>
      </c>
      <c r="BP30" s="99">
        <f t="shared" si="24"/>
        <v>2.5103038752062991E-4</v>
      </c>
      <c r="BQ30" s="48">
        <f t="shared" si="25"/>
        <v>1.343859646034598E-3</v>
      </c>
      <c r="BR30" s="40">
        <f t="shared" si="26"/>
        <v>0.25792011292330935</v>
      </c>
      <c r="BS30" s="31">
        <v>1.5</v>
      </c>
      <c r="BT30" s="31">
        <v>1.5</v>
      </c>
      <c r="BU30" s="43">
        <v>0.125</v>
      </c>
      <c r="BV30" s="44">
        <v>0.42</v>
      </c>
      <c r="BW30" s="43">
        <v>2.3E-2</v>
      </c>
      <c r="BX30" s="44">
        <v>0.2</v>
      </c>
      <c r="BY30" s="40">
        <v>15.675043576489312</v>
      </c>
      <c r="BZ30" s="40">
        <v>0.52</v>
      </c>
      <c r="CA30" s="40">
        <v>0.65</v>
      </c>
      <c r="CB30" s="45">
        <v>1</v>
      </c>
      <c r="CC30" s="41">
        <v>0.71600171560489423</v>
      </c>
      <c r="CD30" s="41">
        <v>21.755373924034487</v>
      </c>
      <c r="CE30" s="41">
        <v>77.52862436036061</v>
      </c>
      <c r="CF30" s="125">
        <v>1</v>
      </c>
      <c r="CG30" s="40">
        <f t="shared" si="47"/>
        <v>2.0590603948263446E-2</v>
      </c>
      <c r="CH30" s="40">
        <f t="shared" si="48"/>
        <v>2.0590603948263446E-2</v>
      </c>
      <c r="CI30" s="99">
        <f t="shared" si="49"/>
        <v>1.4742907752297537E-4</v>
      </c>
      <c r="CJ30" s="100">
        <f t="shared" si="50"/>
        <v>4.4795628821617216E-3</v>
      </c>
      <c r="CK30" s="100">
        <f t="shared" si="51"/>
        <v>1.5963611988578746E-2</v>
      </c>
      <c r="CL30" s="101">
        <f t="shared" si="27"/>
        <v>7.8319213997632593E-4</v>
      </c>
      <c r="CM30" s="100">
        <f t="shared" si="28"/>
        <v>4.1415713223298834E-3</v>
      </c>
      <c r="CN30" s="100">
        <f t="shared" si="29"/>
        <v>6.7193443232425824E-3</v>
      </c>
      <c r="CO30" s="100">
        <f t="shared" si="30"/>
        <v>2.3945417982868117E-2</v>
      </c>
      <c r="CP30" s="101">
        <f t="shared" si="31"/>
        <v>1.1747882099644889E-3</v>
      </c>
      <c r="CQ30" s="100">
        <f t="shared" si="32"/>
        <v>6.2123569834948243E-3</v>
      </c>
      <c r="CR30" s="99">
        <f t="shared" si="33"/>
        <v>0.22471375639639382</v>
      </c>
      <c r="CS30" s="31">
        <v>1.5</v>
      </c>
      <c r="CT30" s="31">
        <v>1.5</v>
      </c>
      <c r="CU30" s="43">
        <v>0.1</v>
      </c>
      <c r="CV30" s="44">
        <v>0.39</v>
      </c>
      <c r="CW30" s="43">
        <v>2.1000000000000001E-2</v>
      </c>
      <c r="CX30" s="44">
        <v>0.15</v>
      </c>
    </row>
    <row r="31" spans="1:102" s="23" customFormat="1" x14ac:dyDescent="0.25">
      <c r="A31" s="31">
        <v>17</v>
      </c>
      <c r="B31" s="83">
        <v>3</v>
      </c>
      <c r="C31" s="31">
        <v>40</v>
      </c>
      <c r="D31" s="31" t="s">
        <v>36</v>
      </c>
      <c r="E31" s="31" t="s">
        <v>6</v>
      </c>
      <c r="F31" s="31" t="s">
        <v>13</v>
      </c>
      <c r="G31" s="31" t="str">
        <f t="shared" si="34"/>
        <v>Kommunal 40 Y 3 B</v>
      </c>
      <c r="H31" s="48">
        <f t="shared" si="0"/>
        <v>5.5855436960701769E-2</v>
      </c>
      <c r="I31" s="40">
        <f t="shared" si="1"/>
        <v>5.3725835930642653E-2</v>
      </c>
      <c r="J31" s="99">
        <f t="shared" si="2"/>
        <v>4.6238455863355194E-4</v>
      </c>
      <c r="K31" s="48">
        <f t="shared" si="3"/>
        <v>1.0139804877405265E-2</v>
      </c>
      <c r="L31" s="48">
        <f t="shared" si="4"/>
        <v>4.3123646494603839E-2</v>
      </c>
      <c r="M31" s="48">
        <f t="shared" si="35"/>
        <v>8.6195350777090202E-2</v>
      </c>
      <c r="N31" s="99">
        <f t="shared" si="5"/>
        <v>1.7328288201841023E-3</v>
      </c>
      <c r="O31" s="48">
        <f t="shared" si="6"/>
        <v>9.5649402769092152E-3</v>
      </c>
      <c r="P31" s="48">
        <f t="shared" si="7"/>
        <v>1.5209707316107896E-2</v>
      </c>
      <c r="Q31" s="48">
        <f t="shared" si="8"/>
        <v>6.4685469741905754E-2</v>
      </c>
      <c r="R31" s="40">
        <f t="shared" si="36"/>
        <v>0.60336745543963144</v>
      </c>
      <c r="S31" s="99">
        <f t="shared" si="9"/>
        <v>2.5992432302761534E-3</v>
      </c>
      <c r="T31" s="48">
        <f t="shared" si="10"/>
        <v>1.4347410415363821E-2</v>
      </c>
      <c r="U31" s="40">
        <v>0.47826979199999992</v>
      </c>
      <c r="V31" s="40">
        <v>1.45</v>
      </c>
      <c r="W31" s="41">
        <v>0.5</v>
      </c>
      <c r="X31" s="40">
        <v>0.93261109390100705</v>
      </c>
      <c r="Y31" s="42">
        <v>0.70845794954218966</v>
      </c>
      <c r="Z31" s="42">
        <v>16.35988171820269</v>
      </c>
      <c r="AA31" s="42">
        <v>82.93166033225512</v>
      </c>
      <c r="AB31" s="42">
        <v>2.9246467817896402</v>
      </c>
      <c r="AC31" s="125">
        <v>1</v>
      </c>
      <c r="AD31" s="94">
        <f t="shared" si="37"/>
        <v>3.1601656019327198E-2</v>
      </c>
      <c r="AE31" s="94">
        <f t="shared" si="38"/>
        <v>2.9472054989268082E-2</v>
      </c>
      <c r="AF31" s="96">
        <f t="shared" si="11"/>
        <v>2.0879711646491525E-4</v>
      </c>
      <c r="AG31" s="95">
        <f t="shared" ref="AG31:AG94" si="52">$AE31*Z31/100</f>
        <v>4.8215933361679128E-3</v>
      </c>
      <c r="AH31" s="94">
        <f t="shared" si="39"/>
        <v>2.4441664536635255E-2</v>
      </c>
      <c r="AI31" s="94">
        <f t="shared" si="40"/>
        <v>8.6195350777090202E-2</v>
      </c>
      <c r="AJ31" s="96">
        <f t="shared" si="41"/>
        <v>7.8228308852735639E-4</v>
      </c>
      <c r="AK31" s="95">
        <f t="shared" si="13"/>
        <v>4.5274625238895996E-3</v>
      </c>
      <c r="AL31" s="95">
        <f t="shared" si="14"/>
        <v>7.2323900042518697E-3</v>
      </c>
      <c r="AM31" s="94">
        <f t="shared" si="15"/>
        <v>3.6662496804952885E-2</v>
      </c>
      <c r="AN31" s="93">
        <f t="shared" si="16"/>
        <v>0.60336745543963144</v>
      </c>
      <c r="AO31" s="96">
        <f t="shared" si="17"/>
        <v>1.1734246327910346E-3</v>
      </c>
      <c r="AP31" s="95">
        <f t="shared" si="18"/>
        <v>6.7911937858343985E-3</v>
      </c>
      <c r="AQ31" s="93">
        <f t="shared" si="19"/>
        <v>0.17068339667744881</v>
      </c>
      <c r="AR31" s="31">
        <v>1.5</v>
      </c>
      <c r="AS31" s="31">
        <v>1.5</v>
      </c>
      <c r="AT31" s="31">
        <v>7</v>
      </c>
      <c r="AU31" s="43">
        <v>7.0999999999999994E-2</v>
      </c>
      <c r="AV31" s="44">
        <v>0.28000000000000003</v>
      </c>
      <c r="AW31" s="43">
        <v>1.7999999999999999E-2</v>
      </c>
      <c r="AX31" s="44">
        <v>0.13</v>
      </c>
      <c r="AY31" s="40">
        <v>6.3169879599642158</v>
      </c>
      <c r="AZ31" s="41">
        <v>0.5</v>
      </c>
      <c r="BA31" s="40">
        <v>0.72</v>
      </c>
      <c r="BB31" s="45">
        <v>1</v>
      </c>
      <c r="BC31" s="41">
        <v>2.8979862246705488</v>
      </c>
      <c r="BD31" s="41">
        <v>22.894025067660387</v>
      </c>
      <c r="BE31" s="41">
        <v>74.20798870766906</v>
      </c>
      <c r="BF31" s="125">
        <v>1</v>
      </c>
      <c r="BG31" s="48">
        <f t="shared" si="42"/>
        <v>3.6631769931111287E-3</v>
      </c>
      <c r="BH31" s="48">
        <f t="shared" si="43"/>
        <v>3.6631769931111287E-3</v>
      </c>
      <c r="BI31" s="99">
        <f t="shared" si="44"/>
        <v>1.0615836464566132E-4</v>
      </c>
      <c r="BJ31" s="99">
        <f t="shared" si="45"/>
        <v>8.3864865907562979E-4</v>
      </c>
      <c r="BK31" s="48">
        <f t="shared" si="46"/>
        <v>2.7183699693898371E-3</v>
      </c>
      <c r="BL31" s="99">
        <f t="shared" si="20"/>
        <v>1.6735359168041996E-4</v>
      </c>
      <c r="BM31" s="48">
        <f t="shared" si="21"/>
        <v>8.9590643068973184E-4</v>
      </c>
      <c r="BN31" s="48">
        <f t="shared" si="22"/>
        <v>1.2579729886134446E-3</v>
      </c>
      <c r="BO31" s="48">
        <f t="shared" si="23"/>
        <v>4.0775549540847554E-3</v>
      </c>
      <c r="BP31" s="99">
        <f t="shared" si="24"/>
        <v>2.5103038752062991E-4</v>
      </c>
      <c r="BQ31" s="48">
        <f t="shared" si="25"/>
        <v>1.343859646034598E-3</v>
      </c>
      <c r="BR31" s="40">
        <f t="shared" si="26"/>
        <v>0.25792011292330935</v>
      </c>
      <c r="BS31" s="31">
        <v>1.5</v>
      </c>
      <c r="BT31" s="31">
        <v>1.5</v>
      </c>
      <c r="BU31" s="43">
        <v>0.125</v>
      </c>
      <c r="BV31" s="44">
        <v>0.42</v>
      </c>
      <c r="BW31" s="43">
        <v>2.3E-2</v>
      </c>
      <c r="BX31" s="44">
        <v>0.2</v>
      </c>
      <c r="BY31" s="40">
        <v>15.675043576489312</v>
      </c>
      <c r="BZ31" s="40">
        <v>0.52</v>
      </c>
      <c r="CA31" s="40">
        <v>0.65</v>
      </c>
      <c r="CB31" s="45">
        <v>1</v>
      </c>
      <c r="CC31" s="41">
        <v>0.71600171560489423</v>
      </c>
      <c r="CD31" s="41">
        <v>21.755373924034487</v>
      </c>
      <c r="CE31" s="41">
        <v>77.52862436036061</v>
      </c>
      <c r="CF31" s="125">
        <v>1</v>
      </c>
      <c r="CG31" s="40">
        <f t="shared" si="47"/>
        <v>2.0590603948263446E-2</v>
      </c>
      <c r="CH31" s="40">
        <f t="shared" si="48"/>
        <v>2.0590603948263446E-2</v>
      </c>
      <c r="CI31" s="99">
        <f t="shared" si="49"/>
        <v>1.4742907752297537E-4</v>
      </c>
      <c r="CJ31" s="100">
        <f t="shared" si="50"/>
        <v>4.4795628821617216E-3</v>
      </c>
      <c r="CK31" s="100">
        <f t="shared" si="51"/>
        <v>1.5963611988578746E-2</v>
      </c>
      <c r="CL31" s="101">
        <f t="shared" si="27"/>
        <v>7.8319213997632593E-4</v>
      </c>
      <c r="CM31" s="100">
        <f t="shared" si="28"/>
        <v>4.1415713223298834E-3</v>
      </c>
      <c r="CN31" s="100">
        <f t="shared" si="29"/>
        <v>6.7193443232425824E-3</v>
      </c>
      <c r="CO31" s="100">
        <f t="shared" si="30"/>
        <v>2.3945417982868117E-2</v>
      </c>
      <c r="CP31" s="101">
        <f t="shared" si="31"/>
        <v>1.1747882099644889E-3</v>
      </c>
      <c r="CQ31" s="100">
        <f t="shared" si="32"/>
        <v>6.2123569834948243E-3</v>
      </c>
      <c r="CR31" s="99">
        <f t="shared" si="33"/>
        <v>0.22471375639639382</v>
      </c>
      <c r="CS31" s="31">
        <v>1.5</v>
      </c>
      <c r="CT31" s="31">
        <v>1.5</v>
      </c>
      <c r="CU31" s="43">
        <v>0.1</v>
      </c>
      <c r="CV31" s="44">
        <v>0.39</v>
      </c>
      <c r="CW31" s="43">
        <v>2.1000000000000001E-2</v>
      </c>
      <c r="CX31" s="44">
        <v>0.15</v>
      </c>
    </row>
    <row r="32" spans="1:102" s="23" customFormat="1" x14ac:dyDescent="0.25">
      <c r="A32" s="31">
        <v>18</v>
      </c>
      <c r="B32" s="83">
        <v>3</v>
      </c>
      <c r="C32" s="31">
        <v>40</v>
      </c>
      <c r="D32" s="31" t="s">
        <v>36</v>
      </c>
      <c r="E32" s="31" t="s">
        <v>6</v>
      </c>
      <c r="F32" s="31" t="s">
        <v>70</v>
      </c>
      <c r="G32" s="31" t="str">
        <f t="shared" si="34"/>
        <v>Kommunal 40 Y 3 Ck</v>
      </c>
      <c r="H32" s="48">
        <f t="shared" si="0"/>
        <v>5.2695271358769051E-2</v>
      </c>
      <c r="I32" s="40">
        <f t="shared" si="1"/>
        <v>5.0778630431715849E-2</v>
      </c>
      <c r="J32" s="99">
        <f t="shared" si="2"/>
        <v>4.4150484698706041E-4</v>
      </c>
      <c r="K32" s="48">
        <f t="shared" si="3"/>
        <v>9.6576455437884737E-3</v>
      </c>
      <c r="L32" s="48">
        <f t="shared" si="4"/>
        <v>4.0679480040940311E-2</v>
      </c>
      <c r="M32" s="48">
        <f t="shared" si="35"/>
        <v>7.7575815699381184E-2</v>
      </c>
      <c r="N32" s="99">
        <f t="shared" si="5"/>
        <v>1.6546005113313666E-3</v>
      </c>
      <c r="O32" s="48">
        <f t="shared" si="6"/>
        <v>9.1121940245202544E-3</v>
      </c>
      <c r="P32" s="48">
        <f t="shared" si="7"/>
        <v>1.448646831568271E-2</v>
      </c>
      <c r="Q32" s="48">
        <f t="shared" si="8"/>
        <v>6.1019220061410466E-2</v>
      </c>
      <c r="R32" s="40">
        <f t="shared" si="36"/>
        <v>0.54303070989566826</v>
      </c>
      <c r="S32" s="99">
        <f t="shared" si="9"/>
        <v>2.4819007669970501E-3</v>
      </c>
      <c r="T32" s="48">
        <f t="shared" si="10"/>
        <v>1.3668291036780382E-2</v>
      </c>
      <c r="U32" s="40">
        <v>0.43044281279999991</v>
      </c>
      <c r="V32" s="40">
        <v>1.45</v>
      </c>
      <c r="W32" s="41">
        <v>0.5</v>
      </c>
      <c r="X32" s="40">
        <v>0.93261109390100705</v>
      </c>
      <c r="Y32" s="42">
        <v>0.70845794954218966</v>
      </c>
      <c r="Z32" s="42">
        <v>16.359881718202693</v>
      </c>
      <c r="AA32" s="42">
        <v>82.93166033225512</v>
      </c>
      <c r="AB32" s="42">
        <v>2.9246467817896402</v>
      </c>
      <c r="AC32" s="125">
        <v>1</v>
      </c>
      <c r="AD32" s="94">
        <f t="shared" si="37"/>
        <v>2.844149041739448E-2</v>
      </c>
      <c r="AE32" s="94">
        <f t="shared" si="38"/>
        <v>2.6524849490341274E-2</v>
      </c>
      <c r="AF32" s="96">
        <f t="shared" si="11"/>
        <v>1.8791740481842372E-4</v>
      </c>
      <c r="AG32" s="95">
        <f t="shared" si="52"/>
        <v>4.3394340025511222E-3</v>
      </c>
      <c r="AH32" s="94">
        <f t="shared" si="39"/>
        <v>2.1997498082971731E-2</v>
      </c>
      <c r="AI32" s="94">
        <f t="shared" si="40"/>
        <v>7.7575815699381184E-2</v>
      </c>
      <c r="AJ32" s="96">
        <f t="shared" si="41"/>
        <v>7.0405477967462073E-4</v>
      </c>
      <c r="AK32" s="95">
        <f t="shared" si="13"/>
        <v>4.0747162715006396E-3</v>
      </c>
      <c r="AL32" s="95">
        <f t="shared" si="14"/>
        <v>6.5091510038266832E-3</v>
      </c>
      <c r="AM32" s="94">
        <f t="shared" si="15"/>
        <v>3.2996247124457596E-2</v>
      </c>
      <c r="AN32" s="93">
        <f t="shared" si="16"/>
        <v>0.54303070989566826</v>
      </c>
      <c r="AO32" s="96">
        <f t="shared" si="17"/>
        <v>1.0560821695119313E-3</v>
      </c>
      <c r="AP32" s="95">
        <f t="shared" si="18"/>
        <v>6.112074407250959E-3</v>
      </c>
      <c r="AQ32" s="93">
        <f t="shared" si="19"/>
        <v>0.17068339667744881</v>
      </c>
      <c r="AR32" s="31">
        <v>1.5</v>
      </c>
      <c r="AS32" s="31">
        <v>1.5</v>
      </c>
      <c r="AT32" s="31">
        <v>7</v>
      </c>
      <c r="AU32" s="43">
        <v>7.0999999999999994E-2</v>
      </c>
      <c r="AV32" s="44">
        <v>0.28000000000000003</v>
      </c>
      <c r="AW32" s="43">
        <v>1.7999999999999999E-2</v>
      </c>
      <c r="AX32" s="44">
        <v>0.13</v>
      </c>
      <c r="AY32" s="40">
        <v>6.3169879599642158</v>
      </c>
      <c r="AZ32" s="41">
        <v>0.5</v>
      </c>
      <c r="BA32" s="40">
        <v>0.72</v>
      </c>
      <c r="BB32" s="45">
        <v>1</v>
      </c>
      <c r="BC32" s="41">
        <v>2.8979862246705488</v>
      </c>
      <c r="BD32" s="41">
        <v>22.894025067660387</v>
      </c>
      <c r="BE32" s="41">
        <v>74.20798870766906</v>
      </c>
      <c r="BF32" s="125">
        <v>1</v>
      </c>
      <c r="BG32" s="48">
        <f t="shared" si="42"/>
        <v>3.6631769931111287E-3</v>
      </c>
      <c r="BH32" s="48">
        <f t="shared" si="43"/>
        <v>3.6631769931111287E-3</v>
      </c>
      <c r="BI32" s="99">
        <f t="shared" si="44"/>
        <v>1.0615836464566132E-4</v>
      </c>
      <c r="BJ32" s="99">
        <f t="shared" si="45"/>
        <v>8.3864865907562979E-4</v>
      </c>
      <c r="BK32" s="48">
        <f t="shared" si="46"/>
        <v>2.7183699693898371E-3</v>
      </c>
      <c r="BL32" s="99">
        <f t="shared" si="20"/>
        <v>1.6735359168041996E-4</v>
      </c>
      <c r="BM32" s="48">
        <f t="shared" si="21"/>
        <v>8.9590643068973184E-4</v>
      </c>
      <c r="BN32" s="48">
        <f t="shared" si="22"/>
        <v>1.2579729886134446E-3</v>
      </c>
      <c r="BO32" s="48">
        <f t="shared" si="23"/>
        <v>4.0775549540847554E-3</v>
      </c>
      <c r="BP32" s="99">
        <f t="shared" si="24"/>
        <v>2.5103038752062991E-4</v>
      </c>
      <c r="BQ32" s="48">
        <f t="shared" si="25"/>
        <v>1.343859646034598E-3</v>
      </c>
      <c r="BR32" s="40">
        <f t="shared" si="26"/>
        <v>0.25792011292330935</v>
      </c>
      <c r="BS32" s="31">
        <v>1.5</v>
      </c>
      <c r="BT32" s="31">
        <v>1.5</v>
      </c>
      <c r="BU32" s="43">
        <v>0.125</v>
      </c>
      <c r="BV32" s="44">
        <v>0.42</v>
      </c>
      <c r="BW32" s="43">
        <v>2.3E-2</v>
      </c>
      <c r="BX32" s="44">
        <v>0.2</v>
      </c>
      <c r="BY32" s="40">
        <v>15.675043576489312</v>
      </c>
      <c r="BZ32" s="40">
        <v>0.52</v>
      </c>
      <c r="CA32" s="40">
        <v>0.65</v>
      </c>
      <c r="CB32" s="45">
        <v>1</v>
      </c>
      <c r="CC32" s="41">
        <v>0.71600171560489423</v>
      </c>
      <c r="CD32" s="41">
        <v>21.755373924034487</v>
      </c>
      <c r="CE32" s="41">
        <v>77.52862436036061</v>
      </c>
      <c r="CF32" s="125">
        <v>1</v>
      </c>
      <c r="CG32" s="40">
        <f t="shared" si="47"/>
        <v>2.0590603948263446E-2</v>
      </c>
      <c r="CH32" s="40">
        <f t="shared" si="48"/>
        <v>2.0590603948263446E-2</v>
      </c>
      <c r="CI32" s="99">
        <f t="shared" si="49"/>
        <v>1.4742907752297537E-4</v>
      </c>
      <c r="CJ32" s="100">
        <f t="shared" si="50"/>
        <v>4.4795628821617216E-3</v>
      </c>
      <c r="CK32" s="100">
        <f t="shared" si="51"/>
        <v>1.5963611988578746E-2</v>
      </c>
      <c r="CL32" s="101">
        <f t="shared" si="27"/>
        <v>7.8319213997632593E-4</v>
      </c>
      <c r="CM32" s="100">
        <f t="shared" si="28"/>
        <v>4.1415713223298834E-3</v>
      </c>
      <c r="CN32" s="100">
        <f t="shared" si="29"/>
        <v>6.7193443232425824E-3</v>
      </c>
      <c r="CO32" s="100">
        <f t="shared" si="30"/>
        <v>2.3945417982868117E-2</v>
      </c>
      <c r="CP32" s="101">
        <f t="shared" si="31"/>
        <v>1.1747882099644889E-3</v>
      </c>
      <c r="CQ32" s="100">
        <f t="shared" si="32"/>
        <v>6.2123569834948243E-3</v>
      </c>
      <c r="CR32" s="99">
        <f t="shared" si="33"/>
        <v>0.22471375639639382</v>
      </c>
      <c r="CS32" s="31">
        <v>1.5</v>
      </c>
      <c r="CT32" s="31">
        <v>1.5</v>
      </c>
      <c r="CU32" s="43">
        <v>0.1</v>
      </c>
      <c r="CV32" s="44">
        <v>0.39</v>
      </c>
      <c r="CW32" s="43">
        <v>2.1000000000000001E-2</v>
      </c>
      <c r="CX32" s="44">
        <v>0.15</v>
      </c>
    </row>
    <row r="33" spans="1:196" s="23" customFormat="1" x14ac:dyDescent="0.25">
      <c r="A33" s="31">
        <v>19</v>
      </c>
      <c r="B33" s="83">
        <v>3</v>
      </c>
      <c r="C33" s="31">
        <v>40</v>
      </c>
      <c r="D33" s="31" t="s">
        <v>36</v>
      </c>
      <c r="E33" s="31" t="s">
        <v>6</v>
      </c>
      <c r="F33" s="31" t="s">
        <v>71</v>
      </c>
      <c r="G33" s="31" t="str">
        <f t="shared" si="34"/>
        <v>Kommunal 40 Y 3 Cm</v>
      </c>
      <c r="H33" s="48">
        <f t="shared" si="0"/>
        <v>5.2695271358769051E-2</v>
      </c>
      <c r="I33" s="40">
        <f t="shared" si="1"/>
        <v>5.0778630431715849E-2</v>
      </c>
      <c r="J33" s="99">
        <f t="shared" si="2"/>
        <v>4.4150484698706041E-4</v>
      </c>
      <c r="K33" s="48">
        <f t="shared" si="3"/>
        <v>9.6576455437884737E-3</v>
      </c>
      <c r="L33" s="48">
        <f t="shared" si="4"/>
        <v>4.0679480040940311E-2</v>
      </c>
      <c r="M33" s="48">
        <f t="shared" si="35"/>
        <v>7.7575815699381184E-2</v>
      </c>
      <c r="N33" s="99">
        <f t="shared" si="5"/>
        <v>1.6546005113313666E-3</v>
      </c>
      <c r="O33" s="48">
        <f t="shared" si="6"/>
        <v>9.1121940245202544E-3</v>
      </c>
      <c r="P33" s="48">
        <f t="shared" si="7"/>
        <v>1.448646831568271E-2</v>
      </c>
      <c r="Q33" s="48">
        <f t="shared" si="8"/>
        <v>6.1019220061410466E-2</v>
      </c>
      <c r="R33" s="40">
        <f t="shared" si="36"/>
        <v>0.54303070989566826</v>
      </c>
      <c r="S33" s="99">
        <f t="shared" si="9"/>
        <v>2.4819007669970501E-3</v>
      </c>
      <c r="T33" s="48">
        <f t="shared" si="10"/>
        <v>1.3668291036780382E-2</v>
      </c>
      <c r="U33" s="40">
        <v>0.43044281279999991</v>
      </c>
      <c r="V33" s="40">
        <v>1.45</v>
      </c>
      <c r="W33" s="41">
        <v>0.5</v>
      </c>
      <c r="X33" s="40">
        <v>0.93261109390100705</v>
      </c>
      <c r="Y33" s="42">
        <v>0.70845794954218966</v>
      </c>
      <c r="Z33" s="42">
        <v>16.359881718202693</v>
      </c>
      <c r="AA33" s="42">
        <v>82.93166033225512</v>
      </c>
      <c r="AB33" s="42">
        <v>2.9246467817896402</v>
      </c>
      <c r="AC33" s="125">
        <v>1</v>
      </c>
      <c r="AD33" s="94">
        <f t="shared" si="37"/>
        <v>2.844149041739448E-2</v>
      </c>
      <c r="AE33" s="94">
        <f t="shared" si="38"/>
        <v>2.6524849490341274E-2</v>
      </c>
      <c r="AF33" s="96">
        <f t="shared" si="11"/>
        <v>1.8791740481842372E-4</v>
      </c>
      <c r="AG33" s="95">
        <f t="shared" si="52"/>
        <v>4.3394340025511222E-3</v>
      </c>
      <c r="AH33" s="94">
        <f t="shared" si="39"/>
        <v>2.1997498082971731E-2</v>
      </c>
      <c r="AI33" s="94">
        <f t="shared" si="40"/>
        <v>7.7575815699381184E-2</v>
      </c>
      <c r="AJ33" s="96">
        <f t="shared" si="41"/>
        <v>7.0405477967462073E-4</v>
      </c>
      <c r="AK33" s="95">
        <f t="shared" si="13"/>
        <v>4.0747162715006396E-3</v>
      </c>
      <c r="AL33" s="95">
        <f t="shared" si="14"/>
        <v>6.5091510038266832E-3</v>
      </c>
      <c r="AM33" s="94">
        <f t="shared" si="15"/>
        <v>3.2996247124457596E-2</v>
      </c>
      <c r="AN33" s="93">
        <f t="shared" si="16"/>
        <v>0.54303070989566826</v>
      </c>
      <c r="AO33" s="96">
        <f t="shared" si="17"/>
        <v>1.0560821695119313E-3</v>
      </c>
      <c r="AP33" s="95">
        <f t="shared" si="18"/>
        <v>6.112074407250959E-3</v>
      </c>
      <c r="AQ33" s="93">
        <f t="shared" si="19"/>
        <v>0.17068339667744881</v>
      </c>
      <c r="AR33" s="31">
        <v>1.5</v>
      </c>
      <c r="AS33" s="31">
        <v>1.5</v>
      </c>
      <c r="AT33" s="31">
        <v>7</v>
      </c>
      <c r="AU33" s="43">
        <v>7.0999999999999994E-2</v>
      </c>
      <c r="AV33" s="44">
        <v>0.28000000000000003</v>
      </c>
      <c r="AW33" s="43">
        <v>1.7999999999999999E-2</v>
      </c>
      <c r="AX33" s="44">
        <v>0.13</v>
      </c>
      <c r="AY33" s="40">
        <v>6.3169879599642158</v>
      </c>
      <c r="AZ33" s="41">
        <v>0.5</v>
      </c>
      <c r="BA33" s="40">
        <v>0.72</v>
      </c>
      <c r="BB33" s="45">
        <v>1</v>
      </c>
      <c r="BC33" s="41">
        <v>2.8979862246705488</v>
      </c>
      <c r="BD33" s="41">
        <v>22.894025067660387</v>
      </c>
      <c r="BE33" s="41">
        <v>74.20798870766906</v>
      </c>
      <c r="BF33" s="125">
        <v>1</v>
      </c>
      <c r="BG33" s="48">
        <f t="shared" si="42"/>
        <v>3.6631769931111287E-3</v>
      </c>
      <c r="BH33" s="48">
        <f t="shared" si="43"/>
        <v>3.6631769931111287E-3</v>
      </c>
      <c r="BI33" s="99">
        <f t="shared" si="44"/>
        <v>1.0615836464566132E-4</v>
      </c>
      <c r="BJ33" s="99">
        <f t="shared" si="45"/>
        <v>8.3864865907562979E-4</v>
      </c>
      <c r="BK33" s="48">
        <f t="shared" si="46"/>
        <v>2.7183699693898371E-3</v>
      </c>
      <c r="BL33" s="99">
        <f t="shared" si="20"/>
        <v>1.6735359168041996E-4</v>
      </c>
      <c r="BM33" s="48">
        <f t="shared" si="21"/>
        <v>8.9590643068973184E-4</v>
      </c>
      <c r="BN33" s="48">
        <f t="shared" si="22"/>
        <v>1.2579729886134446E-3</v>
      </c>
      <c r="BO33" s="48">
        <f t="shared" si="23"/>
        <v>4.0775549540847554E-3</v>
      </c>
      <c r="BP33" s="99">
        <f t="shared" si="24"/>
        <v>2.5103038752062991E-4</v>
      </c>
      <c r="BQ33" s="48">
        <f t="shared" si="25"/>
        <v>1.343859646034598E-3</v>
      </c>
      <c r="BR33" s="40">
        <f t="shared" si="26"/>
        <v>0.25792011292330935</v>
      </c>
      <c r="BS33" s="31">
        <v>1.5</v>
      </c>
      <c r="BT33" s="31">
        <v>1.5</v>
      </c>
      <c r="BU33" s="43">
        <v>0.125</v>
      </c>
      <c r="BV33" s="44">
        <v>0.42</v>
      </c>
      <c r="BW33" s="43">
        <v>2.3E-2</v>
      </c>
      <c r="BX33" s="44">
        <v>0.2</v>
      </c>
      <c r="BY33" s="40">
        <v>15.675043576489312</v>
      </c>
      <c r="BZ33" s="40">
        <v>0.52</v>
      </c>
      <c r="CA33" s="40">
        <v>0.65</v>
      </c>
      <c r="CB33" s="45">
        <v>1</v>
      </c>
      <c r="CC33" s="41">
        <v>0.71600171560489423</v>
      </c>
      <c r="CD33" s="41">
        <v>21.755373924034487</v>
      </c>
      <c r="CE33" s="41">
        <v>77.52862436036061</v>
      </c>
      <c r="CF33" s="125">
        <v>1</v>
      </c>
      <c r="CG33" s="40">
        <f t="shared" si="47"/>
        <v>2.0590603948263446E-2</v>
      </c>
      <c r="CH33" s="40">
        <f t="shared" si="48"/>
        <v>2.0590603948263446E-2</v>
      </c>
      <c r="CI33" s="99">
        <f t="shared" si="49"/>
        <v>1.4742907752297537E-4</v>
      </c>
      <c r="CJ33" s="100">
        <f t="shared" si="50"/>
        <v>4.4795628821617216E-3</v>
      </c>
      <c r="CK33" s="100">
        <f t="shared" si="51"/>
        <v>1.5963611988578746E-2</v>
      </c>
      <c r="CL33" s="101">
        <f t="shared" si="27"/>
        <v>7.8319213997632593E-4</v>
      </c>
      <c r="CM33" s="100">
        <f t="shared" si="28"/>
        <v>4.1415713223298834E-3</v>
      </c>
      <c r="CN33" s="100">
        <f t="shared" si="29"/>
        <v>6.7193443232425824E-3</v>
      </c>
      <c r="CO33" s="100">
        <f t="shared" si="30"/>
        <v>2.3945417982868117E-2</v>
      </c>
      <c r="CP33" s="101">
        <f t="shared" si="31"/>
        <v>1.1747882099644889E-3</v>
      </c>
      <c r="CQ33" s="100">
        <f t="shared" si="32"/>
        <v>6.2123569834948243E-3</v>
      </c>
      <c r="CR33" s="99">
        <f t="shared" si="33"/>
        <v>0.22471375639639382</v>
      </c>
      <c r="CS33" s="31">
        <v>1.5</v>
      </c>
      <c r="CT33" s="31">
        <v>1.5</v>
      </c>
      <c r="CU33" s="43">
        <v>0.1</v>
      </c>
      <c r="CV33" s="44">
        <v>0.39</v>
      </c>
      <c r="CW33" s="43">
        <v>2.1000000000000001E-2</v>
      </c>
      <c r="CX33" s="44">
        <v>0.15</v>
      </c>
    </row>
    <row r="34" spans="1:196" s="23" customFormat="1" x14ac:dyDescent="0.25">
      <c r="A34" s="31">
        <v>20</v>
      </c>
      <c r="B34" s="83">
        <v>3</v>
      </c>
      <c r="C34" s="31">
        <v>40</v>
      </c>
      <c r="D34" s="31" t="s">
        <v>36</v>
      </c>
      <c r="E34" s="31" t="s">
        <v>6</v>
      </c>
      <c r="F34" s="31" t="s">
        <v>0</v>
      </c>
      <c r="G34" s="31" t="str">
        <f t="shared" si="34"/>
        <v>Kommunal 40 Y 3 D</v>
      </c>
      <c r="H34" s="48">
        <f t="shared" si="0"/>
        <v>4.8544925654059039E-2</v>
      </c>
      <c r="I34" s="40">
        <f t="shared" si="1"/>
        <v>6.3024842592396574E-2</v>
      </c>
      <c r="J34" s="99">
        <f t="shared" si="2"/>
        <v>2.5358744216863666E-4</v>
      </c>
      <c r="K34" s="48">
        <f t="shared" si="3"/>
        <v>9.2628208529274281E-3</v>
      </c>
      <c r="L34" s="48">
        <f t="shared" si="4"/>
        <v>5.3508434297300497E-2</v>
      </c>
      <c r="M34" s="48">
        <f t="shared" si="35"/>
        <v>0.22751370243566735</v>
      </c>
      <c r="N34" s="99">
        <f t="shared" si="5"/>
        <v>1.8574891348947158E-3</v>
      </c>
      <c r="O34" s="48">
        <f t="shared" si="6"/>
        <v>1.0669407164405986E-2</v>
      </c>
      <c r="P34" s="48">
        <f t="shared" si="7"/>
        <v>1.3894231279391142E-2</v>
      </c>
      <c r="Q34" s="48">
        <f t="shared" si="8"/>
        <v>8.0262651445950739E-2</v>
      </c>
      <c r="R34" s="40">
        <f t="shared" si="36"/>
        <v>1.5925959170496715</v>
      </c>
      <c r="S34" s="99">
        <f t="shared" si="9"/>
        <v>2.7862337023420733E-3</v>
      </c>
      <c r="T34" s="48">
        <f t="shared" si="10"/>
        <v>1.6004110746608978E-2</v>
      </c>
      <c r="U34" s="40">
        <v>1.0036746720000007</v>
      </c>
      <c r="V34" s="40">
        <v>1.2</v>
      </c>
      <c r="W34" s="45">
        <v>0</v>
      </c>
      <c r="X34" s="40">
        <v>1.596098582821267</v>
      </c>
      <c r="Y34" s="42">
        <v>0</v>
      </c>
      <c r="Z34" s="42">
        <v>10.174107036829358</v>
      </c>
      <c r="AA34" s="42">
        <v>89.825892963170645</v>
      </c>
      <c r="AB34" s="42">
        <v>5.8681318681318642</v>
      </c>
      <c r="AC34" s="125">
        <v>1</v>
      </c>
      <c r="AD34" s="94">
        <f t="shared" si="37"/>
        <v>2.4291144712684464E-2</v>
      </c>
      <c r="AE34" s="94">
        <f t="shared" si="38"/>
        <v>3.8771061651021989E-2</v>
      </c>
      <c r="AF34" s="96">
        <f t="shared" si="11"/>
        <v>0</v>
      </c>
      <c r="AG34" s="95">
        <f t="shared" si="52"/>
        <v>3.9446093116900774E-3</v>
      </c>
      <c r="AH34" s="94">
        <f t="shared" si="39"/>
        <v>3.4826452339331911E-2</v>
      </c>
      <c r="AI34" s="94">
        <f t="shared" si="40"/>
        <v>0.22751370243566735</v>
      </c>
      <c r="AJ34" s="96">
        <f t="shared" si="41"/>
        <v>9.0694340323796982E-4</v>
      </c>
      <c r="AK34" s="95">
        <f t="shared" si="13"/>
        <v>5.6319294113863702E-3</v>
      </c>
      <c r="AL34" s="95">
        <f t="shared" si="14"/>
        <v>5.9169139675351156E-3</v>
      </c>
      <c r="AM34" s="94">
        <f t="shared" si="15"/>
        <v>5.2239678508997869E-2</v>
      </c>
      <c r="AN34" s="93">
        <f t="shared" si="16"/>
        <v>1.5925959170496715</v>
      </c>
      <c r="AO34" s="96">
        <f t="shared" si="17"/>
        <v>1.3604151048569547E-3</v>
      </c>
      <c r="AP34" s="95">
        <f t="shared" si="18"/>
        <v>8.4478941170795553E-3</v>
      </c>
      <c r="AQ34" s="93">
        <f t="shared" si="19"/>
        <v>0.10174107036829359</v>
      </c>
      <c r="AR34" s="31">
        <v>1.5</v>
      </c>
      <c r="AS34" s="31">
        <v>1.5</v>
      </c>
      <c r="AT34" s="31">
        <v>7</v>
      </c>
      <c r="AU34" s="43">
        <v>7.0999999999999994E-2</v>
      </c>
      <c r="AV34" s="44">
        <v>0.28000000000000003</v>
      </c>
      <c r="AW34" s="43">
        <v>1.7999999999999999E-2</v>
      </c>
      <c r="AX34" s="44">
        <v>0.13</v>
      </c>
      <c r="AY34" s="40">
        <v>6.3169879599642158</v>
      </c>
      <c r="AZ34" s="41">
        <v>0.5</v>
      </c>
      <c r="BA34" s="40">
        <v>0.72</v>
      </c>
      <c r="BB34" s="45">
        <v>1</v>
      </c>
      <c r="BC34" s="41">
        <v>2.8979862246705488</v>
      </c>
      <c r="BD34" s="41">
        <v>22.894025067660387</v>
      </c>
      <c r="BE34" s="41">
        <v>74.20798870766906</v>
      </c>
      <c r="BF34" s="125">
        <v>1</v>
      </c>
      <c r="BG34" s="48">
        <f t="shared" si="42"/>
        <v>3.6631769931111287E-3</v>
      </c>
      <c r="BH34" s="48">
        <f t="shared" si="43"/>
        <v>3.6631769931111287E-3</v>
      </c>
      <c r="BI34" s="99">
        <f t="shared" si="44"/>
        <v>1.0615836464566132E-4</v>
      </c>
      <c r="BJ34" s="99">
        <f t="shared" si="45"/>
        <v>8.3864865907562979E-4</v>
      </c>
      <c r="BK34" s="48">
        <f t="shared" si="46"/>
        <v>2.7183699693898371E-3</v>
      </c>
      <c r="BL34" s="99">
        <f t="shared" si="20"/>
        <v>1.6735359168041996E-4</v>
      </c>
      <c r="BM34" s="48">
        <f t="shared" si="21"/>
        <v>8.9590643068973184E-4</v>
      </c>
      <c r="BN34" s="48">
        <f t="shared" si="22"/>
        <v>1.2579729886134446E-3</v>
      </c>
      <c r="BO34" s="48">
        <f t="shared" si="23"/>
        <v>4.0775549540847554E-3</v>
      </c>
      <c r="BP34" s="99">
        <f t="shared" si="24"/>
        <v>2.5103038752062991E-4</v>
      </c>
      <c r="BQ34" s="48">
        <f t="shared" si="25"/>
        <v>1.343859646034598E-3</v>
      </c>
      <c r="BR34" s="40">
        <f t="shared" si="26"/>
        <v>0.25792011292330935</v>
      </c>
      <c r="BS34" s="31">
        <v>1.5</v>
      </c>
      <c r="BT34" s="31">
        <v>1.5</v>
      </c>
      <c r="BU34" s="43">
        <v>0.125</v>
      </c>
      <c r="BV34" s="44">
        <v>0.42</v>
      </c>
      <c r="BW34" s="43">
        <v>2.3E-2</v>
      </c>
      <c r="BX34" s="44">
        <v>0.2</v>
      </c>
      <c r="BY34" s="40">
        <v>15.675043576489312</v>
      </c>
      <c r="BZ34" s="40">
        <v>0.52</v>
      </c>
      <c r="CA34" s="40">
        <v>0.65</v>
      </c>
      <c r="CB34" s="45">
        <v>1</v>
      </c>
      <c r="CC34" s="41">
        <v>0.71600171560489423</v>
      </c>
      <c r="CD34" s="41">
        <v>21.755373924034487</v>
      </c>
      <c r="CE34" s="41">
        <v>77.52862436036061</v>
      </c>
      <c r="CF34" s="125">
        <v>1</v>
      </c>
      <c r="CG34" s="40">
        <f t="shared" si="47"/>
        <v>2.0590603948263446E-2</v>
      </c>
      <c r="CH34" s="40">
        <f t="shared" si="48"/>
        <v>2.0590603948263446E-2</v>
      </c>
      <c r="CI34" s="99">
        <f t="shared" si="49"/>
        <v>1.4742907752297537E-4</v>
      </c>
      <c r="CJ34" s="100">
        <f t="shared" si="50"/>
        <v>4.4795628821617216E-3</v>
      </c>
      <c r="CK34" s="100">
        <f t="shared" si="51"/>
        <v>1.5963611988578746E-2</v>
      </c>
      <c r="CL34" s="101">
        <f t="shared" si="27"/>
        <v>7.8319213997632593E-4</v>
      </c>
      <c r="CM34" s="100">
        <f t="shared" si="28"/>
        <v>4.1415713223298834E-3</v>
      </c>
      <c r="CN34" s="100">
        <f t="shared" si="29"/>
        <v>6.7193443232425824E-3</v>
      </c>
      <c r="CO34" s="100">
        <f t="shared" si="30"/>
        <v>2.3945417982868117E-2</v>
      </c>
      <c r="CP34" s="101">
        <f t="shared" si="31"/>
        <v>1.1747882099644889E-3</v>
      </c>
      <c r="CQ34" s="100">
        <f t="shared" si="32"/>
        <v>6.2123569834948243E-3</v>
      </c>
      <c r="CR34" s="99">
        <f t="shared" si="33"/>
        <v>0.22471375639639382</v>
      </c>
      <c r="CS34" s="31">
        <v>1.5</v>
      </c>
      <c r="CT34" s="31">
        <v>1.5</v>
      </c>
      <c r="CU34" s="43">
        <v>0.1</v>
      </c>
      <c r="CV34" s="44">
        <v>0.39</v>
      </c>
      <c r="CW34" s="43">
        <v>2.1000000000000001E-2</v>
      </c>
      <c r="CX34" s="44">
        <v>0.15</v>
      </c>
    </row>
    <row r="35" spans="1:196" s="23" customFormat="1" x14ac:dyDescent="0.25">
      <c r="A35" s="31">
        <v>21</v>
      </c>
      <c r="B35" s="83">
        <v>3</v>
      </c>
      <c r="C35" s="31">
        <v>40</v>
      </c>
      <c r="D35" s="31" t="s">
        <v>36</v>
      </c>
      <c r="E35" s="31" t="s">
        <v>6</v>
      </c>
      <c r="F35" s="31" t="s">
        <v>62</v>
      </c>
      <c r="G35" s="31" t="str">
        <f t="shared" si="34"/>
        <v>Kommunal 40 Y 3 EE</v>
      </c>
      <c r="H35" s="48">
        <f t="shared" si="0"/>
        <v>8.9728228385215353E-2</v>
      </c>
      <c r="I35" s="40">
        <f t="shared" si="1"/>
        <v>8.6266949401929249E-2</v>
      </c>
      <c r="J35" s="99">
        <f t="shared" si="2"/>
        <v>2.5358744216863666E-4</v>
      </c>
      <c r="K35" s="48">
        <f t="shared" si="3"/>
        <v>1.1627497677343491E-2</v>
      </c>
      <c r="L35" s="48">
        <f t="shared" si="4"/>
        <v>7.4385864282417127E-2</v>
      </c>
      <c r="M35" s="48">
        <f t="shared" si="35"/>
        <v>0.18136661356674008</v>
      </c>
      <c r="N35" s="99">
        <f t="shared" si="5"/>
        <v>2.4011749291603553E-3</v>
      </c>
      <c r="O35" s="48">
        <f t="shared" si="6"/>
        <v>1.4045582573307645E-2</v>
      </c>
      <c r="P35" s="48">
        <f t="shared" si="7"/>
        <v>1.7441246516015235E-2</v>
      </c>
      <c r="Q35" s="48">
        <f t="shared" si="8"/>
        <v>0.11157879642362568</v>
      </c>
      <c r="R35" s="40">
        <f t="shared" si="36"/>
        <v>1.2695662949671807</v>
      </c>
      <c r="S35" s="99">
        <f t="shared" si="9"/>
        <v>3.6017623937405329E-3</v>
      </c>
      <c r="T35" s="48">
        <f t="shared" si="10"/>
        <v>2.1068373859961468E-2</v>
      </c>
      <c r="U35" s="40">
        <v>3.3700867199999993</v>
      </c>
      <c r="V35" s="40">
        <v>1.2</v>
      </c>
      <c r="W35" s="41">
        <v>0.1</v>
      </c>
      <c r="X35" s="40">
        <v>0.94713542277306062</v>
      </c>
      <c r="Y35" s="42">
        <v>0</v>
      </c>
      <c r="Z35" s="42">
        <v>10.174107036829358</v>
      </c>
      <c r="AA35" s="42">
        <v>89.825892963170645</v>
      </c>
      <c r="AB35" s="42">
        <v>2.9246467817896402</v>
      </c>
      <c r="AC35" s="125">
        <v>1</v>
      </c>
      <c r="AD35" s="94">
        <f t="shared" si="37"/>
        <v>6.5474447443840789E-2</v>
      </c>
      <c r="AE35" s="94">
        <f t="shared" si="38"/>
        <v>6.2013168460554685E-2</v>
      </c>
      <c r="AF35" s="96">
        <f t="shared" si="11"/>
        <v>0</v>
      </c>
      <c r="AG35" s="95">
        <f t="shared" si="52"/>
        <v>6.3092861361061384E-3</v>
      </c>
      <c r="AH35" s="94">
        <f t="shared" si="39"/>
        <v>5.5703882324448548E-2</v>
      </c>
      <c r="AI35" s="94">
        <f t="shared" si="40"/>
        <v>0.18136661356674008</v>
      </c>
      <c r="AJ35" s="96">
        <f t="shared" si="41"/>
        <v>1.4506291975036095E-3</v>
      </c>
      <c r="AK35" s="95">
        <f t="shared" si="13"/>
        <v>9.0081048202880296E-3</v>
      </c>
      <c r="AL35" s="95">
        <f t="shared" si="14"/>
        <v>9.463929204159208E-3</v>
      </c>
      <c r="AM35" s="94">
        <f t="shared" si="15"/>
        <v>8.3555823486672814E-2</v>
      </c>
      <c r="AN35" s="93">
        <f t="shared" si="16"/>
        <v>1.2695662949671807</v>
      </c>
      <c r="AO35" s="96">
        <f t="shared" si="17"/>
        <v>2.1759437962554141E-3</v>
      </c>
      <c r="AP35" s="95">
        <f t="shared" si="18"/>
        <v>1.3512157230432045E-2</v>
      </c>
      <c r="AQ35" s="93">
        <f t="shared" si="19"/>
        <v>0.10174107036829358</v>
      </c>
      <c r="AR35" s="31">
        <v>1.5</v>
      </c>
      <c r="AS35" s="31">
        <v>1.5</v>
      </c>
      <c r="AT35" s="31">
        <v>7</v>
      </c>
      <c r="AU35" s="43">
        <v>7.0999999999999994E-2</v>
      </c>
      <c r="AV35" s="44">
        <v>0.28000000000000003</v>
      </c>
      <c r="AW35" s="43">
        <v>1.7999999999999999E-2</v>
      </c>
      <c r="AX35" s="44">
        <v>0.13</v>
      </c>
      <c r="AY35" s="40">
        <v>6.3169879599642158</v>
      </c>
      <c r="AZ35" s="41">
        <v>0.5</v>
      </c>
      <c r="BA35" s="40">
        <v>0.72</v>
      </c>
      <c r="BB35" s="45">
        <v>1</v>
      </c>
      <c r="BC35" s="41">
        <v>2.8979862246705488</v>
      </c>
      <c r="BD35" s="41">
        <v>22.894025067660387</v>
      </c>
      <c r="BE35" s="41">
        <v>74.20798870766906</v>
      </c>
      <c r="BF35" s="125">
        <v>1</v>
      </c>
      <c r="BG35" s="48">
        <f t="shared" si="42"/>
        <v>3.6631769931111287E-3</v>
      </c>
      <c r="BH35" s="48">
        <f t="shared" si="43"/>
        <v>3.6631769931111287E-3</v>
      </c>
      <c r="BI35" s="99">
        <f t="shared" si="44"/>
        <v>1.0615836464566132E-4</v>
      </c>
      <c r="BJ35" s="99">
        <f t="shared" si="45"/>
        <v>8.3864865907562979E-4</v>
      </c>
      <c r="BK35" s="48">
        <f t="shared" si="46"/>
        <v>2.7183699693898371E-3</v>
      </c>
      <c r="BL35" s="99">
        <f t="shared" si="20"/>
        <v>1.6735359168041996E-4</v>
      </c>
      <c r="BM35" s="48">
        <f t="shared" si="21"/>
        <v>8.9590643068973184E-4</v>
      </c>
      <c r="BN35" s="48">
        <f t="shared" si="22"/>
        <v>1.2579729886134446E-3</v>
      </c>
      <c r="BO35" s="48">
        <f t="shared" si="23"/>
        <v>4.0775549540847554E-3</v>
      </c>
      <c r="BP35" s="99">
        <f t="shared" si="24"/>
        <v>2.5103038752062991E-4</v>
      </c>
      <c r="BQ35" s="48">
        <f t="shared" si="25"/>
        <v>1.343859646034598E-3</v>
      </c>
      <c r="BR35" s="40">
        <f t="shared" si="26"/>
        <v>0.25792011292330935</v>
      </c>
      <c r="BS35" s="31">
        <v>1.5</v>
      </c>
      <c r="BT35" s="31">
        <v>1.5</v>
      </c>
      <c r="BU35" s="43">
        <v>0.125</v>
      </c>
      <c r="BV35" s="44">
        <v>0.42</v>
      </c>
      <c r="BW35" s="43">
        <v>2.3E-2</v>
      </c>
      <c r="BX35" s="44">
        <v>0.2</v>
      </c>
      <c r="BY35" s="40">
        <v>15.675043576489312</v>
      </c>
      <c r="BZ35" s="40">
        <v>0.52</v>
      </c>
      <c r="CA35" s="40">
        <v>0.65</v>
      </c>
      <c r="CB35" s="45">
        <v>1</v>
      </c>
      <c r="CC35" s="41">
        <v>0.71600171560489423</v>
      </c>
      <c r="CD35" s="41">
        <v>21.755373924034487</v>
      </c>
      <c r="CE35" s="41">
        <v>77.52862436036061</v>
      </c>
      <c r="CF35" s="125">
        <v>1</v>
      </c>
      <c r="CG35" s="40">
        <f t="shared" si="47"/>
        <v>2.0590603948263446E-2</v>
      </c>
      <c r="CH35" s="40">
        <f t="shared" si="48"/>
        <v>2.0590603948263446E-2</v>
      </c>
      <c r="CI35" s="99">
        <f t="shared" si="49"/>
        <v>1.4742907752297537E-4</v>
      </c>
      <c r="CJ35" s="100">
        <f t="shared" si="50"/>
        <v>4.4795628821617216E-3</v>
      </c>
      <c r="CK35" s="100">
        <f t="shared" si="51"/>
        <v>1.5963611988578746E-2</v>
      </c>
      <c r="CL35" s="101">
        <f t="shared" si="27"/>
        <v>7.8319213997632593E-4</v>
      </c>
      <c r="CM35" s="100">
        <f t="shared" si="28"/>
        <v>4.1415713223298834E-3</v>
      </c>
      <c r="CN35" s="100">
        <f t="shared" si="29"/>
        <v>6.7193443232425824E-3</v>
      </c>
      <c r="CO35" s="100">
        <f t="shared" si="30"/>
        <v>2.3945417982868117E-2</v>
      </c>
      <c r="CP35" s="101">
        <f t="shared" si="31"/>
        <v>1.1747882099644889E-3</v>
      </c>
      <c r="CQ35" s="100">
        <f t="shared" si="32"/>
        <v>6.2123569834948243E-3</v>
      </c>
      <c r="CR35" s="99">
        <f t="shared" si="33"/>
        <v>0.22471375639639382</v>
      </c>
      <c r="CS35" s="31">
        <v>1.5</v>
      </c>
      <c r="CT35" s="31">
        <v>1.5</v>
      </c>
      <c r="CU35" s="43">
        <v>0.1</v>
      </c>
      <c r="CV35" s="44">
        <v>0.39</v>
      </c>
      <c r="CW35" s="43">
        <v>2.1000000000000001E-2</v>
      </c>
      <c r="CX35" s="44">
        <v>0.15</v>
      </c>
    </row>
    <row r="36" spans="1:196" s="23" customFormat="1" x14ac:dyDescent="0.25">
      <c r="A36" s="31">
        <v>22</v>
      </c>
      <c r="B36" s="83">
        <v>3</v>
      </c>
      <c r="C36" s="31">
        <v>40</v>
      </c>
      <c r="D36" s="31" t="s">
        <v>36</v>
      </c>
      <c r="E36" s="31" t="s">
        <v>6</v>
      </c>
      <c r="F36" s="31" t="s">
        <v>63</v>
      </c>
      <c r="G36" s="31" t="str">
        <f t="shared" si="34"/>
        <v>Kommunal 40 Y 3 ES</v>
      </c>
      <c r="H36" s="48">
        <f t="shared" si="0"/>
        <v>6.3500043279397178E-2</v>
      </c>
      <c r="I36" s="40">
        <f t="shared" si="1"/>
        <v>5.6436263575594565E-2</v>
      </c>
      <c r="J36" s="99">
        <f t="shared" si="2"/>
        <v>2.5358744216863666E-4</v>
      </c>
      <c r="K36" s="48">
        <f t="shared" si="3"/>
        <v>8.5924917715519133E-3</v>
      </c>
      <c r="L36" s="48">
        <f t="shared" si="4"/>
        <v>4.7590184361874011E-2</v>
      </c>
      <c r="M36" s="48">
        <f t="shared" si="35"/>
        <v>0.11544358449522951</v>
      </c>
      <c r="N36" s="99">
        <f t="shared" si="5"/>
        <v>1.7033672712793776E-3</v>
      </c>
      <c r="O36" s="48">
        <f t="shared" si="6"/>
        <v>9.7123425300153984E-3</v>
      </c>
      <c r="P36" s="48">
        <f t="shared" si="7"/>
        <v>1.288873765732787E-2</v>
      </c>
      <c r="Q36" s="48">
        <f t="shared" si="8"/>
        <v>7.1385276542811016E-2</v>
      </c>
      <c r="R36" s="40">
        <f t="shared" si="36"/>
        <v>0.80810509146660658</v>
      </c>
      <c r="S36" s="99">
        <f t="shared" si="9"/>
        <v>2.555050906919066E-3</v>
      </c>
      <c r="T36" s="48">
        <f t="shared" si="10"/>
        <v>1.4568513795023098E-2</v>
      </c>
      <c r="U36" s="40">
        <v>2.0200752</v>
      </c>
      <c r="V36" s="40">
        <v>1.2</v>
      </c>
      <c r="W36" s="41">
        <v>0.1</v>
      </c>
      <c r="X36" s="40">
        <v>0.82001395080725714</v>
      </c>
      <c r="Y36" s="42">
        <v>0</v>
      </c>
      <c r="Z36" s="42">
        <v>10.17410703682936</v>
      </c>
      <c r="AA36" s="42">
        <v>89.825892963170645</v>
      </c>
      <c r="AB36" s="42">
        <v>3.5871559633027528</v>
      </c>
      <c r="AC36" s="125">
        <v>1</v>
      </c>
      <c r="AD36" s="94">
        <f t="shared" si="37"/>
        <v>3.9246262338022614E-2</v>
      </c>
      <c r="AE36" s="94">
        <f t="shared" si="38"/>
        <v>3.2182482634219987E-2</v>
      </c>
      <c r="AF36" s="96">
        <f t="shared" si="11"/>
        <v>0</v>
      </c>
      <c r="AG36" s="95">
        <f t="shared" si="52"/>
        <v>3.2742802303145622E-3</v>
      </c>
      <c r="AH36" s="94">
        <f t="shared" si="39"/>
        <v>2.8908202403905427E-2</v>
      </c>
      <c r="AI36" s="94">
        <f t="shared" si="40"/>
        <v>0.11544358449522951</v>
      </c>
      <c r="AJ36" s="96">
        <f t="shared" si="41"/>
        <v>7.5282153962263161E-4</v>
      </c>
      <c r="AK36" s="95">
        <f t="shared" si="13"/>
        <v>4.6748647769957827E-3</v>
      </c>
      <c r="AL36" s="95">
        <f t="shared" si="14"/>
        <v>4.9114203454718435E-3</v>
      </c>
      <c r="AM36" s="94">
        <f t="shared" si="15"/>
        <v>4.3362303605858139E-2</v>
      </c>
      <c r="AN36" s="93">
        <f t="shared" si="16"/>
        <v>0.80810509146660658</v>
      </c>
      <c r="AO36" s="96">
        <f t="shared" si="17"/>
        <v>1.1292323094339472E-3</v>
      </c>
      <c r="AP36" s="95">
        <f t="shared" si="18"/>
        <v>7.012297165493675E-3</v>
      </c>
      <c r="AQ36" s="93">
        <f t="shared" si="19"/>
        <v>0.10174107036829359</v>
      </c>
      <c r="AR36" s="31">
        <v>1.5</v>
      </c>
      <c r="AS36" s="31">
        <v>1.5</v>
      </c>
      <c r="AT36" s="31">
        <v>7</v>
      </c>
      <c r="AU36" s="43">
        <v>7.0999999999999994E-2</v>
      </c>
      <c r="AV36" s="44">
        <v>0.28000000000000003</v>
      </c>
      <c r="AW36" s="43">
        <v>1.7999999999999999E-2</v>
      </c>
      <c r="AX36" s="44">
        <v>0.13</v>
      </c>
      <c r="AY36" s="40">
        <v>6.3169879599642158</v>
      </c>
      <c r="AZ36" s="41">
        <v>0.5</v>
      </c>
      <c r="BA36" s="40">
        <v>0.72</v>
      </c>
      <c r="BB36" s="45">
        <v>1</v>
      </c>
      <c r="BC36" s="41">
        <v>2.8979862246705488</v>
      </c>
      <c r="BD36" s="41">
        <v>22.894025067660387</v>
      </c>
      <c r="BE36" s="41">
        <v>74.20798870766906</v>
      </c>
      <c r="BF36" s="125">
        <v>1</v>
      </c>
      <c r="BG36" s="48">
        <f t="shared" si="42"/>
        <v>3.6631769931111287E-3</v>
      </c>
      <c r="BH36" s="48">
        <f t="shared" si="43"/>
        <v>3.6631769931111287E-3</v>
      </c>
      <c r="BI36" s="99">
        <f t="shared" si="44"/>
        <v>1.0615836464566132E-4</v>
      </c>
      <c r="BJ36" s="99">
        <f t="shared" si="45"/>
        <v>8.3864865907562979E-4</v>
      </c>
      <c r="BK36" s="48">
        <f t="shared" si="46"/>
        <v>2.7183699693898371E-3</v>
      </c>
      <c r="BL36" s="99">
        <f t="shared" si="20"/>
        <v>1.6735359168041996E-4</v>
      </c>
      <c r="BM36" s="48">
        <f t="shared" si="21"/>
        <v>8.9590643068973184E-4</v>
      </c>
      <c r="BN36" s="48">
        <f t="shared" si="22"/>
        <v>1.2579729886134446E-3</v>
      </c>
      <c r="BO36" s="48">
        <f t="shared" si="23"/>
        <v>4.0775549540847554E-3</v>
      </c>
      <c r="BP36" s="99">
        <f t="shared" si="24"/>
        <v>2.5103038752062991E-4</v>
      </c>
      <c r="BQ36" s="48">
        <f t="shared" si="25"/>
        <v>1.343859646034598E-3</v>
      </c>
      <c r="BR36" s="40">
        <f t="shared" si="26"/>
        <v>0.25792011292330935</v>
      </c>
      <c r="BS36" s="31">
        <v>1.5</v>
      </c>
      <c r="BT36" s="31">
        <v>1.5</v>
      </c>
      <c r="BU36" s="43">
        <v>0.125</v>
      </c>
      <c r="BV36" s="44">
        <v>0.42</v>
      </c>
      <c r="BW36" s="43">
        <v>2.3E-2</v>
      </c>
      <c r="BX36" s="44">
        <v>0.2</v>
      </c>
      <c r="BY36" s="40">
        <v>15.675043576489312</v>
      </c>
      <c r="BZ36" s="40">
        <v>0.52</v>
      </c>
      <c r="CA36" s="40">
        <v>0.65</v>
      </c>
      <c r="CB36" s="45">
        <v>1</v>
      </c>
      <c r="CC36" s="41">
        <v>0.71600171560489423</v>
      </c>
      <c r="CD36" s="41">
        <v>21.755373924034487</v>
      </c>
      <c r="CE36" s="41">
        <v>77.52862436036061</v>
      </c>
      <c r="CF36" s="125">
        <v>1</v>
      </c>
      <c r="CG36" s="40">
        <f t="shared" si="47"/>
        <v>2.0590603948263446E-2</v>
      </c>
      <c r="CH36" s="40">
        <f t="shared" si="48"/>
        <v>2.0590603948263446E-2</v>
      </c>
      <c r="CI36" s="99">
        <f t="shared" si="49"/>
        <v>1.4742907752297537E-4</v>
      </c>
      <c r="CJ36" s="100">
        <f t="shared" si="50"/>
        <v>4.4795628821617216E-3</v>
      </c>
      <c r="CK36" s="100">
        <f t="shared" si="51"/>
        <v>1.5963611988578746E-2</v>
      </c>
      <c r="CL36" s="101">
        <f t="shared" si="27"/>
        <v>7.8319213997632593E-4</v>
      </c>
      <c r="CM36" s="100">
        <f t="shared" si="28"/>
        <v>4.1415713223298834E-3</v>
      </c>
      <c r="CN36" s="100">
        <f t="shared" si="29"/>
        <v>6.7193443232425824E-3</v>
      </c>
      <c r="CO36" s="100">
        <f t="shared" si="30"/>
        <v>2.3945417982868117E-2</v>
      </c>
      <c r="CP36" s="101">
        <f t="shared" si="31"/>
        <v>1.1747882099644889E-3</v>
      </c>
      <c r="CQ36" s="100">
        <f t="shared" si="32"/>
        <v>6.2123569834948243E-3</v>
      </c>
      <c r="CR36" s="99">
        <f t="shared" si="33"/>
        <v>0.22471375639639382</v>
      </c>
      <c r="CS36" s="31">
        <v>1.5</v>
      </c>
      <c r="CT36" s="31">
        <v>1.5</v>
      </c>
      <c r="CU36" s="43">
        <v>0.1</v>
      </c>
      <c r="CV36" s="44">
        <v>0.39</v>
      </c>
      <c r="CW36" s="43">
        <v>2.1000000000000001E-2</v>
      </c>
      <c r="CX36" s="44">
        <v>0.15</v>
      </c>
    </row>
    <row r="37" spans="1:196" s="23" customFormat="1" x14ac:dyDescent="0.25">
      <c r="A37" s="31">
        <v>23</v>
      </c>
      <c r="B37" s="83">
        <v>3</v>
      </c>
      <c r="C37" s="31">
        <v>40</v>
      </c>
      <c r="D37" s="31" t="s">
        <v>36</v>
      </c>
      <c r="E37" s="31" t="s">
        <v>6</v>
      </c>
      <c r="F37" s="31" t="s">
        <v>64</v>
      </c>
      <c r="G37" s="31" t="str">
        <f t="shared" si="34"/>
        <v>Kommunal 40 Y 3 F</v>
      </c>
      <c r="H37" s="48">
        <f t="shared" si="0"/>
        <v>4.0625125503977372E-2</v>
      </c>
      <c r="I37" s="40">
        <f t="shared" si="1"/>
        <v>3.8989808436008619E-2</v>
      </c>
      <c r="J37" s="99">
        <f t="shared" si="2"/>
        <v>3.5798600040109433E-4</v>
      </c>
      <c r="K37" s="48">
        <f t="shared" si="3"/>
        <v>7.7290082093213084E-3</v>
      </c>
      <c r="L37" s="48">
        <f t="shared" si="4"/>
        <v>3.090281422628622E-2</v>
      </c>
      <c r="M37" s="48">
        <f t="shared" si="35"/>
        <v>4.1082258469888867E-2</v>
      </c>
      <c r="N37" s="99">
        <f t="shared" si="5"/>
        <v>1.3416872759204244E-3</v>
      </c>
      <c r="O37" s="48">
        <f t="shared" si="6"/>
        <v>7.3012090149644163E-3</v>
      </c>
      <c r="P37" s="48">
        <f t="shared" si="7"/>
        <v>1.1593512313981964E-2</v>
      </c>
      <c r="Q37" s="48">
        <f t="shared" si="8"/>
        <v>4.6354221339429326E-2</v>
      </c>
      <c r="R37" s="40">
        <f t="shared" si="36"/>
        <v>0.28757580928922205</v>
      </c>
      <c r="S37" s="99">
        <f t="shared" si="9"/>
        <v>2.0125309138806363E-3</v>
      </c>
      <c r="T37" s="48">
        <f t="shared" si="10"/>
        <v>1.0951813522446625E-2</v>
      </c>
      <c r="U37" s="40">
        <v>0.24776927999999998</v>
      </c>
      <c r="V37" s="40">
        <v>1.45</v>
      </c>
      <c r="W37" s="41">
        <v>0.5</v>
      </c>
      <c r="X37" s="40">
        <v>0.90011101032566898</v>
      </c>
      <c r="Y37" s="42">
        <v>0.70845794954218966</v>
      </c>
      <c r="Z37" s="42">
        <v>16.35988171820269</v>
      </c>
      <c r="AA37" s="42">
        <v>82.93166033225512</v>
      </c>
      <c r="AB37" s="42">
        <v>2.787878787878789</v>
      </c>
      <c r="AC37" s="125">
        <v>1</v>
      </c>
      <c r="AD37" s="94">
        <f t="shared" si="37"/>
        <v>1.637134456260279E-2</v>
      </c>
      <c r="AE37" s="94">
        <f t="shared" si="38"/>
        <v>1.4736027494634044E-2</v>
      </c>
      <c r="AF37" s="96">
        <f t="shared" si="11"/>
        <v>1.0439855823245764E-4</v>
      </c>
      <c r="AG37" s="95">
        <f t="shared" si="52"/>
        <v>2.4107966680839569E-3</v>
      </c>
      <c r="AH37" s="94">
        <f t="shared" si="39"/>
        <v>1.2220832268317629E-2</v>
      </c>
      <c r="AI37" s="94">
        <f t="shared" si="40"/>
        <v>4.1082258469888867E-2</v>
      </c>
      <c r="AJ37" s="96">
        <f t="shared" si="41"/>
        <v>3.9114154426367819E-4</v>
      </c>
      <c r="AK37" s="95">
        <f t="shared" si="13"/>
        <v>2.2637312619447998E-3</v>
      </c>
      <c r="AL37" s="95">
        <f t="shared" si="14"/>
        <v>3.6161950021259353E-3</v>
      </c>
      <c r="AM37" s="94">
        <f t="shared" si="15"/>
        <v>1.8331248402476442E-2</v>
      </c>
      <c r="AN37" s="93">
        <f t="shared" si="16"/>
        <v>0.28757580928922205</v>
      </c>
      <c r="AO37" s="96">
        <f t="shared" si="17"/>
        <v>5.8671231639551729E-4</v>
      </c>
      <c r="AP37" s="95">
        <f t="shared" si="18"/>
        <v>3.3955968929171992E-3</v>
      </c>
      <c r="AQ37" s="93">
        <f t="shared" si="19"/>
        <v>0.17068339667744878</v>
      </c>
      <c r="AR37" s="31">
        <v>1.5</v>
      </c>
      <c r="AS37" s="31">
        <v>1.5</v>
      </c>
      <c r="AT37" s="31">
        <v>7</v>
      </c>
      <c r="AU37" s="43">
        <v>7.0999999999999994E-2</v>
      </c>
      <c r="AV37" s="44">
        <v>0.28000000000000003</v>
      </c>
      <c r="AW37" s="43">
        <v>1.7999999999999999E-2</v>
      </c>
      <c r="AX37" s="44">
        <v>0.13</v>
      </c>
      <c r="AY37" s="40">
        <v>6.316987959964214</v>
      </c>
      <c r="AZ37" s="41">
        <v>0.5</v>
      </c>
      <c r="BA37" s="40">
        <v>0.72</v>
      </c>
      <c r="BB37" s="45">
        <v>1</v>
      </c>
      <c r="BC37" s="41">
        <v>2.8979862246705492</v>
      </c>
      <c r="BD37" s="41">
        <v>22.894025067660383</v>
      </c>
      <c r="BE37" s="41">
        <v>74.207988707669074</v>
      </c>
      <c r="BF37" s="125">
        <v>1</v>
      </c>
      <c r="BG37" s="48">
        <f t="shared" si="42"/>
        <v>3.6631769931111274E-3</v>
      </c>
      <c r="BH37" s="48">
        <f t="shared" si="43"/>
        <v>3.6631769931111274E-3</v>
      </c>
      <c r="BI37" s="99">
        <f t="shared" si="44"/>
        <v>1.061583646456613E-4</v>
      </c>
      <c r="BJ37" s="99">
        <f t="shared" si="45"/>
        <v>8.3864865907562936E-4</v>
      </c>
      <c r="BK37" s="48">
        <f t="shared" si="46"/>
        <v>2.7183699693898366E-3</v>
      </c>
      <c r="BL37" s="99">
        <f t="shared" si="20"/>
        <v>1.673535916804199E-4</v>
      </c>
      <c r="BM37" s="48">
        <f t="shared" si="21"/>
        <v>8.9590643068973173E-4</v>
      </c>
      <c r="BN37" s="48">
        <f t="shared" si="22"/>
        <v>1.2579729886134441E-3</v>
      </c>
      <c r="BO37" s="48">
        <f t="shared" si="23"/>
        <v>4.0775549540847545E-3</v>
      </c>
      <c r="BP37" s="99">
        <f t="shared" si="24"/>
        <v>2.5103038752062986E-4</v>
      </c>
      <c r="BQ37" s="48">
        <f t="shared" si="25"/>
        <v>1.3438596460345975E-3</v>
      </c>
      <c r="BR37" s="40">
        <f t="shared" si="26"/>
        <v>0.2579201129233093</v>
      </c>
      <c r="BS37" s="31">
        <v>1.5</v>
      </c>
      <c r="BT37" s="31">
        <v>1.5</v>
      </c>
      <c r="BU37" s="43">
        <v>0.125</v>
      </c>
      <c r="BV37" s="44">
        <v>0.42</v>
      </c>
      <c r="BW37" s="43">
        <v>2.3E-2</v>
      </c>
      <c r="BX37" s="44">
        <v>0.2</v>
      </c>
      <c r="BY37" s="40">
        <v>15.675043576489314</v>
      </c>
      <c r="BZ37" s="40">
        <v>0.52</v>
      </c>
      <c r="CA37" s="40">
        <v>0.65</v>
      </c>
      <c r="CB37" s="45">
        <v>1</v>
      </c>
      <c r="CC37" s="41">
        <v>0.71600171560489401</v>
      </c>
      <c r="CD37" s="41">
        <v>21.755373924034487</v>
      </c>
      <c r="CE37" s="41">
        <v>77.528624360360624</v>
      </c>
      <c r="CF37" s="125">
        <v>1</v>
      </c>
      <c r="CG37" s="40">
        <f t="shared" si="47"/>
        <v>2.0590603948263449E-2</v>
      </c>
      <c r="CH37" s="40">
        <f t="shared" si="48"/>
        <v>2.0590603948263449E-2</v>
      </c>
      <c r="CI37" s="99">
        <f t="shared" si="49"/>
        <v>1.4742907752297534E-4</v>
      </c>
      <c r="CJ37" s="100">
        <f t="shared" si="50"/>
        <v>4.4795628821617224E-3</v>
      </c>
      <c r="CK37" s="100">
        <f t="shared" si="51"/>
        <v>1.5963611988578753E-2</v>
      </c>
      <c r="CL37" s="101">
        <f t="shared" si="27"/>
        <v>7.8319213997632615E-4</v>
      </c>
      <c r="CM37" s="100">
        <f t="shared" si="28"/>
        <v>4.1415713223298851E-3</v>
      </c>
      <c r="CN37" s="100">
        <f t="shared" si="29"/>
        <v>6.7193443232425841E-3</v>
      </c>
      <c r="CO37" s="100">
        <f t="shared" si="30"/>
        <v>2.3945417982868131E-2</v>
      </c>
      <c r="CP37" s="101">
        <f t="shared" si="31"/>
        <v>1.1747882099644893E-3</v>
      </c>
      <c r="CQ37" s="100">
        <f t="shared" si="32"/>
        <v>6.2123569834948277E-3</v>
      </c>
      <c r="CR37" s="99">
        <f t="shared" si="33"/>
        <v>0.22471375639639382</v>
      </c>
      <c r="CS37" s="31">
        <v>1.5</v>
      </c>
      <c r="CT37" s="31">
        <v>1.5</v>
      </c>
      <c r="CU37" s="43">
        <v>0.1</v>
      </c>
      <c r="CV37" s="44">
        <v>0.39</v>
      </c>
      <c r="CW37" s="43">
        <v>2.1000000000000001E-2</v>
      </c>
      <c r="CX37" s="44">
        <v>0.15</v>
      </c>
      <c r="CY37" s="124"/>
    </row>
    <row r="38" spans="1:196" s="26" customFormat="1" x14ac:dyDescent="0.25">
      <c r="A38" s="31">
        <v>24</v>
      </c>
      <c r="B38" s="83">
        <v>3</v>
      </c>
      <c r="C38" s="31">
        <v>50</v>
      </c>
      <c r="D38" s="31" t="s">
        <v>36</v>
      </c>
      <c r="E38" s="31" t="s">
        <v>4</v>
      </c>
      <c r="F38" s="31" t="s">
        <v>12</v>
      </c>
      <c r="G38" s="31" t="str">
        <f t="shared" si="34"/>
        <v>Kommunal 50 C 3 A</v>
      </c>
      <c r="H38" s="48">
        <f t="shared" si="0"/>
        <v>4.5689320617586841E-2</v>
      </c>
      <c r="I38" s="40">
        <f t="shared" si="1"/>
        <v>5.1451737523902884E-2</v>
      </c>
      <c r="J38" s="99">
        <f t="shared" si="2"/>
        <v>5.2428183416642954E-4</v>
      </c>
      <c r="K38" s="48">
        <f t="shared" si="3"/>
        <v>9.6146700934150991E-3</v>
      </c>
      <c r="L38" s="48">
        <f t="shared" si="4"/>
        <v>4.1312785596321358E-2</v>
      </c>
      <c r="M38" s="48">
        <f t="shared" si="35"/>
        <v>0.13807523275861194</v>
      </c>
      <c r="N38" s="99">
        <f t="shared" si="5"/>
        <v>1.700647939280024E-3</v>
      </c>
      <c r="O38" s="48">
        <f t="shared" si="6"/>
        <v>9.3421665320918557E-3</v>
      </c>
      <c r="P38" s="48">
        <f t="shared" si="7"/>
        <v>1.4422005140122648E-2</v>
      </c>
      <c r="Q38" s="48">
        <f t="shared" si="8"/>
        <v>6.196917839448203E-2</v>
      </c>
      <c r="R38" s="40">
        <f t="shared" si="36"/>
        <v>0.96652662931028366</v>
      </c>
      <c r="S38" s="99">
        <f t="shared" si="9"/>
        <v>2.5509719089200356E-3</v>
      </c>
      <c r="T38" s="48">
        <f t="shared" si="10"/>
        <v>1.4013249798137783E-2</v>
      </c>
      <c r="U38" s="40">
        <v>0.28155600000000008</v>
      </c>
      <c r="V38" s="40">
        <v>1.45</v>
      </c>
      <c r="W38" s="41">
        <v>0.5</v>
      </c>
      <c r="X38" s="40">
        <v>1.3097440688617403</v>
      </c>
      <c r="Y38" s="42">
        <v>0.81515299544557829</v>
      </c>
      <c r="Z38" s="42">
        <v>13.671957377700943</v>
      </c>
      <c r="AA38" s="42">
        <v>85.512889626853479</v>
      </c>
      <c r="AB38" s="42">
        <v>5.6666666666666661</v>
      </c>
      <c r="AC38" s="125">
        <v>1</v>
      </c>
      <c r="AD38" s="94">
        <f t="shared" si="37"/>
        <v>1.860380063932136E-2</v>
      </c>
      <c r="AE38" s="94">
        <f t="shared" si="38"/>
        <v>2.4366217545637402E-2</v>
      </c>
      <c r="AF38" s="96">
        <f t="shared" si="11"/>
        <v>1.9862195220004934E-4</v>
      </c>
      <c r="AG38" s="95">
        <f t="shared" si="52"/>
        <v>3.3313388773974343E-3</v>
      </c>
      <c r="AH38" s="94">
        <f t="shared" si="39"/>
        <v>2.0836256716039919E-2</v>
      </c>
      <c r="AI38" s="94">
        <f t="shared" si="40"/>
        <v>0.13807523275861194</v>
      </c>
      <c r="AJ38" s="96">
        <f t="shared" si="41"/>
        <v>6.1157768118393638E-4</v>
      </c>
      <c r="AK38" s="95">
        <f t="shared" si="13"/>
        <v>3.6414882587564711E-3</v>
      </c>
      <c r="AL38" s="95">
        <f t="shared" si="14"/>
        <v>4.9970083160961517E-3</v>
      </c>
      <c r="AM38" s="94">
        <f t="shared" si="15"/>
        <v>3.1254385074059879E-2</v>
      </c>
      <c r="AN38" s="93">
        <f t="shared" si="16"/>
        <v>0.96652662931028366</v>
      </c>
      <c r="AO38" s="96">
        <f t="shared" si="17"/>
        <v>9.1736652177590457E-4</v>
      </c>
      <c r="AP38" s="95">
        <f t="shared" si="18"/>
        <v>5.4622323881347076E-3</v>
      </c>
      <c r="AQ38" s="93">
        <f t="shared" si="19"/>
        <v>0.1448711037314652</v>
      </c>
      <c r="AR38" s="31">
        <v>1.5</v>
      </c>
      <c r="AS38" s="31">
        <v>1.5</v>
      </c>
      <c r="AT38" s="31">
        <v>7</v>
      </c>
      <c r="AU38" s="43">
        <v>7.0999999999999994E-2</v>
      </c>
      <c r="AV38" s="44">
        <v>0.28000000000000003</v>
      </c>
      <c r="AW38" s="43">
        <v>1.7999999999999999E-2</v>
      </c>
      <c r="AX38" s="44">
        <v>0.13</v>
      </c>
      <c r="AY38" s="40">
        <v>7.081758249007474</v>
      </c>
      <c r="AZ38" s="41">
        <v>0.5</v>
      </c>
      <c r="BA38" s="40">
        <v>0.72</v>
      </c>
      <c r="BB38" s="45">
        <v>1</v>
      </c>
      <c r="BC38" s="41">
        <v>3.3197225366043677</v>
      </c>
      <c r="BD38" s="41">
        <v>24.127673726603245</v>
      </c>
      <c r="BE38" s="41">
        <v>72.552603736792392</v>
      </c>
      <c r="BF38" s="125">
        <v>1</v>
      </c>
      <c r="BG38" s="48">
        <f t="shared" si="42"/>
        <v>4.10666191750761E-3</v>
      </c>
      <c r="BH38" s="48">
        <f t="shared" si="43"/>
        <v>4.10666191750761E-3</v>
      </c>
      <c r="BI38" s="99">
        <f t="shared" si="44"/>
        <v>1.3632978117764921E-4</v>
      </c>
      <c r="BJ38" s="99">
        <f t="shared" si="45"/>
        <v>9.9084198851090454E-4</v>
      </c>
      <c r="BK38" s="48">
        <f t="shared" si="46"/>
        <v>2.979490147819056E-3</v>
      </c>
      <c r="BL38" s="99">
        <f t="shared" si="20"/>
        <v>1.9238352196370134E-4</v>
      </c>
      <c r="BM38" s="48">
        <f t="shared" si="21"/>
        <v>1.012051664738391E-3</v>
      </c>
      <c r="BN38" s="48">
        <f t="shared" si="22"/>
        <v>1.4862629827663569E-3</v>
      </c>
      <c r="BO38" s="48">
        <f t="shared" si="23"/>
        <v>4.4692352217285836E-3</v>
      </c>
      <c r="BP38" s="99">
        <f t="shared" si="24"/>
        <v>2.8857528294555203E-4</v>
      </c>
      <c r="BQ38" s="48">
        <f t="shared" si="25"/>
        <v>1.5180774971075867E-3</v>
      </c>
      <c r="BR38" s="40">
        <f t="shared" si="26"/>
        <v>0.27447396263207607</v>
      </c>
      <c r="BS38" s="31">
        <v>1.5</v>
      </c>
      <c r="BT38" s="31">
        <v>1.5</v>
      </c>
      <c r="BU38" s="43">
        <v>0.125</v>
      </c>
      <c r="BV38" s="44">
        <v>0.42</v>
      </c>
      <c r="BW38" s="43">
        <v>2.3E-2</v>
      </c>
      <c r="BX38" s="44">
        <v>0.2</v>
      </c>
      <c r="BY38" s="40">
        <v>17.493153787299189</v>
      </c>
      <c r="BZ38" s="40">
        <v>0.52</v>
      </c>
      <c r="CA38" s="40">
        <v>0.65</v>
      </c>
      <c r="CB38" s="45">
        <v>1</v>
      </c>
      <c r="CC38" s="41">
        <v>0.82393172144641669</v>
      </c>
      <c r="CD38" s="41">
        <v>23.031994076959833</v>
      </c>
      <c r="CE38" s="41">
        <v>76.144074201593753</v>
      </c>
      <c r="CF38" s="125">
        <v>1</v>
      </c>
      <c r="CG38" s="40">
        <f t="shared" si="47"/>
        <v>2.2978858060757872E-2</v>
      </c>
      <c r="CH38" s="40">
        <f t="shared" si="48"/>
        <v>2.2978858060757872E-2</v>
      </c>
      <c r="CI38" s="99">
        <f t="shared" si="49"/>
        <v>1.8933010078873102E-4</v>
      </c>
      <c r="CJ38" s="100">
        <f t="shared" si="50"/>
        <v>5.29248922750676E-3</v>
      </c>
      <c r="CK38" s="100">
        <f t="shared" si="51"/>
        <v>1.7497038732462382E-2</v>
      </c>
      <c r="CL38" s="101">
        <f t="shared" si="27"/>
        <v>8.9668673613238611E-4</v>
      </c>
      <c r="CM38" s="100">
        <f t="shared" si="28"/>
        <v>4.6886266085969935E-3</v>
      </c>
      <c r="CN38" s="100">
        <f t="shared" si="29"/>
        <v>7.9387338412601396E-3</v>
      </c>
      <c r="CO38" s="100">
        <f t="shared" si="30"/>
        <v>2.6245558098693573E-2</v>
      </c>
      <c r="CP38" s="101">
        <f t="shared" si="31"/>
        <v>1.3450301041985791E-3</v>
      </c>
      <c r="CQ38" s="100">
        <f t="shared" si="32"/>
        <v>7.0329399128954903E-3</v>
      </c>
      <c r="CR38" s="99">
        <f t="shared" si="33"/>
        <v>0.23855925798406249</v>
      </c>
      <c r="CS38" s="31">
        <v>1.5</v>
      </c>
      <c r="CT38" s="31">
        <v>1.5</v>
      </c>
      <c r="CU38" s="43">
        <v>0.1</v>
      </c>
      <c r="CV38" s="44">
        <v>0.39</v>
      </c>
      <c r="CW38" s="43">
        <v>2.1000000000000001E-2</v>
      </c>
      <c r="CX38" s="44">
        <v>0.15</v>
      </c>
      <c r="CY38" s="124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</row>
    <row r="39" spans="1:196" s="23" customFormat="1" x14ac:dyDescent="0.25">
      <c r="A39" s="31">
        <v>25</v>
      </c>
      <c r="B39" s="83">
        <v>3</v>
      </c>
      <c r="C39" s="31">
        <v>50</v>
      </c>
      <c r="D39" s="31" t="s">
        <v>36</v>
      </c>
      <c r="E39" s="31" t="s">
        <v>4</v>
      </c>
      <c r="F39" s="31" t="s">
        <v>13</v>
      </c>
      <c r="G39" s="31" t="str">
        <f t="shared" si="34"/>
        <v>Kommunal 50 C 3 B</v>
      </c>
      <c r="H39" s="48">
        <f t="shared" si="0"/>
        <v>4.5689320617586841E-2</v>
      </c>
      <c r="I39" s="40">
        <f t="shared" si="1"/>
        <v>5.1451737523902884E-2</v>
      </c>
      <c r="J39" s="99">
        <f t="shared" si="2"/>
        <v>5.2428183416642954E-4</v>
      </c>
      <c r="K39" s="48">
        <f t="shared" si="3"/>
        <v>9.6146700934150991E-3</v>
      </c>
      <c r="L39" s="48">
        <f t="shared" si="4"/>
        <v>4.1312785596321358E-2</v>
      </c>
      <c r="M39" s="48">
        <f t="shared" si="35"/>
        <v>0.13807523275861194</v>
      </c>
      <c r="N39" s="99">
        <f t="shared" si="5"/>
        <v>1.700647939280024E-3</v>
      </c>
      <c r="O39" s="48">
        <f t="shared" si="6"/>
        <v>9.3421665320918557E-3</v>
      </c>
      <c r="P39" s="48">
        <f t="shared" si="7"/>
        <v>1.4422005140122648E-2</v>
      </c>
      <c r="Q39" s="48">
        <f t="shared" si="8"/>
        <v>6.196917839448203E-2</v>
      </c>
      <c r="R39" s="40">
        <f t="shared" si="36"/>
        <v>0.96652662931028366</v>
      </c>
      <c r="S39" s="99">
        <f t="shared" si="9"/>
        <v>2.5509719089200356E-3</v>
      </c>
      <c r="T39" s="48">
        <f t="shared" si="10"/>
        <v>1.4013249798137783E-2</v>
      </c>
      <c r="U39" s="40">
        <v>0.28155600000000008</v>
      </c>
      <c r="V39" s="40">
        <v>1.45</v>
      </c>
      <c r="W39" s="41">
        <v>0.5</v>
      </c>
      <c r="X39" s="40">
        <v>1.3097440688617403</v>
      </c>
      <c r="Y39" s="42">
        <v>0.81515299544557829</v>
      </c>
      <c r="Z39" s="42">
        <v>13.671957377700943</v>
      </c>
      <c r="AA39" s="42">
        <v>85.512889626853479</v>
      </c>
      <c r="AB39" s="42">
        <v>5.6666666666666661</v>
      </c>
      <c r="AC39" s="125">
        <v>1</v>
      </c>
      <c r="AD39" s="94">
        <f t="shared" si="37"/>
        <v>1.860380063932136E-2</v>
      </c>
      <c r="AE39" s="94">
        <f t="shared" si="38"/>
        <v>2.4366217545637402E-2</v>
      </c>
      <c r="AF39" s="96">
        <f t="shared" si="11"/>
        <v>1.9862195220004934E-4</v>
      </c>
      <c r="AG39" s="95">
        <f t="shared" si="52"/>
        <v>3.3313388773974343E-3</v>
      </c>
      <c r="AH39" s="94">
        <f t="shared" si="39"/>
        <v>2.0836256716039919E-2</v>
      </c>
      <c r="AI39" s="94">
        <f t="shared" si="40"/>
        <v>0.13807523275861194</v>
      </c>
      <c r="AJ39" s="96">
        <f t="shared" si="41"/>
        <v>6.1157768118393638E-4</v>
      </c>
      <c r="AK39" s="95">
        <f t="shared" si="13"/>
        <v>3.6414882587564711E-3</v>
      </c>
      <c r="AL39" s="95">
        <f t="shared" si="14"/>
        <v>4.9970083160961517E-3</v>
      </c>
      <c r="AM39" s="94">
        <f t="shared" si="15"/>
        <v>3.1254385074059879E-2</v>
      </c>
      <c r="AN39" s="93">
        <f t="shared" si="16"/>
        <v>0.96652662931028366</v>
      </c>
      <c r="AO39" s="96">
        <f t="shared" si="17"/>
        <v>9.1736652177590457E-4</v>
      </c>
      <c r="AP39" s="95">
        <f t="shared" si="18"/>
        <v>5.4622323881347076E-3</v>
      </c>
      <c r="AQ39" s="93">
        <f t="shared" si="19"/>
        <v>0.1448711037314652</v>
      </c>
      <c r="AR39" s="31">
        <v>1.5</v>
      </c>
      <c r="AS39" s="31">
        <v>1.5</v>
      </c>
      <c r="AT39" s="31">
        <v>7</v>
      </c>
      <c r="AU39" s="43">
        <v>7.0999999999999994E-2</v>
      </c>
      <c r="AV39" s="44">
        <v>0.28000000000000003</v>
      </c>
      <c r="AW39" s="43">
        <v>1.7999999999999999E-2</v>
      </c>
      <c r="AX39" s="44">
        <v>0.13</v>
      </c>
      <c r="AY39" s="40">
        <v>7.081758249007474</v>
      </c>
      <c r="AZ39" s="41">
        <v>0.5</v>
      </c>
      <c r="BA39" s="40">
        <v>0.72</v>
      </c>
      <c r="BB39" s="45">
        <v>1</v>
      </c>
      <c r="BC39" s="41">
        <v>3.3197225366043677</v>
      </c>
      <c r="BD39" s="41">
        <v>24.127673726603245</v>
      </c>
      <c r="BE39" s="41">
        <v>72.552603736792392</v>
      </c>
      <c r="BF39" s="125">
        <v>1</v>
      </c>
      <c r="BG39" s="48">
        <f t="shared" si="42"/>
        <v>4.10666191750761E-3</v>
      </c>
      <c r="BH39" s="48">
        <f t="shared" si="43"/>
        <v>4.10666191750761E-3</v>
      </c>
      <c r="BI39" s="99">
        <f t="shared" si="44"/>
        <v>1.3632978117764921E-4</v>
      </c>
      <c r="BJ39" s="99">
        <f t="shared" si="45"/>
        <v>9.9084198851090454E-4</v>
      </c>
      <c r="BK39" s="48">
        <f t="shared" si="46"/>
        <v>2.979490147819056E-3</v>
      </c>
      <c r="BL39" s="99">
        <f t="shared" si="20"/>
        <v>1.9238352196370134E-4</v>
      </c>
      <c r="BM39" s="48">
        <f t="shared" si="21"/>
        <v>1.012051664738391E-3</v>
      </c>
      <c r="BN39" s="48">
        <f t="shared" si="22"/>
        <v>1.4862629827663569E-3</v>
      </c>
      <c r="BO39" s="48">
        <f t="shared" si="23"/>
        <v>4.4692352217285836E-3</v>
      </c>
      <c r="BP39" s="99">
        <f t="shared" si="24"/>
        <v>2.8857528294555203E-4</v>
      </c>
      <c r="BQ39" s="48">
        <f t="shared" si="25"/>
        <v>1.5180774971075867E-3</v>
      </c>
      <c r="BR39" s="40">
        <f t="shared" si="26"/>
        <v>0.27447396263207607</v>
      </c>
      <c r="BS39" s="31">
        <v>1.5</v>
      </c>
      <c r="BT39" s="31">
        <v>1.5</v>
      </c>
      <c r="BU39" s="43">
        <v>0.125</v>
      </c>
      <c r="BV39" s="44">
        <v>0.42</v>
      </c>
      <c r="BW39" s="43">
        <v>2.3E-2</v>
      </c>
      <c r="BX39" s="44">
        <v>0.2</v>
      </c>
      <c r="BY39" s="40">
        <v>17.493153787299189</v>
      </c>
      <c r="BZ39" s="40">
        <v>0.52</v>
      </c>
      <c r="CA39" s="40">
        <v>0.65</v>
      </c>
      <c r="CB39" s="45">
        <v>1</v>
      </c>
      <c r="CC39" s="41">
        <v>0.82393172144641669</v>
      </c>
      <c r="CD39" s="41">
        <v>23.031994076959833</v>
      </c>
      <c r="CE39" s="41">
        <v>76.144074201593753</v>
      </c>
      <c r="CF39" s="125">
        <v>1</v>
      </c>
      <c r="CG39" s="40">
        <f t="shared" si="47"/>
        <v>2.2978858060757872E-2</v>
      </c>
      <c r="CH39" s="40">
        <f t="shared" si="48"/>
        <v>2.2978858060757872E-2</v>
      </c>
      <c r="CI39" s="99">
        <f t="shared" si="49"/>
        <v>1.8933010078873102E-4</v>
      </c>
      <c r="CJ39" s="100">
        <f t="shared" si="50"/>
        <v>5.29248922750676E-3</v>
      </c>
      <c r="CK39" s="100">
        <f t="shared" si="51"/>
        <v>1.7497038732462382E-2</v>
      </c>
      <c r="CL39" s="101">
        <f t="shared" si="27"/>
        <v>8.9668673613238611E-4</v>
      </c>
      <c r="CM39" s="100">
        <f t="shared" si="28"/>
        <v>4.6886266085969935E-3</v>
      </c>
      <c r="CN39" s="100">
        <f t="shared" si="29"/>
        <v>7.9387338412601396E-3</v>
      </c>
      <c r="CO39" s="100">
        <f t="shared" si="30"/>
        <v>2.6245558098693573E-2</v>
      </c>
      <c r="CP39" s="101">
        <f t="shared" si="31"/>
        <v>1.3450301041985791E-3</v>
      </c>
      <c r="CQ39" s="100">
        <f t="shared" si="32"/>
        <v>7.0329399128954903E-3</v>
      </c>
      <c r="CR39" s="99">
        <f t="shared" si="33"/>
        <v>0.23855925798406249</v>
      </c>
      <c r="CS39" s="31">
        <v>1.5</v>
      </c>
      <c r="CT39" s="31">
        <v>1.5</v>
      </c>
      <c r="CU39" s="43">
        <v>0.1</v>
      </c>
      <c r="CV39" s="44">
        <v>0.39</v>
      </c>
      <c r="CW39" s="43">
        <v>2.1000000000000001E-2</v>
      </c>
      <c r="CX39" s="44">
        <v>0.15</v>
      </c>
      <c r="CY39" s="124"/>
    </row>
    <row r="40" spans="1:196" s="23" customFormat="1" x14ac:dyDescent="0.25">
      <c r="A40" s="31">
        <v>26</v>
      </c>
      <c r="B40" s="83">
        <v>3</v>
      </c>
      <c r="C40" s="31">
        <v>50</v>
      </c>
      <c r="D40" s="31" t="s">
        <v>36</v>
      </c>
      <c r="E40" s="31" t="s">
        <v>4</v>
      </c>
      <c r="F40" s="31" t="s">
        <v>70</v>
      </c>
      <c r="G40" s="31" t="str">
        <f t="shared" si="34"/>
        <v>Kommunal 50 C 3 Ck</v>
      </c>
      <c r="H40" s="48">
        <f t="shared" si="0"/>
        <v>4.3828940553654702E-2</v>
      </c>
      <c r="I40" s="40">
        <f t="shared" si="1"/>
        <v>4.9015115769339153E-2</v>
      </c>
      <c r="J40" s="99">
        <f t="shared" si="2"/>
        <v>5.0441963894642472E-4</v>
      </c>
      <c r="K40" s="48">
        <f t="shared" si="3"/>
        <v>9.2815362056753569E-3</v>
      </c>
      <c r="L40" s="48">
        <f t="shared" si="4"/>
        <v>3.9229159924717372E-2</v>
      </c>
      <c r="M40" s="48">
        <f t="shared" si="35"/>
        <v>0.12426770948275079</v>
      </c>
      <c r="N40" s="99">
        <f t="shared" si="5"/>
        <v>1.6394901711616304E-3</v>
      </c>
      <c r="O40" s="48">
        <f t="shared" si="6"/>
        <v>8.9780177062162101E-3</v>
      </c>
      <c r="P40" s="48">
        <f t="shared" si="7"/>
        <v>1.3922304308513034E-2</v>
      </c>
      <c r="Q40" s="48">
        <f t="shared" si="8"/>
        <v>5.8843739887076058E-2</v>
      </c>
      <c r="R40" s="40">
        <f t="shared" si="36"/>
        <v>0.86987396637925551</v>
      </c>
      <c r="S40" s="99">
        <f t="shared" si="9"/>
        <v>2.4592352567424456E-3</v>
      </c>
      <c r="T40" s="48">
        <f t="shared" si="10"/>
        <v>1.3467026559324314E-2</v>
      </c>
      <c r="U40" s="40">
        <v>0.25340040000000008</v>
      </c>
      <c r="V40" s="40">
        <v>1.45</v>
      </c>
      <c r="W40" s="41">
        <v>0.5</v>
      </c>
      <c r="X40" s="40">
        <v>1.3097440688617408</v>
      </c>
      <c r="Y40" s="42">
        <v>0.81515299544557829</v>
      </c>
      <c r="Z40" s="42">
        <v>13.671957377700943</v>
      </c>
      <c r="AA40" s="42">
        <v>85.512889626853479</v>
      </c>
      <c r="AB40" s="42">
        <v>5.6666666666666661</v>
      </c>
      <c r="AC40" s="125">
        <v>1</v>
      </c>
      <c r="AD40" s="94">
        <f t="shared" si="37"/>
        <v>1.6743420575389224E-2</v>
      </c>
      <c r="AE40" s="94">
        <f t="shared" si="38"/>
        <v>2.1929595791073671E-2</v>
      </c>
      <c r="AF40" s="96">
        <f t="shared" si="11"/>
        <v>1.7875975698004447E-4</v>
      </c>
      <c r="AG40" s="95">
        <f t="shared" si="52"/>
        <v>2.9982049896576921E-3</v>
      </c>
      <c r="AH40" s="94">
        <f t="shared" si="39"/>
        <v>1.8752631044435933E-2</v>
      </c>
      <c r="AI40" s="94">
        <f t="shared" si="40"/>
        <v>0.12426770948275079</v>
      </c>
      <c r="AJ40" s="96">
        <f t="shared" si="41"/>
        <v>5.504199130655429E-4</v>
      </c>
      <c r="AK40" s="95">
        <f t="shared" si="13"/>
        <v>3.2773394328808256E-3</v>
      </c>
      <c r="AL40" s="95">
        <f t="shared" si="14"/>
        <v>4.4973074844865384E-3</v>
      </c>
      <c r="AM40" s="94">
        <f t="shared" si="15"/>
        <v>2.8128946566653899E-2</v>
      </c>
      <c r="AN40" s="93">
        <f t="shared" si="16"/>
        <v>0.86987396637925551</v>
      </c>
      <c r="AO40" s="96">
        <f t="shared" si="17"/>
        <v>8.256298695983144E-4</v>
      </c>
      <c r="AP40" s="95">
        <f t="shared" si="18"/>
        <v>4.9160091493212375E-3</v>
      </c>
      <c r="AQ40" s="93">
        <f t="shared" si="19"/>
        <v>0.1448711037314652</v>
      </c>
      <c r="AR40" s="31">
        <v>1.5</v>
      </c>
      <c r="AS40" s="31">
        <v>1.5</v>
      </c>
      <c r="AT40" s="31">
        <v>7</v>
      </c>
      <c r="AU40" s="43">
        <v>7.0999999999999994E-2</v>
      </c>
      <c r="AV40" s="44">
        <v>0.28000000000000003</v>
      </c>
      <c r="AW40" s="43">
        <v>1.7999999999999999E-2</v>
      </c>
      <c r="AX40" s="44">
        <v>0.13</v>
      </c>
      <c r="AY40" s="40">
        <v>7.081758249007474</v>
      </c>
      <c r="AZ40" s="41">
        <v>0.5</v>
      </c>
      <c r="BA40" s="40">
        <v>0.72</v>
      </c>
      <c r="BB40" s="45">
        <v>1</v>
      </c>
      <c r="BC40" s="41">
        <v>3.3197225366043677</v>
      </c>
      <c r="BD40" s="41">
        <v>24.127673726603245</v>
      </c>
      <c r="BE40" s="41">
        <v>72.552603736792392</v>
      </c>
      <c r="BF40" s="125">
        <v>1</v>
      </c>
      <c r="BG40" s="48">
        <f t="shared" si="42"/>
        <v>4.10666191750761E-3</v>
      </c>
      <c r="BH40" s="48">
        <f t="shared" si="43"/>
        <v>4.10666191750761E-3</v>
      </c>
      <c r="BI40" s="99">
        <f t="shared" si="44"/>
        <v>1.3632978117764921E-4</v>
      </c>
      <c r="BJ40" s="99">
        <f t="shared" si="45"/>
        <v>9.9084198851090454E-4</v>
      </c>
      <c r="BK40" s="48">
        <f t="shared" si="46"/>
        <v>2.979490147819056E-3</v>
      </c>
      <c r="BL40" s="99">
        <f t="shared" si="20"/>
        <v>1.9238352196370134E-4</v>
      </c>
      <c r="BM40" s="48">
        <f t="shared" si="21"/>
        <v>1.012051664738391E-3</v>
      </c>
      <c r="BN40" s="48">
        <f t="shared" si="22"/>
        <v>1.4862629827663569E-3</v>
      </c>
      <c r="BO40" s="48">
        <f t="shared" si="23"/>
        <v>4.4692352217285836E-3</v>
      </c>
      <c r="BP40" s="99">
        <f t="shared" si="24"/>
        <v>2.8857528294555203E-4</v>
      </c>
      <c r="BQ40" s="48">
        <f t="shared" si="25"/>
        <v>1.5180774971075867E-3</v>
      </c>
      <c r="BR40" s="40">
        <f t="shared" si="26"/>
        <v>0.27447396263207607</v>
      </c>
      <c r="BS40" s="31">
        <v>1.5</v>
      </c>
      <c r="BT40" s="31">
        <v>1.5</v>
      </c>
      <c r="BU40" s="43">
        <v>0.125</v>
      </c>
      <c r="BV40" s="44">
        <v>0.42</v>
      </c>
      <c r="BW40" s="43">
        <v>2.3E-2</v>
      </c>
      <c r="BX40" s="44">
        <v>0.2</v>
      </c>
      <c r="BY40" s="40">
        <v>17.493153787299189</v>
      </c>
      <c r="BZ40" s="40">
        <v>0.52</v>
      </c>
      <c r="CA40" s="40">
        <v>0.65</v>
      </c>
      <c r="CB40" s="45">
        <v>1</v>
      </c>
      <c r="CC40" s="41">
        <v>0.82393172144641669</v>
      </c>
      <c r="CD40" s="41">
        <v>23.031994076959833</v>
      </c>
      <c r="CE40" s="41">
        <v>76.144074201593753</v>
      </c>
      <c r="CF40" s="125">
        <v>1</v>
      </c>
      <c r="CG40" s="40">
        <f t="shared" si="47"/>
        <v>2.2978858060757872E-2</v>
      </c>
      <c r="CH40" s="40">
        <f t="shared" si="48"/>
        <v>2.2978858060757872E-2</v>
      </c>
      <c r="CI40" s="99">
        <f t="shared" si="49"/>
        <v>1.8933010078873102E-4</v>
      </c>
      <c r="CJ40" s="100">
        <f t="shared" si="50"/>
        <v>5.29248922750676E-3</v>
      </c>
      <c r="CK40" s="100">
        <f t="shared" si="51"/>
        <v>1.7497038732462382E-2</v>
      </c>
      <c r="CL40" s="101">
        <f t="shared" si="27"/>
        <v>8.9668673613238611E-4</v>
      </c>
      <c r="CM40" s="100">
        <f t="shared" si="28"/>
        <v>4.6886266085969935E-3</v>
      </c>
      <c r="CN40" s="100">
        <f t="shared" si="29"/>
        <v>7.9387338412601396E-3</v>
      </c>
      <c r="CO40" s="100">
        <f t="shared" si="30"/>
        <v>2.6245558098693573E-2</v>
      </c>
      <c r="CP40" s="101">
        <f t="shared" si="31"/>
        <v>1.3450301041985791E-3</v>
      </c>
      <c r="CQ40" s="100">
        <f t="shared" si="32"/>
        <v>7.0329399128954903E-3</v>
      </c>
      <c r="CR40" s="99">
        <f t="shared" si="33"/>
        <v>0.23855925798406249</v>
      </c>
      <c r="CS40" s="31">
        <v>1.5</v>
      </c>
      <c r="CT40" s="31">
        <v>1.5</v>
      </c>
      <c r="CU40" s="43">
        <v>0.1</v>
      </c>
      <c r="CV40" s="44">
        <v>0.39</v>
      </c>
      <c r="CW40" s="43">
        <v>2.1000000000000001E-2</v>
      </c>
      <c r="CX40" s="44">
        <v>0.15</v>
      </c>
      <c r="CY40" s="124"/>
    </row>
    <row r="41" spans="1:196" s="23" customFormat="1" x14ac:dyDescent="0.25">
      <c r="A41" s="31">
        <v>27</v>
      </c>
      <c r="B41" s="83">
        <v>3</v>
      </c>
      <c r="C41" s="31">
        <v>50</v>
      </c>
      <c r="D41" s="31" t="s">
        <v>36</v>
      </c>
      <c r="E41" s="31" t="s">
        <v>4</v>
      </c>
      <c r="F41" s="31" t="s">
        <v>71</v>
      </c>
      <c r="G41" s="31" t="str">
        <f t="shared" si="34"/>
        <v>Kommunal 50 C 3 Cm</v>
      </c>
      <c r="H41" s="48">
        <f t="shared" si="0"/>
        <v>4.3828940553654702E-2</v>
      </c>
      <c r="I41" s="40">
        <f t="shared" si="1"/>
        <v>4.9015115769339153E-2</v>
      </c>
      <c r="J41" s="99">
        <f t="shared" si="2"/>
        <v>5.0441963894642472E-4</v>
      </c>
      <c r="K41" s="48">
        <f t="shared" si="3"/>
        <v>9.2815362056753569E-3</v>
      </c>
      <c r="L41" s="48">
        <f t="shared" si="4"/>
        <v>3.9229159924717372E-2</v>
      </c>
      <c r="M41" s="48">
        <f t="shared" si="35"/>
        <v>0.12426770948275079</v>
      </c>
      <c r="N41" s="99">
        <f t="shared" si="5"/>
        <v>1.6394901711616304E-3</v>
      </c>
      <c r="O41" s="48">
        <f t="shared" si="6"/>
        <v>8.9780177062162101E-3</v>
      </c>
      <c r="P41" s="48">
        <f t="shared" si="7"/>
        <v>1.3922304308513034E-2</v>
      </c>
      <c r="Q41" s="48">
        <f t="shared" si="8"/>
        <v>5.8843739887076058E-2</v>
      </c>
      <c r="R41" s="40">
        <f t="shared" si="36"/>
        <v>0.86987396637925551</v>
      </c>
      <c r="S41" s="99">
        <f t="shared" si="9"/>
        <v>2.4592352567424456E-3</v>
      </c>
      <c r="T41" s="48">
        <f t="shared" si="10"/>
        <v>1.3467026559324314E-2</v>
      </c>
      <c r="U41" s="40">
        <v>0.25340040000000008</v>
      </c>
      <c r="V41" s="40">
        <v>1.45</v>
      </c>
      <c r="W41" s="41">
        <v>0.5</v>
      </c>
      <c r="X41" s="40">
        <v>1.3097440688617408</v>
      </c>
      <c r="Y41" s="42">
        <v>0.81515299544557829</v>
      </c>
      <c r="Z41" s="42">
        <v>13.671957377700943</v>
      </c>
      <c r="AA41" s="42">
        <v>85.512889626853479</v>
      </c>
      <c r="AB41" s="42">
        <v>5.6666666666666661</v>
      </c>
      <c r="AC41" s="125">
        <v>1</v>
      </c>
      <c r="AD41" s="94">
        <f t="shared" si="37"/>
        <v>1.6743420575389224E-2</v>
      </c>
      <c r="AE41" s="94">
        <f t="shared" si="38"/>
        <v>2.1929595791073671E-2</v>
      </c>
      <c r="AF41" s="96">
        <f t="shared" si="11"/>
        <v>1.7875975698004447E-4</v>
      </c>
      <c r="AG41" s="95">
        <f t="shared" si="52"/>
        <v>2.9982049896576921E-3</v>
      </c>
      <c r="AH41" s="94">
        <f t="shared" si="39"/>
        <v>1.8752631044435933E-2</v>
      </c>
      <c r="AI41" s="94">
        <f t="shared" si="40"/>
        <v>0.12426770948275079</v>
      </c>
      <c r="AJ41" s="96">
        <f t="shared" si="41"/>
        <v>5.504199130655429E-4</v>
      </c>
      <c r="AK41" s="95">
        <f t="shared" si="13"/>
        <v>3.2773394328808256E-3</v>
      </c>
      <c r="AL41" s="95">
        <f t="shared" si="14"/>
        <v>4.4973074844865384E-3</v>
      </c>
      <c r="AM41" s="94">
        <f t="shared" si="15"/>
        <v>2.8128946566653899E-2</v>
      </c>
      <c r="AN41" s="93">
        <f t="shared" si="16"/>
        <v>0.86987396637925551</v>
      </c>
      <c r="AO41" s="96">
        <f t="shared" si="17"/>
        <v>8.256298695983144E-4</v>
      </c>
      <c r="AP41" s="95">
        <f t="shared" si="18"/>
        <v>4.9160091493212375E-3</v>
      </c>
      <c r="AQ41" s="93">
        <f t="shared" si="19"/>
        <v>0.1448711037314652</v>
      </c>
      <c r="AR41" s="31">
        <v>1.5</v>
      </c>
      <c r="AS41" s="31">
        <v>1.5</v>
      </c>
      <c r="AT41" s="31">
        <v>7</v>
      </c>
      <c r="AU41" s="43">
        <v>7.0999999999999994E-2</v>
      </c>
      <c r="AV41" s="44">
        <v>0.28000000000000003</v>
      </c>
      <c r="AW41" s="43">
        <v>1.7999999999999999E-2</v>
      </c>
      <c r="AX41" s="44">
        <v>0.13</v>
      </c>
      <c r="AY41" s="40">
        <v>7.081758249007474</v>
      </c>
      <c r="AZ41" s="41">
        <v>0.5</v>
      </c>
      <c r="BA41" s="40">
        <v>0.72</v>
      </c>
      <c r="BB41" s="45">
        <v>1</v>
      </c>
      <c r="BC41" s="41">
        <v>3.3197225366043677</v>
      </c>
      <c r="BD41" s="41">
        <v>24.127673726603245</v>
      </c>
      <c r="BE41" s="41">
        <v>72.552603736792392</v>
      </c>
      <c r="BF41" s="125">
        <v>1</v>
      </c>
      <c r="BG41" s="48">
        <f t="shared" si="42"/>
        <v>4.10666191750761E-3</v>
      </c>
      <c r="BH41" s="48">
        <f t="shared" si="43"/>
        <v>4.10666191750761E-3</v>
      </c>
      <c r="BI41" s="99">
        <f t="shared" si="44"/>
        <v>1.3632978117764921E-4</v>
      </c>
      <c r="BJ41" s="99">
        <f t="shared" si="45"/>
        <v>9.9084198851090454E-4</v>
      </c>
      <c r="BK41" s="48">
        <f t="shared" si="46"/>
        <v>2.979490147819056E-3</v>
      </c>
      <c r="BL41" s="99">
        <f t="shared" si="20"/>
        <v>1.9238352196370134E-4</v>
      </c>
      <c r="BM41" s="48">
        <f t="shared" si="21"/>
        <v>1.012051664738391E-3</v>
      </c>
      <c r="BN41" s="48">
        <f t="shared" si="22"/>
        <v>1.4862629827663569E-3</v>
      </c>
      <c r="BO41" s="48">
        <f t="shared" si="23"/>
        <v>4.4692352217285836E-3</v>
      </c>
      <c r="BP41" s="99">
        <f t="shared" si="24"/>
        <v>2.8857528294555203E-4</v>
      </c>
      <c r="BQ41" s="48">
        <f t="shared" si="25"/>
        <v>1.5180774971075867E-3</v>
      </c>
      <c r="BR41" s="40">
        <f t="shared" si="26"/>
        <v>0.27447396263207607</v>
      </c>
      <c r="BS41" s="31">
        <v>1.5</v>
      </c>
      <c r="BT41" s="31">
        <v>1.5</v>
      </c>
      <c r="BU41" s="43">
        <v>0.125</v>
      </c>
      <c r="BV41" s="44">
        <v>0.42</v>
      </c>
      <c r="BW41" s="43">
        <v>2.3E-2</v>
      </c>
      <c r="BX41" s="44">
        <v>0.2</v>
      </c>
      <c r="BY41" s="40">
        <v>17.493153787299189</v>
      </c>
      <c r="BZ41" s="40">
        <v>0.52</v>
      </c>
      <c r="CA41" s="40">
        <v>0.65</v>
      </c>
      <c r="CB41" s="45">
        <v>1</v>
      </c>
      <c r="CC41" s="41">
        <v>0.82393172144641669</v>
      </c>
      <c r="CD41" s="41">
        <v>23.031994076959833</v>
      </c>
      <c r="CE41" s="41">
        <v>76.144074201593753</v>
      </c>
      <c r="CF41" s="125">
        <v>1</v>
      </c>
      <c r="CG41" s="40">
        <f t="shared" si="47"/>
        <v>2.2978858060757872E-2</v>
      </c>
      <c r="CH41" s="40">
        <f t="shared" si="48"/>
        <v>2.2978858060757872E-2</v>
      </c>
      <c r="CI41" s="99">
        <f t="shared" si="49"/>
        <v>1.8933010078873102E-4</v>
      </c>
      <c r="CJ41" s="100">
        <f t="shared" si="50"/>
        <v>5.29248922750676E-3</v>
      </c>
      <c r="CK41" s="100">
        <f t="shared" si="51"/>
        <v>1.7497038732462382E-2</v>
      </c>
      <c r="CL41" s="101">
        <f t="shared" si="27"/>
        <v>8.9668673613238611E-4</v>
      </c>
      <c r="CM41" s="100">
        <f t="shared" si="28"/>
        <v>4.6886266085969935E-3</v>
      </c>
      <c r="CN41" s="100">
        <f t="shared" si="29"/>
        <v>7.9387338412601396E-3</v>
      </c>
      <c r="CO41" s="100">
        <f t="shared" si="30"/>
        <v>2.6245558098693573E-2</v>
      </c>
      <c r="CP41" s="101">
        <f t="shared" si="31"/>
        <v>1.3450301041985791E-3</v>
      </c>
      <c r="CQ41" s="100">
        <f t="shared" si="32"/>
        <v>7.0329399128954903E-3</v>
      </c>
      <c r="CR41" s="99">
        <f t="shared" si="33"/>
        <v>0.23855925798406249</v>
      </c>
      <c r="CS41" s="31">
        <v>1.5</v>
      </c>
      <c r="CT41" s="31">
        <v>1.5</v>
      </c>
      <c r="CU41" s="43">
        <v>0.1</v>
      </c>
      <c r="CV41" s="44">
        <v>0.39</v>
      </c>
      <c r="CW41" s="43">
        <v>2.1000000000000001E-2</v>
      </c>
      <c r="CX41" s="44">
        <v>0.15</v>
      </c>
      <c r="CY41" s="124"/>
    </row>
    <row r="42" spans="1:196" s="23" customFormat="1" x14ac:dyDescent="0.25">
      <c r="A42" s="31">
        <v>28</v>
      </c>
      <c r="B42" s="83">
        <v>3</v>
      </c>
      <c r="C42" s="31">
        <v>50</v>
      </c>
      <c r="D42" s="31" t="s">
        <v>36</v>
      </c>
      <c r="E42" s="31" t="s">
        <v>4</v>
      </c>
      <c r="F42" s="31" t="s">
        <v>0</v>
      </c>
      <c r="G42" s="31" t="str">
        <f t="shared" si="34"/>
        <v>Kommunal 50 C 3 D</v>
      </c>
      <c r="H42" s="48">
        <f t="shared" si="0"/>
        <v>4.2100650638578666E-2</v>
      </c>
      <c r="I42" s="40">
        <f t="shared" si="1"/>
        <v>6.0033407724532528E-2</v>
      </c>
      <c r="J42" s="99">
        <f t="shared" si="2"/>
        <v>3.256598819663802E-4</v>
      </c>
      <c r="K42" s="48">
        <f t="shared" si="3"/>
        <v>9.8682967821166895E-3</v>
      </c>
      <c r="L42" s="48">
        <f t="shared" si="4"/>
        <v>4.9839451060449458E-2</v>
      </c>
      <c r="M42" s="48">
        <f t="shared" si="35"/>
        <v>0.33313975387892242</v>
      </c>
      <c r="N42" s="99">
        <f t="shared" si="5"/>
        <v>1.8721354125321426E-3</v>
      </c>
      <c r="O42" s="48">
        <f t="shared" si="6"/>
        <v>1.0521648515264954E-2</v>
      </c>
      <c r="P42" s="48">
        <f t="shared" si="7"/>
        <v>1.4802445173175032E-2</v>
      </c>
      <c r="Q42" s="48">
        <f t="shared" si="8"/>
        <v>7.4759176590674187E-2</v>
      </c>
      <c r="R42" s="40">
        <f t="shared" si="36"/>
        <v>2.3319782771524569</v>
      </c>
      <c r="S42" s="99">
        <f t="shared" si="9"/>
        <v>2.8082031187982139E-3</v>
      </c>
      <c r="T42" s="48">
        <f t="shared" si="10"/>
        <v>1.5782472772897432E-2</v>
      </c>
      <c r="U42" s="40">
        <v>0.62040329999999988</v>
      </c>
      <c r="V42" s="40">
        <v>1.2</v>
      </c>
      <c r="W42" s="45">
        <v>0</v>
      </c>
      <c r="X42" s="40">
        <v>2.1943124233578808</v>
      </c>
      <c r="Y42" s="42">
        <v>0</v>
      </c>
      <c r="Z42" s="42">
        <v>10.88071439877112</v>
      </c>
      <c r="AA42" s="42">
        <v>89.119285601228881</v>
      </c>
      <c r="AB42" s="42">
        <v>10.111111111111114</v>
      </c>
      <c r="AC42" s="125">
        <v>1</v>
      </c>
      <c r="AD42" s="94">
        <f t="shared" si="37"/>
        <v>1.5015130660313186E-2</v>
      </c>
      <c r="AE42" s="94">
        <f t="shared" si="38"/>
        <v>3.2947887746267043E-2</v>
      </c>
      <c r="AF42" s="96">
        <f t="shared" si="11"/>
        <v>0</v>
      </c>
      <c r="AG42" s="95">
        <f t="shared" si="52"/>
        <v>3.5849655660990238E-3</v>
      </c>
      <c r="AH42" s="94">
        <f t="shared" si="39"/>
        <v>2.9362922180168019E-2</v>
      </c>
      <c r="AI42" s="94">
        <f t="shared" si="40"/>
        <v>0.33313975387892242</v>
      </c>
      <c r="AJ42" s="96">
        <f t="shared" si="41"/>
        <v>7.8306515443605498E-4</v>
      </c>
      <c r="AK42" s="95">
        <f t="shared" si="13"/>
        <v>4.8209702419295692E-3</v>
      </c>
      <c r="AL42" s="95">
        <f t="shared" si="14"/>
        <v>5.3774483491485356E-3</v>
      </c>
      <c r="AM42" s="94">
        <f t="shared" si="15"/>
        <v>4.4044383270252029E-2</v>
      </c>
      <c r="AN42" s="93">
        <f t="shared" si="16"/>
        <v>2.3319782771524569</v>
      </c>
      <c r="AO42" s="96">
        <f t="shared" si="17"/>
        <v>1.1745977316540825E-3</v>
      </c>
      <c r="AP42" s="95">
        <f t="shared" si="18"/>
        <v>7.2314553628943538E-3</v>
      </c>
      <c r="AQ42" s="93">
        <f t="shared" si="19"/>
        <v>0.1088071439877112</v>
      </c>
      <c r="AR42" s="31">
        <v>1.5</v>
      </c>
      <c r="AS42" s="31">
        <v>1.5</v>
      </c>
      <c r="AT42" s="31">
        <v>7</v>
      </c>
      <c r="AU42" s="43">
        <v>7.0999999999999994E-2</v>
      </c>
      <c r="AV42" s="44">
        <v>0.28000000000000003</v>
      </c>
      <c r="AW42" s="43">
        <v>1.7999999999999999E-2</v>
      </c>
      <c r="AX42" s="44">
        <v>0.13</v>
      </c>
      <c r="AY42" s="40">
        <v>7.081758249007474</v>
      </c>
      <c r="AZ42" s="41">
        <v>0.5</v>
      </c>
      <c r="BA42" s="40">
        <v>0.72</v>
      </c>
      <c r="BB42" s="45">
        <v>1</v>
      </c>
      <c r="BC42" s="41">
        <v>3.3197225366043677</v>
      </c>
      <c r="BD42" s="41">
        <v>24.127673726603245</v>
      </c>
      <c r="BE42" s="41">
        <v>72.552603736792392</v>
      </c>
      <c r="BF42" s="125">
        <v>1</v>
      </c>
      <c r="BG42" s="48">
        <f t="shared" si="42"/>
        <v>4.10666191750761E-3</v>
      </c>
      <c r="BH42" s="48">
        <f t="shared" si="43"/>
        <v>4.10666191750761E-3</v>
      </c>
      <c r="BI42" s="99">
        <f t="shared" si="44"/>
        <v>1.3632978117764921E-4</v>
      </c>
      <c r="BJ42" s="99">
        <f t="shared" si="45"/>
        <v>9.9084198851090454E-4</v>
      </c>
      <c r="BK42" s="48">
        <f t="shared" si="46"/>
        <v>2.979490147819056E-3</v>
      </c>
      <c r="BL42" s="99">
        <f t="shared" si="20"/>
        <v>1.9238352196370134E-4</v>
      </c>
      <c r="BM42" s="48">
        <f t="shared" si="21"/>
        <v>1.012051664738391E-3</v>
      </c>
      <c r="BN42" s="48">
        <f t="shared" si="22"/>
        <v>1.4862629827663569E-3</v>
      </c>
      <c r="BO42" s="48">
        <f t="shared" si="23"/>
        <v>4.4692352217285836E-3</v>
      </c>
      <c r="BP42" s="99">
        <f t="shared" si="24"/>
        <v>2.8857528294555203E-4</v>
      </c>
      <c r="BQ42" s="48">
        <f t="shared" si="25"/>
        <v>1.5180774971075867E-3</v>
      </c>
      <c r="BR42" s="40">
        <f t="shared" si="26"/>
        <v>0.27447396263207607</v>
      </c>
      <c r="BS42" s="31">
        <v>1.5</v>
      </c>
      <c r="BT42" s="31">
        <v>1.5</v>
      </c>
      <c r="BU42" s="43">
        <v>0.125</v>
      </c>
      <c r="BV42" s="44">
        <v>0.42</v>
      </c>
      <c r="BW42" s="43">
        <v>2.3E-2</v>
      </c>
      <c r="BX42" s="44">
        <v>0.2</v>
      </c>
      <c r="BY42" s="40">
        <v>17.493153787299189</v>
      </c>
      <c r="BZ42" s="40">
        <v>0.52</v>
      </c>
      <c r="CA42" s="40">
        <v>0.65</v>
      </c>
      <c r="CB42" s="45">
        <v>1</v>
      </c>
      <c r="CC42" s="41">
        <v>0.82393172144641669</v>
      </c>
      <c r="CD42" s="41">
        <v>23.031994076959833</v>
      </c>
      <c r="CE42" s="41">
        <v>76.144074201593753</v>
      </c>
      <c r="CF42" s="125">
        <v>1</v>
      </c>
      <c r="CG42" s="40">
        <f t="shared" si="47"/>
        <v>2.2978858060757872E-2</v>
      </c>
      <c r="CH42" s="40">
        <f t="shared" si="48"/>
        <v>2.2978858060757872E-2</v>
      </c>
      <c r="CI42" s="99">
        <f t="shared" si="49"/>
        <v>1.8933010078873102E-4</v>
      </c>
      <c r="CJ42" s="100">
        <f t="shared" si="50"/>
        <v>5.29248922750676E-3</v>
      </c>
      <c r="CK42" s="100">
        <f t="shared" si="51"/>
        <v>1.7497038732462382E-2</v>
      </c>
      <c r="CL42" s="101">
        <f t="shared" si="27"/>
        <v>8.9668673613238611E-4</v>
      </c>
      <c r="CM42" s="100">
        <f t="shared" si="28"/>
        <v>4.6886266085969935E-3</v>
      </c>
      <c r="CN42" s="100">
        <f t="shared" si="29"/>
        <v>7.9387338412601396E-3</v>
      </c>
      <c r="CO42" s="100">
        <f t="shared" si="30"/>
        <v>2.6245558098693573E-2</v>
      </c>
      <c r="CP42" s="101">
        <f t="shared" si="31"/>
        <v>1.3450301041985791E-3</v>
      </c>
      <c r="CQ42" s="100">
        <f t="shared" si="32"/>
        <v>7.0329399128954903E-3</v>
      </c>
      <c r="CR42" s="99">
        <f t="shared" si="33"/>
        <v>0.23855925798406249</v>
      </c>
      <c r="CS42" s="31">
        <v>1.5</v>
      </c>
      <c r="CT42" s="31">
        <v>1.5</v>
      </c>
      <c r="CU42" s="43">
        <v>0.1</v>
      </c>
      <c r="CV42" s="44">
        <v>0.39</v>
      </c>
      <c r="CW42" s="43">
        <v>2.1000000000000001E-2</v>
      </c>
      <c r="CX42" s="44">
        <v>0.15</v>
      </c>
      <c r="CY42" s="124"/>
    </row>
    <row r="43" spans="1:196" s="23" customFormat="1" x14ac:dyDescent="0.25">
      <c r="A43" s="31">
        <v>29</v>
      </c>
      <c r="B43" s="83">
        <v>3</v>
      </c>
      <c r="C43" s="31">
        <v>50</v>
      </c>
      <c r="D43" s="31" t="s">
        <v>36</v>
      </c>
      <c r="E43" s="31" t="s">
        <v>4</v>
      </c>
      <c r="F43" s="31" t="s">
        <v>62</v>
      </c>
      <c r="G43" s="31" t="str">
        <f t="shared" si="34"/>
        <v>Kommunal 50 C 3 EE</v>
      </c>
      <c r="H43" s="48">
        <f t="shared" si="0"/>
        <v>6.5630131895754187E-2</v>
      </c>
      <c r="I43" s="40">
        <f t="shared" si="1"/>
        <v>7.7832872448697688E-2</v>
      </c>
      <c r="J43" s="99">
        <f t="shared" si="2"/>
        <v>3.256598819663802E-4</v>
      </c>
      <c r="K43" s="48">
        <f t="shared" si="3"/>
        <v>1.1805005703263111E-2</v>
      </c>
      <c r="L43" s="48">
        <f t="shared" si="4"/>
        <v>6.5702206863468185E-2</v>
      </c>
      <c r="M43" s="48">
        <f t="shared" si="35"/>
        <v>0.28756833066578247</v>
      </c>
      <c r="N43" s="99">
        <f t="shared" si="5"/>
        <v>2.2951713503878758E-3</v>
      </c>
      <c r="O43" s="48">
        <f t="shared" si="6"/>
        <v>1.3126085267578387E-2</v>
      </c>
      <c r="P43" s="48">
        <f t="shared" si="7"/>
        <v>1.7707508554894669E-2</v>
      </c>
      <c r="Q43" s="48">
        <f t="shared" si="8"/>
        <v>9.855331029520227E-2</v>
      </c>
      <c r="R43" s="40">
        <f t="shared" si="36"/>
        <v>2.0129783146604772</v>
      </c>
      <c r="S43" s="99">
        <f t="shared" si="9"/>
        <v>3.4427570255818134E-3</v>
      </c>
      <c r="T43" s="48">
        <f t="shared" si="10"/>
        <v>1.9689127901367582E-2</v>
      </c>
      <c r="U43" s="40">
        <v>1.9839600000000006</v>
      </c>
      <c r="V43" s="40">
        <v>1.2</v>
      </c>
      <c r="W43" s="41">
        <v>0.1</v>
      </c>
      <c r="X43" s="40">
        <v>1.316587454014728</v>
      </c>
      <c r="Y43" s="42">
        <v>0</v>
      </c>
      <c r="Z43" s="42">
        <v>10.88071439877112</v>
      </c>
      <c r="AA43" s="42">
        <v>89.119285601228867</v>
      </c>
      <c r="AB43" s="42">
        <v>5.6666666666666661</v>
      </c>
      <c r="AC43" s="125">
        <v>1</v>
      </c>
      <c r="AD43" s="94">
        <f t="shared" si="37"/>
        <v>3.8544611917488709E-2</v>
      </c>
      <c r="AE43" s="94">
        <f t="shared" si="38"/>
        <v>5.0747352470432203E-2</v>
      </c>
      <c r="AF43" s="96">
        <f t="shared" si="11"/>
        <v>0</v>
      </c>
      <c r="AG43" s="95">
        <f t="shared" si="52"/>
        <v>5.5216744872454478E-3</v>
      </c>
      <c r="AH43" s="94">
        <f t="shared" si="39"/>
        <v>4.5225677983186746E-2</v>
      </c>
      <c r="AI43" s="94">
        <f t="shared" si="40"/>
        <v>0.28756833066578247</v>
      </c>
      <c r="AJ43" s="96">
        <f t="shared" si="41"/>
        <v>1.2061010922917881E-3</v>
      </c>
      <c r="AK43" s="95">
        <f t="shared" si="13"/>
        <v>7.4254069942430029E-3</v>
      </c>
      <c r="AL43" s="95">
        <f t="shared" si="14"/>
        <v>8.2825117308681709E-3</v>
      </c>
      <c r="AM43" s="94">
        <f t="shared" si="15"/>
        <v>6.7838516974780119E-2</v>
      </c>
      <c r="AN43" s="93">
        <f t="shared" si="16"/>
        <v>2.0129783146604772</v>
      </c>
      <c r="AO43" s="96">
        <f t="shared" si="17"/>
        <v>1.8091516384376822E-3</v>
      </c>
      <c r="AP43" s="95">
        <f t="shared" si="18"/>
        <v>1.1138110491364504E-2</v>
      </c>
      <c r="AQ43" s="93">
        <f t="shared" si="19"/>
        <v>0.10880714398771119</v>
      </c>
      <c r="AR43" s="31">
        <v>1.5</v>
      </c>
      <c r="AS43" s="31">
        <v>1.5</v>
      </c>
      <c r="AT43" s="31">
        <v>7</v>
      </c>
      <c r="AU43" s="43">
        <v>7.0999999999999994E-2</v>
      </c>
      <c r="AV43" s="44">
        <v>0.28000000000000003</v>
      </c>
      <c r="AW43" s="43">
        <v>1.7999999999999999E-2</v>
      </c>
      <c r="AX43" s="44">
        <v>0.13</v>
      </c>
      <c r="AY43" s="40">
        <v>7.081758249007474</v>
      </c>
      <c r="AZ43" s="41">
        <v>0.5</v>
      </c>
      <c r="BA43" s="40">
        <v>0.72</v>
      </c>
      <c r="BB43" s="45">
        <v>1</v>
      </c>
      <c r="BC43" s="41">
        <v>3.3197225366043677</v>
      </c>
      <c r="BD43" s="41">
        <v>24.127673726603245</v>
      </c>
      <c r="BE43" s="41">
        <v>72.552603736792392</v>
      </c>
      <c r="BF43" s="125">
        <v>1</v>
      </c>
      <c r="BG43" s="48">
        <f t="shared" si="42"/>
        <v>4.10666191750761E-3</v>
      </c>
      <c r="BH43" s="48">
        <f t="shared" si="43"/>
        <v>4.10666191750761E-3</v>
      </c>
      <c r="BI43" s="99">
        <f t="shared" si="44"/>
        <v>1.3632978117764921E-4</v>
      </c>
      <c r="BJ43" s="99">
        <f t="shared" si="45"/>
        <v>9.9084198851090454E-4</v>
      </c>
      <c r="BK43" s="48">
        <f t="shared" si="46"/>
        <v>2.979490147819056E-3</v>
      </c>
      <c r="BL43" s="99">
        <f t="shared" si="20"/>
        <v>1.9238352196370134E-4</v>
      </c>
      <c r="BM43" s="48">
        <f t="shared" si="21"/>
        <v>1.012051664738391E-3</v>
      </c>
      <c r="BN43" s="48">
        <f t="shared" si="22"/>
        <v>1.4862629827663569E-3</v>
      </c>
      <c r="BO43" s="48">
        <f t="shared" si="23"/>
        <v>4.4692352217285836E-3</v>
      </c>
      <c r="BP43" s="99">
        <f t="shared" si="24"/>
        <v>2.8857528294555203E-4</v>
      </c>
      <c r="BQ43" s="48">
        <f t="shared" si="25"/>
        <v>1.5180774971075867E-3</v>
      </c>
      <c r="BR43" s="40">
        <f t="shared" si="26"/>
        <v>0.27447396263207607</v>
      </c>
      <c r="BS43" s="31">
        <v>1.5</v>
      </c>
      <c r="BT43" s="31">
        <v>1.5</v>
      </c>
      <c r="BU43" s="43">
        <v>0.125</v>
      </c>
      <c r="BV43" s="44">
        <v>0.42</v>
      </c>
      <c r="BW43" s="43">
        <v>2.3E-2</v>
      </c>
      <c r="BX43" s="44">
        <v>0.2</v>
      </c>
      <c r="BY43" s="40">
        <v>17.493153787299189</v>
      </c>
      <c r="BZ43" s="40">
        <v>0.52</v>
      </c>
      <c r="CA43" s="40">
        <v>0.65</v>
      </c>
      <c r="CB43" s="45">
        <v>1</v>
      </c>
      <c r="CC43" s="41">
        <v>0.82393172144641669</v>
      </c>
      <c r="CD43" s="41">
        <v>23.031994076959833</v>
      </c>
      <c r="CE43" s="41">
        <v>76.144074201593753</v>
      </c>
      <c r="CF43" s="125">
        <v>1</v>
      </c>
      <c r="CG43" s="40">
        <f t="shared" si="47"/>
        <v>2.2978858060757872E-2</v>
      </c>
      <c r="CH43" s="40">
        <f t="shared" si="48"/>
        <v>2.2978858060757872E-2</v>
      </c>
      <c r="CI43" s="99">
        <f t="shared" si="49"/>
        <v>1.8933010078873102E-4</v>
      </c>
      <c r="CJ43" s="100">
        <f t="shared" si="50"/>
        <v>5.29248922750676E-3</v>
      </c>
      <c r="CK43" s="100">
        <f t="shared" si="51"/>
        <v>1.7497038732462382E-2</v>
      </c>
      <c r="CL43" s="101">
        <f t="shared" si="27"/>
        <v>8.9668673613238611E-4</v>
      </c>
      <c r="CM43" s="100">
        <f t="shared" si="28"/>
        <v>4.6886266085969935E-3</v>
      </c>
      <c r="CN43" s="100">
        <f t="shared" si="29"/>
        <v>7.9387338412601396E-3</v>
      </c>
      <c r="CO43" s="100">
        <f t="shared" si="30"/>
        <v>2.6245558098693573E-2</v>
      </c>
      <c r="CP43" s="101">
        <f t="shared" si="31"/>
        <v>1.3450301041985791E-3</v>
      </c>
      <c r="CQ43" s="100">
        <f t="shared" si="32"/>
        <v>7.0329399128954903E-3</v>
      </c>
      <c r="CR43" s="99">
        <f t="shared" si="33"/>
        <v>0.23855925798406249</v>
      </c>
      <c r="CS43" s="31">
        <v>1.5</v>
      </c>
      <c r="CT43" s="31">
        <v>1.5</v>
      </c>
      <c r="CU43" s="43">
        <v>0.1</v>
      </c>
      <c r="CV43" s="44">
        <v>0.39</v>
      </c>
      <c r="CW43" s="43">
        <v>2.1000000000000001E-2</v>
      </c>
      <c r="CX43" s="44">
        <v>0.15</v>
      </c>
      <c r="CY43" s="124"/>
    </row>
    <row r="44" spans="1:196" s="23" customFormat="1" x14ac:dyDescent="0.25">
      <c r="A44" s="31">
        <v>30</v>
      </c>
      <c r="B44" s="83">
        <v>3</v>
      </c>
      <c r="C44" s="31">
        <v>50</v>
      </c>
      <c r="D44" s="31" t="s">
        <v>36</v>
      </c>
      <c r="E44" s="31" t="s">
        <v>4</v>
      </c>
      <c r="F44" s="31" t="s">
        <v>63</v>
      </c>
      <c r="G44" s="31" t="str">
        <f t="shared" si="34"/>
        <v>Kommunal 50 C 3 ES</v>
      </c>
      <c r="H44" s="48">
        <f t="shared" si="0"/>
        <v>5.408982892644619E-2</v>
      </c>
      <c r="I44" s="40">
        <f t="shared" si="1"/>
        <v>6.2639054343777867E-2</v>
      </c>
      <c r="J44" s="99">
        <f t="shared" si="2"/>
        <v>3.256598819663802E-4</v>
      </c>
      <c r="K44" s="48">
        <f t="shared" si="3"/>
        <v>1.0151809748998011E-2</v>
      </c>
      <c r="L44" s="48">
        <f t="shared" si="4"/>
        <v>5.2161584712813472E-2</v>
      </c>
      <c r="M44" s="48">
        <f t="shared" si="35"/>
        <v>0.20147002807123682</v>
      </c>
      <c r="N44" s="99">
        <f t="shared" si="5"/>
        <v>1.9340632389232685E-3</v>
      </c>
      <c r="O44" s="48">
        <f t="shared" si="6"/>
        <v>1.0902909520799045E-2</v>
      </c>
      <c r="P44" s="48">
        <f t="shared" si="7"/>
        <v>1.5227714623497014E-2</v>
      </c>
      <c r="Q44" s="48">
        <f t="shared" si="8"/>
        <v>7.8242377069220201E-2</v>
      </c>
      <c r="R44" s="40">
        <f t="shared" si="36"/>
        <v>1.4102901964986576</v>
      </c>
      <c r="S44" s="99">
        <f t="shared" si="9"/>
        <v>2.901094858384903E-3</v>
      </c>
      <c r="T44" s="48">
        <f t="shared" si="10"/>
        <v>1.6354364281198568E-2</v>
      </c>
      <c r="U44" s="40">
        <v>1.3899600000000003</v>
      </c>
      <c r="V44" s="40">
        <v>1.2</v>
      </c>
      <c r="W44" s="41">
        <v>0.1</v>
      </c>
      <c r="X44" s="40">
        <v>1.316587454014728</v>
      </c>
      <c r="Y44" s="42">
        <v>0</v>
      </c>
      <c r="Z44" s="42">
        <v>10.880714398771122</v>
      </c>
      <c r="AA44" s="42">
        <v>89.119285601228881</v>
      </c>
      <c r="AB44" s="42">
        <v>5.6666666666666661</v>
      </c>
      <c r="AC44" s="125">
        <v>1</v>
      </c>
      <c r="AD44" s="94">
        <f t="shared" si="37"/>
        <v>2.7004308948180712E-2</v>
      </c>
      <c r="AE44" s="94">
        <f t="shared" si="38"/>
        <v>3.5553534365512382E-2</v>
      </c>
      <c r="AF44" s="96">
        <f t="shared" si="11"/>
        <v>0</v>
      </c>
      <c r="AG44" s="95">
        <f t="shared" si="52"/>
        <v>3.868478532980345E-3</v>
      </c>
      <c r="AH44" s="94">
        <f t="shared" si="39"/>
        <v>3.1685055832532033E-2</v>
      </c>
      <c r="AI44" s="94">
        <f t="shared" si="40"/>
        <v>0.20147002807123682</v>
      </c>
      <c r="AJ44" s="96">
        <f t="shared" si="41"/>
        <v>8.449929808271809E-4</v>
      </c>
      <c r="AK44" s="95">
        <f t="shared" si="13"/>
        <v>5.2022312474636605E-3</v>
      </c>
      <c r="AL44" s="95">
        <f t="shared" si="14"/>
        <v>5.8027177994705173E-3</v>
      </c>
      <c r="AM44" s="94">
        <f t="shared" si="15"/>
        <v>4.752758374879805E-2</v>
      </c>
      <c r="AN44" s="93">
        <f t="shared" si="16"/>
        <v>1.4102901964986576</v>
      </c>
      <c r="AO44" s="96">
        <f t="shared" si="17"/>
        <v>1.2674894712407716E-3</v>
      </c>
      <c r="AP44" s="95">
        <f t="shared" si="18"/>
        <v>7.8033468711954917E-3</v>
      </c>
      <c r="AQ44" s="93">
        <f t="shared" si="19"/>
        <v>0.10880714398771123</v>
      </c>
      <c r="AR44" s="31">
        <v>1.5</v>
      </c>
      <c r="AS44" s="31">
        <v>1.5</v>
      </c>
      <c r="AT44" s="31">
        <v>7</v>
      </c>
      <c r="AU44" s="43">
        <v>7.0999999999999994E-2</v>
      </c>
      <c r="AV44" s="44">
        <v>0.28000000000000003</v>
      </c>
      <c r="AW44" s="43">
        <v>1.7999999999999999E-2</v>
      </c>
      <c r="AX44" s="44">
        <v>0.13</v>
      </c>
      <c r="AY44" s="40">
        <v>7.081758249007474</v>
      </c>
      <c r="AZ44" s="41">
        <v>0.5</v>
      </c>
      <c r="BA44" s="40">
        <v>0.72</v>
      </c>
      <c r="BB44" s="45">
        <v>1</v>
      </c>
      <c r="BC44" s="41">
        <v>3.3197225366043677</v>
      </c>
      <c r="BD44" s="41">
        <v>24.127673726603245</v>
      </c>
      <c r="BE44" s="41">
        <v>72.552603736792392</v>
      </c>
      <c r="BF44" s="125">
        <v>1</v>
      </c>
      <c r="BG44" s="48">
        <f t="shared" si="42"/>
        <v>4.10666191750761E-3</v>
      </c>
      <c r="BH44" s="48">
        <f t="shared" si="43"/>
        <v>4.10666191750761E-3</v>
      </c>
      <c r="BI44" s="99">
        <f t="shared" si="44"/>
        <v>1.3632978117764921E-4</v>
      </c>
      <c r="BJ44" s="99">
        <f t="shared" si="45"/>
        <v>9.9084198851090454E-4</v>
      </c>
      <c r="BK44" s="48">
        <f t="shared" si="46"/>
        <v>2.979490147819056E-3</v>
      </c>
      <c r="BL44" s="99">
        <f t="shared" si="20"/>
        <v>1.9238352196370134E-4</v>
      </c>
      <c r="BM44" s="48">
        <f t="shared" si="21"/>
        <v>1.012051664738391E-3</v>
      </c>
      <c r="BN44" s="48">
        <f t="shared" si="22"/>
        <v>1.4862629827663569E-3</v>
      </c>
      <c r="BO44" s="48">
        <f t="shared" si="23"/>
        <v>4.4692352217285836E-3</v>
      </c>
      <c r="BP44" s="99">
        <f t="shared" si="24"/>
        <v>2.8857528294555203E-4</v>
      </c>
      <c r="BQ44" s="48">
        <f t="shared" si="25"/>
        <v>1.5180774971075867E-3</v>
      </c>
      <c r="BR44" s="40">
        <f t="shared" si="26"/>
        <v>0.27447396263207607</v>
      </c>
      <c r="BS44" s="31">
        <v>1.5</v>
      </c>
      <c r="BT44" s="31">
        <v>1.5</v>
      </c>
      <c r="BU44" s="43">
        <v>0.125</v>
      </c>
      <c r="BV44" s="44">
        <v>0.42</v>
      </c>
      <c r="BW44" s="43">
        <v>2.3E-2</v>
      </c>
      <c r="BX44" s="44">
        <v>0.2</v>
      </c>
      <c r="BY44" s="40">
        <v>17.493153787299189</v>
      </c>
      <c r="BZ44" s="40">
        <v>0.52</v>
      </c>
      <c r="CA44" s="40">
        <v>0.65</v>
      </c>
      <c r="CB44" s="45">
        <v>1</v>
      </c>
      <c r="CC44" s="41">
        <v>0.82393172144641669</v>
      </c>
      <c r="CD44" s="41">
        <v>23.031994076959833</v>
      </c>
      <c r="CE44" s="41">
        <v>76.144074201593753</v>
      </c>
      <c r="CF44" s="125">
        <v>1</v>
      </c>
      <c r="CG44" s="40">
        <f t="shared" si="47"/>
        <v>2.2978858060757872E-2</v>
      </c>
      <c r="CH44" s="40">
        <f t="shared" si="48"/>
        <v>2.2978858060757872E-2</v>
      </c>
      <c r="CI44" s="99">
        <f t="shared" si="49"/>
        <v>1.8933010078873102E-4</v>
      </c>
      <c r="CJ44" s="100">
        <f t="shared" si="50"/>
        <v>5.29248922750676E-3</v>
      </c>
      <c r="CK44" s="100">
        <f t="shared" si="51"/>
        <v>1.7497038732462382E-2</v>
      </c>
      <c r="CL44" s="101">
        <f t="shared" si="27"/>
        <v>8.9668673613238611E-4</v>
      </c>
      <c r="CM44" s="100">
        <f t="shared" si="28"/>
        <v>4.6886266085969935E-3</v>
      </c>
      <c r="CN44" s="100">
        <f t="shared" si="29"/>
        <v>7.9387338412601396E-3</v>
      </c>
      <c r="CO44" s="100">
        <f t="shared" si="30"/>
        <v>2.6245558098693573E-2</v>
      </c>
      <c r="CP44" s="101">
        <f t="shared" si="31"/>
        <v>1.3450301041985791E-3</v>
      </c>
      <c r="CQ44" s="100">
        <f t="shared" si="32"/>
        <v>7.0329399128954903E-3</v>
      </c>
      <c r="CR44" s="99">
        <f t="shared" si="33"/>
        <v>0.23855925798406249</v>
      </c>
      <c r="CS44" s="31">
        <v>1.5</v>
      </c>
      <c r="CT44" s="31">
        <v>1.5</v>
      </c>
      <c r="CU44" s="43">
        <v>0.1</v>
      </c>
      <c r="CV44" s="44">
        <v>0.39</v>
      </c>
      <c r="CW44" s="43">
        <v>2.1000000000000001E-2</v>
      </c>
      <c r="CX44" s="44">
        <v>0.15</v>
      </c>
      <c r="CY44" s="124"/>
    </row>
    <row r="45" spans="1:196" s="26" customFormat="1" x14ac:dyDescent="0.25">
      <c r="A45" s="31">
        <v>31</v>
      </c>
      <c r="B45" s="83">
        <v>3</v>
      </c>
      <c r="C45" s="31">
        <v>50</v>
      </c>
      <c r="D45" s="31" t="s">
        <v>36</v>
      </c>
      <c r="E45" s="31" t="s">
        <v>5</v>
      </c>
      <c r="F45" s="31" t="s">
        <v>12</v>
      </c>
      <c r="G45" s="31" t="str">
        <f t="shared" si="34"/>
        <v>Kommunal 50 M 3 A</v>
      </c>
      <c r="H45" s="48">
        <f t="shared" si="0"/>
        <v>5.0650334121405863E-2</v>
      </c>
      <c r="I45" s="40">
        <f t="shared" si="1"/>
        <v>5.6324981033030366E-2</v>
      </c>
      <c r="J45" s="99">
        <f t="shared" si="2"/>
        <v>5.6400622460643949E-4</v>
      </c>
      <c r="K45" s="48">
        <f t="shared" si="3"/>
        <v>1.0280937868894585E-2</v>
      </c>
      <c r="L45" s="48">
        <f t="shared" si="4"/>
        <v>4.5480036939529345E-2</v>
      </c>
      <c r="M45" s="48">
        <f t="shared" si="35"/>
        <v>0.12465243923347141</v>
      </c>
      <c r="N45" s="99">
        <f t="shared" si="5"/>
        <v>1.8229634755168112E-3</v>
      </c>
      <c r="O45" s="48">
        <f t="shared" si="6"/>
        <v>1.007046418384315E-2</v>
      </c>
      <c r="P45" s="48">
        <f t="shared" si="7"/>
        <v>1.5421406803341879E-2</v>
      </c>
      <c r="Q45" s="48">
        <f t="shared" si="8"/>
        <v>6.8220055409294017E-2</v>
      </c>
      <c r="R45" s="40">
        <f t="shared" si="36"/>
        <v>0.87256707463429994</v>
      </c>
      <c r="S45" s="99">
        <f t="shared" si="9"/>
        <v>2.7344452132752168E-3</v>
      </c>
      <c r="T45" s="48">
        <f t="shared" si="10"/>
        <v>1.5105696275764727E-2</v>
      </c>
      <c r="U45" s="40">
        <v>0.35663759999999994</v>
      </c>
      <c r="V45" s="40">
        <v>1.45</v>
      </c>
      <c r="W45" s="41">
        <v>0.5</v>
      </c>
      <c r="X45" s="40">
        <v>1.2408101705005967</v>
      </c>
      <c r="Y45" s="42">
        <v>0.81515299544557829</v>
      </c>
      <c r="Z45" s="42">
        <v>13.671957377700943</v>
      </c>
      <c r="AA45" s="42">
        <v>85.512889626853479</v>
      </c>
      <c r="AB45" s="42">
        <v>4.2631578947368443</v>
      </c>
      <c r="AC45" s="125">
        <v>1</v>
      </c>
      <c r="AD45" s="94">
        <f t="shared" si="37"/>
        <v>2.3564814143140378E-2</v>
      </c>
      <c r="AE45" s="94">
        <f t="shared" si="38"/>
        <v>2.9239461054764885E-2</v>
      </c>
      <c r="AF45" s="96">
        <f t="shared" si="11"/>
        <v>2.3834634264005924E-4</v>
      </c>
      <c r="AG45" s="95">
        <f t="shared" si="52"/>
        <v>3.9976066528769217E-3</v>
      </c>
      <c r="AH45" s="94">
        <f t="shared" si="39"/>
        <v>2.5003508059247906E-2</v>
      </c>
      <c r="AI45" s="94">
        <f t="shared" si="40"/>
        <v>0.12465243923347141</v>
      </c>
      <c r="AJ45" s="96">
        <f t="shared" si="41"/>
        <v>7.3389321742072368E-4</v>
      </c>
      <c r="AK45" s="95">
        <f t="shared" si="13"/>
        <v>4.3697859105077657E-3</v>
      </c>
      <c r="AL45" s="95">
        <f t="shared" si="14"/>
        <v>5.9964099793153825E-3</v>
      </c>
      <c r="AM45" s="94">
        <f t="shared" si="15"/>
        <v>3.7505262088871859E-2</v>
      </c>
      <c r="AN45" s="93">
        <f t="shared" si="16"/>
        <v>0.87256707463429994</v>
      </c>
      <c r="AO45" s="96">
        <f t="shared" si="17"/>
        <v>1.1008398261310856E-3</v>
      </c>
      <c r="AP45" s="95">
        <f t="shared" si="18"/>
        <v>6.5546788657616494E-3</v>
      </c>
      <c r="AQ45" s="93">
        <f t="shared" si="19"/>
        <v>0.14487110373146522</v>
      </c>
      <c r="AR45" s="31">
        <v>1.5</v>
      </c>
      <c r="AS45" s="31">
        <v>1.5</v>
      </c>
      <c r="AT45" s="31">
        <v>7</v>
      </c>
      <c r="AU45" s="43">
        <v>7.0999999999999994E-2</v>
      </c>
      <c r="AV45" s="44">
        <v>0.28000000000000003</v>
      </c>
      <c r="AW45" s="43">
        <v>1.7999999999999999E-2</v>
      </c>
      <c r="AX45" s="44">
        <v>0.13</v>
      </c>
      <c r="AY45" s="40">
        <v>7.081758249007474</v>
      </c>
      <c r="AZ45" s="41">
        <v>0.5</v>
      </c>
      <c r="BA45" s="40">
        <v>0.72</v>
      </c>
      <c r="BB45" s="45">
        <v>1</v>
      </c>
      <c r="BC45" s="41">
        <v>3.3197225366043677</v>
      </c>
      <c r="BD45" s="41">
        <v>24.127673726603245</v>
      </c>
      <c r="BE45" s="41">
        <v>72.552603736792392</v>
      </c>
      <c r="BF45" s="125">
        <v>1</v>
      </c>
      <c r="BG45" s="48">
        <f t="shared" si="42"/>
        <v>4.10666191750761E-3</v>
      </c>
      <c r="BH45" s="48">
        <f t="shared" si="43"/>
        <v>4.10666191750761E-3</v>
      </c>
      <c r="BI45" s="99">
        <f t="shared" si="44"/>
        <v>1.3632978117764921E-4</v>
      </c>
      <c r="BJ45" s="99">
        <f t="shared" si="45"/>
        <v>9.9084198851090454E-4</v>
      </c>
      <c r="BK45" s="48">
        <f t="shared" si="46"/>
        <v>2.979490147819056E-3</v>
      </c>
      <c r="BL45" s="99">
        <f t="shared" si="20"/>
        <v>1.9238352196370134E-4</v>
      </c>
      <c r="BM45" s="48">
        <f t="shared" si="21"/>
        <v>1.012051664738391E-3</v>
      </c>
      <c r="BN45" s="48">
        <f t="shared" si="22"/>
        <v>1.4862629827663569E-3</v>
      </c>
      <c r="BO45" s="48">
        <f t="shared" si="23"/>
        <v>4.4692352217285836E-3</v>
      </c>
      <c r="BP45" s="99">
        <f t="shared" si="24"/>
        <v>2.8857528294555203E-4</v>
      </c>
      <c r="BQ45" s="48">
        <f t="shared" si="25"/>
        <v>1.5180774971075867E-3</v>
      </c>
      <c r="BR45" s="40">
        <f t="shared" si="26"/>
        <v>0.27447396263207607</v>
      </c>
      <c r="BS45" s="31">
        <v>1.5</v>
      </c>
      <c r="BT45" s="31">
        <v>1.5</v>
      </c>
      <c r="BU45" s="43">
        <v>0.125</v>
      </c>
      <c r="BV45" s="44">
        <v>0.42</v>
      </c>
      <c r="BW45" s="43">
        <v>2.3E-2</v>
      </c>
      <c r="BX45" s="44">
        <v>0.2</v>
      </c>
      <c r="BY45" s="40">
        <v>17.493153787299189</v>
      </c>
      <c r="BZ45" s="40">
        <v>0.52</v>
      </c>
      <c r="CA45" s="40">
        <v>0.65</v>
      </c>
      <c r="CB45" s="45">
        <v>1</v>
      </c>
      <c r="CC45" s="41">
        <v>0.82393172144641647</v>
      </c>
      <c r="CD45" s="41">
        <v>23.031994076959833</v>
      </c>
      <c r="CE45" s="41">
        <v>76.144074201593753</v>
      </c>
      <c r="CF45" s="125">
        <v>1</v>
      </c>
      <c r="CG45" s="40">
        <f t="shared" si="47"/>
        <v>2.2978858060757872E-2</v>
      </c>
      <c r="CH45" s="40">
        <f t="shared" si="48"/>
        <v>2.2978858060757872E-2</v>
      </c>
      <c r="CI45" s="99">
        <f t="shared" si="49"/>
        <v>1.8933010078873096E-4</v>
      </c>
      <c r="CJ45" s="100">
        <f t="shared" si="50"/>
        <v>5.29248922750676E-3</v>
      </c>
      <c r="CK45" s="100">
        <f t="shared" si="51"/>
        <v>1.7497038732462382E-2</v>
      </c>
      <c r="CL45" s="101">
        <f t="shared" si="27"/>
        <v>8.9668673613238611E-4</v>
      </c>
      <c r="CM45" s="100">
        <f t="shared" si="28"/>
        <v>4.6886266085969935E-3</v>
      </c>
      <c r="CN45" s="100">
        <f t="shared" si="29"/>
        <v>7.9387338412601396E-3</v>
      </c>
      <c r="CO45" s="100">
        <f t="shared" si="30"/>
        <v>2.6245558098693573E-2</v>
      </c>
      <c r="CP45" s="101">
        <f t="shared" si="31"/>
        <v>1.3450301041985791E-3</v>
      </c>
      <c r="CQ45" s="100">
        <f t="shared" si="32"/>
        <v>7.0329399128954903E-3</v>
      </c>
      <c r="CR45" s="99">
        <f t="shared" si="33"/>
        <v>0.23855925798406249</v>
      </c>
      <c r="CS45" s="31">
        <v>1.5</v>
      </c>
      <c r="CT45" s="31">
        <v>1.5</v>
      </c>
      <c r="CU45" s="43">
        <v>0.1</v>
      </c>
      <c r="CV45" s="44">
        <v>0.39</v>
      </c>
      <c r="CW45" s="43">
        <v>2.1000000000000001E-2</v>
      </c>
      <c r="CX45" s="44">
        <v>0.15</v>
      </c>
      <c r="CY45" s="124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</row>
    <row r="46" spans="1:196" s="23" customFormat="1" x14ac:dyDescent="0.25">
      <c r="A46" s="31">
        <v>32</v>
      </c>
      <c r="B46" s="83">
        <v>3</v>
      </c>
      <c r="C46" s="31">
        <v>50</v>
      </c>
      <c r="D46" s="31" t="s">
        <v>36</v>
      </c>
      <c r="E46" s="31" t="s">
        <v>5</v>
      </c>
      <c r="F46" s="31" t="s">
        <v>13</v>
      </c>
      <c r="G46" s="31" t="str">
        <f t="shared" si="34"/>
        <v>Kommunal 50 M 3 B</v>
      </c>
      <c r="H46" s="48">
        <f t="shared" si="0"/>
        <v>5.0650334121405863E-2</v>
      </c>
      <c r="I46" s="40">
        <f t="shared" si="1"/>
        <v>5.6324981033030366E-2</v>
      </c>
      <c r="J46" s="99">
        <f t="shared" si="2"/>
        <v>5.6400622460643949E-4</v>
      </c>
      <c r="K46" s="48">
        <f t="shared" si="3"/>
        <v>1.0280937868894585E-2</v>
      </c>
      <c r="L46" s="48">
        <f t="shared" si="4"/>
        <v>4.5480036939529345E-2</v>
      </c>
      <c r="M46" s="48">
        <f t="shared" si="35"/>
        <v>0.12465243923347141</v>
      </c>
      <c r="N46" s="99">
        <f t="shared" si="5"/>
        <v>1.8229634755168112E-3</v>
      </c>
      <c r="O46" s="48">
        <f t="shared" si="6"/>
        <v>1.007046418384315E-2</v>
      </c>
      <c r="P46" s="48">
        <f t="shared" si="7"/>
        <v>1.5421406803341879E-2</v>
      </c>
      <c r="Q46" s="48">
        <f t="shared" si="8"/>
        <v>6.8220055409294017E-2</v>
      </c>
      <c r="R46" s="40">
        <f t="shared" si="36"/>
        <v>0.87256707463429994</v>
      </c>
      <c r="S46" s="99">
        <f t="shared" si="9"/>
        <v>2.7344452132752168E-3</v>
      </c>
      <c r="T46" s="48">
        <f t="shared" si="10"/>
        <v>1.5105696275764727E-2</v>
      </c>
      <c r="U46" s="40">
        <v>0.35663759999999994</v>
      </c>
      <c r="V46" s="40">
        <v>1.45</v>
      </c>
      <c r="W46" s="41">
        <v>0.5</v>
      </c>
      <c r="X46" s="40">
        <v>1.2408101705005967</v>
      </c>
      <c r="Y46" s="42">
        <v>0.81515299544557829</v>
      </c>
      <c r="Z46" s="42">
        <v>13.671957377700943</v>
      </c>
      <c r="AA46" s="42">
        <v>85.512889626853479</v>
      </c>
      <c r="AB46" s="42">
        <v>4.2631578947368443</v>
      </c>
      <c r="AC46" s="125">
        <v>1</v>
      </c>
      <c r="AD46" s="94">
        <f t="shared" si="37"/>
        <v>2.3564814143140378E-2</v>
      </c>
      <c r="AE46" s="94">
        <f t="shared" si="38"/>
        <v>2.9239461054764885E-2</v>
      </c>
      <c r="AF46" s="96">
        <f t="shared" si="11"/>
        <v>2.3834634264005924E-4</v>
      </c>
      <c r="AG46" s="95">
        <f t="shared" si="52"/>
        <v>3.9976066528769217E-3</v>
      </c>
      <c r="AH46" s="94">
        <f t="shared" si="39"/>
        <v>2.5003508059247906E-2</v>
      </c>
      <c r="AI46" s="94">
        <f t="shared" si="40"/>
        <v>0.12465243923347141</v>
      </c>
      <c r="AJ46" s="96">
        <f t="shared" si="41"/>
        <v>7.3389321742072368E-4</v>
      </c>
      <c r="AK46" s="95">
        <f t="shared" si="13"/>
        <v>4.3697859105077657E-3</v>
      </c>
      <c r="AL46" s="95">
        <f t="shared" si="14"/>
        <v>5.9964099793153825E-3</v>
      </c>
      <c r="AM46" s="94">
        <f t="shared" si="15"/>
        <v>3.7505262088871859E-2</v>
      </c>
      <c r="AN46" s="93">
        <f t="shared" si="16"/>
        <v>0.87256707463429994</v>
      </c>
      <c r="AO46" s="96">
        <f t="shared" si="17"/>
        <v>1.1008398261310856E-3</v>
      </c>
      <c r="AP46" s="95">
        <f t="shared" si="18"/>
        <v>6.5546788657616494E-3</v>
      </c>
      <c r="AQ46" s="93">
        <f t="shared" si="19"/>
        <v>0.14487110373146522</v>
      </c>
      <c r="AR46" s="31">
        <v>1.5</v>
      </c>
      <c r="AS46" s="31">
        <v>1.5</v>
      </c>
      <c r="AT46" s="31">
        <v>7</v>
      </c>
      <c r="AU46" s="43">
        <v>7.0999999999999994E-2</v>
      </c>
      <c r="AV46" s="44">
        <v>0.28000000000000003</v>
      </c>
      <c r="AW46" s="43">
        <v>1.7999999999999999E-2</v>
      </c>
      <c r="AX46" s="44">
        <v>0.13</v>
      </c>
      <c r="AY46" s="40">
        <v>7.081758249007474</v>
      </c>
      <c r="AZ46" s="41">
        <v>0.5</v>
      </c>
      <c r="BA46" s="40">
        <v>0.72</v>
      </c>
      <c r="BB46" s="45">
        <v>1</v>
      </c>
      <c r="BC46" s="41">
        <v>3.3197225366043677</v>
      </c>
      <c r="BD46" s="41">
        <v>24.127673726603245</v>
      </c>
      <c r="BE46" s="41">
        <v>72.552603736792392</v>
      </c>
      <c r="BF46" s="125">
        <v>1</v>
      </c>
      <c r="BG46" s="48">
        <f t="shared" si="42"/>
        <v>4.10666191750761E-3</v>
      </c>
      <c r="BH46" s="48">
        <f t="shared" si="43"/>
        <v>4.10666191750761E-3</v>
      </c>
      <c r="BI46" s="99">
        <f t="shared" si="44"/>
        <v>1.3632978117764921E-4</v>
      </c>
      <c r="BJ46" s="99">
        <f t="shared" si="45"/>
        <v>9.9084198851090454E-4</v>
      </c>
      <c r="BK46" s="48">
        <f t="shared" si="46"/>
        <v>2.979490147819056E-3</v>
      </c>
      <c r="BL46" s="99">
        <f t="shared" si="20"/>
        <v>1.9238352196370134E-4</v>
      </c>
      <c r="BM46" s="48">
        <f t="shared" si="21"/>
        <v>1.012051664738391E-3</v>
      </c>
      <c r="BN46" s="48">
        <f t="shared" si="22"/>
        <v>1.4862629827663569E-3</v>
      </c>
      <c r="BO46" s="48">
        <f t="shared" si="23"/>
        <v>4.4692352217285836E-3</v>
      </c>
      <c r="BP46" s="99">
        <f t="shared" si="24"/>
        <v>2.8857528294555203E-4</v>
      </c>
      <c r="BQ46" s="48">
        <f t="shared" si="25"/>
        <v>1.5180774971075867E-3</v>
      </c>
      <c r="BR46" s="40">
        <f t="shared" si="26"/>
        <v>0.27447396263207607</v>
      </c>
      <c r="BS46" s="31">
        <v>1.5</v>
      </c>
      <c r="BT46" s="31">
        <v>1.5</v>
      </c>
      <c r="BU46" s="43">
        <v>0.125</v>
      </c>
      <c r="BV46" s="44">
        <v>0.42</v>
      </c>
      <c r="BW46" s="43">
        <v>2.3E-2</v>
      </c>
      <c r="BX46" s="44">
        <v>0.2</v>
      </c>
      <c r="BY46" s="40">
        <v>17.493153787299189</v>
      </c>
      <c r="BZ46" s="40">
        <v>0.52</v>
      </c>
      <c r="CA46" s="40">
        <v>0.65</v>
      </c>
      <c r="CB46" s="45">
        <v>1</v>
      </c>
      <c r="CC46" s="41">
        <v>0.82393172144641647</v>
      </c>
      <c r="CD46" s="41">
        <v>23.031994076959833</v>
      </c>
      <c r="CE46" s="41">
        <v>76.144074201593753</v>
      </c>
      <c r="CF46" s="125">
        <v>1</v>
      </c>
      <c r="CG46" s="40">
        <f t="shared" si="47"/>
        <v>2.2978858060757872E-2</v>
      </c>
      <c r="CH46" s="40">
        <f t="shared" si="48"/>
        <v>2.2978858060757872E-2</v>
      </c>
      <c r="CI46" s="99">
        <f t="shared" si="49"/>
        <v>1.8933010078873096E-4</v>
      </c>
      <c r="CJ46" s="100">
        <f t="shared" si="50"/>
        <v>5.29248922750676E-3</v>
      </c>
      <c r="CK46" s="100">
        <f t="shared" si="51"/>
        <v>1.7497038732462382E-2</v>
      </c>
      <c r="CL46" s="101">
        <f t="shared" si="27"/>
        <v>8.9668673613238611E-4</v>
      </c>
      <c r="CM46" s="100">
        <f t="shared" si="28"/>
        <v>4.6886266085969935E-3</v>
      </c>
      <c r="CN46" s="100">
        <f t="shared" si="29"/>
        <v>7.9387338412601396E-3</v>
      </c>
      <c r="CO46" s="100">
        <f t="shared" si="30"/>
        <v>2.6245558098693573E-2</v>
      </c>
      <c r="CP46" s="101">
        <f t="shared" si="31"/>
        <v>1.3450301041985791E-3</v>
      </c>
      <c r="CQ46" s="100">
        <f t="shared" si="32"/>
        <v>7.0329399128954903E-3</v>
      </c>
      <c r="CR46" s="99">
        <f t="shared" si="33"/>
        <v>0.23855925798406249</v>
      </c>
      <c r="CS46" s="31">
        <v>1.5</v>
      </c>
      <c r="CT46" s="31">
        <v>1.5</v>
      </c>
      <c r="CU46" s="43">
        <v>0.1</v>
      </c>
      <c r="CV46" s="44">
        <v>0.39</v>
      </c>
      <c r="CW46" s="43">
        <v>2.1000000000000001E-2</v>
      </c>
      <c r="CX46" s="44">
        <v>0.15</v>
      </c>
      <c r="CY46" s="124"/>
    </row>
    <row r="47" spans="1:196" s="23" customFormat="1" x14ac:dyDescent="0.25">
      <c r="A47" s="31">
        <v>33</v>
      </c>
      <c r="B47" s="83">
        <v>3</v>
      </c>
      <c r="C47" s="31">
        <v>50</v>
      </c>
      <c r="D47" s="31" t="s">
        <v>36</v>
      </c>
      <c r="E47" s="31" t="s">
        <v>5</v>
      </c>
      <c r="F47" s="31" t="s">
        <v>70</v>
      </c>
      <c r="G47" s="31" t="str">
        <f t="shared" si="34"/>
        <v>Kommunal 50 M 3 Ck</v>
      </c>
      <c r="H47" s="48">
        <f t="shared" si="0"/>
        <v>4.8293852707091828E-2</v>
      </c>
      <c r="I47" s="40">
        <f t="shared" si="1"/>
        <v>5.3401034927553888E-2</v>
      </c>
      <c r="J47" s="99">
        <f t="shared" si="2"/>
        <v>5.4017159034243367E-4</v>
      </c>
      <c r="K47" s="48">
        <f t="shared" si="3"/>
        <v>9.8811772036068966E-3</v>
      </c>
      <c r="L47" s="48">
        <f t="shared" si="4"/>
        <v>4.2979686133604561E-2</v>
      </c>
      <c r="M47" s="48">
        <f t="shared" si="35"/>
        <v>0.11218719531012429</v>
      </c>
      <c r="N47" s="99">
        <f t="shared" si="5"/>
        <v>1.7495741537747389E-3</v>
      </c>
      <c r="O47" s="48">
        <f t="shared" si="6"/>
        <v>9.6334855927923749E-3</v>
      </c>
      <c r="P47" s="48">
        <f t="shared" si="7"/>
        <v>1.4821765805410343E-2</v>
      </c>
      <c r="Q47" s="48">
        <f t="shared" si="8"/>
        <v>6.4469529200406842E-2</v>
      </c>
      <c r="R47" s="40">
        <f t="shared" si="36"/>
        <v>0.78531036717086999</v>
      </c>
      <c r="S47" s="99">
        <f t="shared" si="9"/>
        <v>2.6243612306621087E-3</v>
      </c>
      <c r="T47" s="48">
        <f t="shared" si="10"/>
        <v>1.4450228389188562E-2</v>
      </c>
      <c r="U47" s="40">
        <v>0.32097383999999995</v>
      </c>
      <c r="V47" s="40">
        <v>1.45</v>
      </c>
      <c r="W47" s="41">
        <v>0.5</v>
      </c>
      <c r="X47" s="40">
        <v>1.2408101705005969</v>
      </c>
      <c r="Y47" s="42">
        <v>0.81515299544557829</v>
      </c>
      <c r="Z47" s="42">
        <v>13.671957377700943</v>
      </c>
      <c r="AA47" s="42">
        <v>85.512889626853479</v>
      </c>
      <c r="AB47" s="42">
        <v>4.2631578947368434</v>
      </c>
      <c r="AC47" s="125">
        <v>1</v>
      </c>
      <c r="AD47" s="94">
        <f t="shared" si="37"/>
        <v>2.1208332728826343E-2</v>
      </c>
      <c r="AE47" s="94">
        <f t="shared" si="38"/>
        <v>2.6315514949288406E-2</v>
      </c>
      <c r="AF47" s="96">
        <f t="shared" si="11"/>
        <v>2.1451170837605342E-4</v>
      </c>
      <c r="AG47" s="95">
        <f t="shared" si="52"/>
        <v>3.597845987589231E-3</v>
      </c>
      <c r="AH47" s="94">
        <f t="shared" si="39"/>
        <v>2.2503157253323122E-2</v>
      </c>
      <c r="AI47" s="94">
        <f t="shared" si="40"/>
        <v>0.11218719531012429</v>
      </c>
      <c r="AJ47" s="96">
        <f t="shared" si="41"/>
        <v>6.6050389567865147E-4</v>
      </c>
      <c r="AK47" s="95">
        <f t="shared" si="13"/>
        <v>3.9328073194569903E-3</v>
      </c>
      <c r="AL47" s="95">
        <f t="shared" si="14"/>
        <v>5.3967689813838463E-3</v>
      </c>
      <c r="AM47" s="94">
        <f t="shared" si="15"/>
        <v>3.3754735879984683E-2</v>
      </c>
      <c r="AN47" s="93">
        <f t="shared" si="16"/>
        <v>0.78531036717086999</v>
      </c>
      <c r="AO47" s="96">
        <f t="shared" si="17"/>
        <v>9.9075584351797732E-4</v>
      </c>
      <c r="AP47" s="95">
        <f t="shared" si="18"/>
        <v>5.8992109791854855E-3</v>
      </c>
      <c r="AQ47" s="93">
        <f t="shared" si="19"/>
        <v>0.14487110373146522</v>
      </c>
      <c r="AR47" s="31">
        <v>1.5</v>
      </c>
      <c r="AS47" s="31">
        <v>1.5</v>
      </c>
      <c r="AT47" s="31">
        <v>7</v>
      </c>
      <c r="AU47" s="43">
        <v>7.0999999999999994E-2</v>
      </c>
      <c r="AV47" s="44">
        <v>0.28000000000000003</v>
      </c>
      <c r="AW47" s="43">
        <v>1.7999999999999999E-2</v>
      </c>
      <c r="AX47" s="44">
        <v>0.13</v>
      </c>
      <c r="AY47" s="40">
        <v>7.081758249007474</v>
      </c>
      <c r="AZ47" s="41">
        <v>0.5</v>
      </c>
      <c r="BA47" s="40">
        <v>0.72</v>
      </c>
      <c r="BB47" s="45">
        <v>1</v>
      </c>
      <c r="BC47" s="41">
        <v>3.3197225366043677</v>
      </c>
      <c r="BD47" s="41">
        <v>24.127673726603245</v>
      </c>
      <c r="BE47" s="41">
        <v>72.552603736792392</v>
      </c>
      <c r="BF47" s="125">
        <v>1</v>
      </c>
      <c r="BG47" s="48">
        <f t="shared" si="42"/>
        <v>4.10666191750761E-3</v>
      </c>
      <c r="BH47" s="48">
        <f t="shared" si="43"/>
        <v>4.10666191750761E-3</v>
      </c>
      <c r="BI47" s="99">
        <f t="shared" si="44"/>
        <v>1.3632978117764921E-4</v>
      </c>
      <c r="BJ47" s="99">
        <f t="shared" si="45"/>
        <v>9.9084198851090454E-4</v>
      </c>
      <c r="BK47" s="48">
        <f t="shared" si="46"/>
        <v>2.979490147819056E-3</v>
      </c>
      <c r="BL47" s="99">
        <f t="shared" si="20"/>
        <v>1.9238352196370134E-4</v>
      </c>
      <c r="BM47" s="48">
        <f t="shared" si="21"/>
        <v>1.012051664738391E-3</v>
      </c>
      <c r="BN47" s="48">
        <f t="shared" si="22"/>
        <v>1.4862629827663569E-3</v>
      </c>
      <c r="BO47" s="48">
        <f t="shared" si="23"/>
        <v>4.4692352217285836E-3</v>
      </c>
      <c r="BP47" s="99">
        <f t="shared" si="24"/>
        <v>2.8857528294555203E-4</v>
      </c>
      <c r="BQ47" s="48">
        <f t="shared" si="25"/>
        <v>1.5180774971075867E-3</v>
      </c>
      <c r="BR47" s="40">
        <f t="shared" si="26"/>
        <v>0.27447396263207607</v>
      </c>
      <c r="BS47" s="31">
        <v>1.5</v>
      </c>
      <c r="BT47" s="31">
        <v>1.5</v>
      </c>
      <c r="BU47" s="43">
        <v>0.125</v>
      </c>
      <c r="BV47" s="44">
        <v>0.42</v>
      </c>
      <c r="BW47" s="43">
        <v>2.3E-2</v>
      </c>
      <c r="BX47" s="44">
        <v>0.2</v>
      </c>
      <c r="BY47" s="40">
        <v>17.493153787299189</v>
      </c>
      <c r="BZ47" s="40">
        <v>0.52</v>
      </c>
      <c r="CA47" s="40">
        <v>0.65</v>
      </c>
      <c r="CB47" s="45">
        <v>1</v>
      </c>
      <c r="CC47" s="41">
        <v>0.82393172144641647</v>
      </c>
      <c r="CD47" s="41">
        <v>23.031994076959833</v>
      </c>
      <c r="CE47" s="41">
        <v>76.144074201593753</v>
      </c>
      <c r="CF47" s="125">
        <v>1</v>
      </c>
      <c r="CG47" s="40">
        <f t="shared" si="47"/>
        <v>2.2978858060757872E-2</v>
      </c>
      <c r="CH47" s="40">
        <f t="shared" si="48"/>
        <v>2.2978858060757872E-2</v>
      </c>
      <c r="CI47" s="99">
        <f t="shared" si="49"/>
        <v>1.8933010078873096E-4</v>
      </c>
      <c r="CJ47" s="100">
        <f t="shared" si="50"/>
        <v>5.29248922750676E-3</v>
      </c>
      <c r="CK47" s="100">
        <f t="shared" si="51"/>
        <v>1.7497038732462382E-2</v>
      </c>
      <c r="CL47" s="101">
        <f t="shared" si="27"/>
        <v>8.9668673613238611E-4</v>
      </c>
      <c r="CM47" s="100">
        <f t="shared" si="28"/>
        <v>4.6886266085969935E-3</v>
      </c>
      <c r="CN47" s="100">
        <f t="shared" si="29"/>
        <v>7.9387338412601396E-3</v>
      </c>
      <c r="CO47" s="100">
        <f t="shared" si="30"/>
        <v>2.6245558098693573E-2</v>
      </c>
      <c r="CP47" s="101">
        <f t="shared" si="31"/>
        <v>1.3450301041985791E-3</v>
      </c>
      <c r="CQ47" s="100">
        <f t="shared" si="32"/>
        <v>7.0329399128954903E-3</v>
      </c>
      <c r="CR47" s="99">
        <f t="shared" si="33"/>
        <v>0.23855925798406249</v>
      </c>
      <c r="CS47" s="31">
        <v>1.5</v>
      </c>
      <c r="CT47" s="31">
        <v>1.5</v>
      </c>
      <c r="CU47" s="43">
        <v>0.1</v>
      </c>
      <c r="CV47" s="44">
        <v>0.39</v>
      </c>
      <c r="CW47" s="43">
        <v>2.1000000000000001E-2</v>
      </c>
      <c r="CX47" s="44">
        <v>0.15</v>
      </c>
      <c r="CY47" s="124"/>
    </row>
    <row r="48" spans="1:196" s="23" customFormat="1" x14ac:dyDescent="0.25">
      <c r="A48" s="31">
        <v>34</v>
      </c>
      <c r="B48" s="83">
        <v>3</v>
      </c>
      <c r="C48" s="31">
        <v>50</v>
      </c>
      <c r="D48" s="31" t="s">
        <v>36</v>
      </c>
      <c r="E48" s="31" t="s">
        <v>5</v>
      </c>
      <c r="F48" s="31" t="s">
        <v>71</v>
      </c>
      <c r="G48" s="31" t="str">
        <f t="shared" si="34"/>
        <v>Kommunal 50 M 3 Cm</v>
      </c>
      <c r="H48" s="48">
        <f t="shared" si="0"/>
        <v>4.8293852707091828E-2</v>
      </c>
      <c r="I48" s="40">
        <f t="shared" si="1"/>
        <v>5.3401034927553888E-2</v>
      </c>
      <c r="J48" s="99">
        <f t="shared" si="2"/>
        <v>5.4017159034243367E-4</v>
      </c>
      <c r="K48" s="48">
        <f t="shared" si="3"/>
        <v>9.8811772036068966E-3</v>
      </c>
      <c r="L48" s="48">
        <f t="shared" si="4"/>
        <v>4.2979686133604561E-2</v>
      </c>
      <c r="M48" s="48">
        <f t="shared" si="35"/>
        <v>0.11218719531012429</v>
      </c>
      <c r="N48" s="99">
        <f t="shared" si="5"/>
        <v>1.7495741537747389E-3</v>
      </c>
      <c r="O48" s="48">
        <f t="shared" si="6"/>
        <v>9.6334855927923749E-3</v>
      </c>
      <c r="P48" s="48">
        <f t="shared" si="7"/>
        <v>1.4821765805410343E-2</v>
      </c>
      <c r="Q48" s="48">
        <f t="shared" si="8"/>
        <v>6.4469529200406842E-2</v>
      </c>
      <c r="R48" s="40">
        <f t="shared" si="36"/>
        <v>0.78531036717086999</v>
      </c>
      <c r="S48" s="99">
        <f t="shared" si="9"/>
        <v>2.6243612306621087E-3</v>
      </c>
      <c r="T48" s="48">
        <f t="shared" si="10"/>
        <v>1.4450228389188562E-2</v>
      </c>
      <c r="U48" s="40">
        <v>0.32097383999999995</v>
      </c>
      <c r="V48" s="40">
        <v>1.45</v>
      </c>
      <c r="W48" s="41">
        <v>0.5</v>
      </c>
      <c r="X48" s="40">
        <v>1.2408101705005969</v>
      </c>
      <c r="Y48" s="42">
        <v>0.81515299544557829</v>
      </c>
      <c r="Z48" s="42">
        <v>13.671957377700943</v>
      </c>
      <c r="AA48" s="42">
        <v>85.512889626853479</v>
      </c>
      <c r="AB48" s="42">
        <v>4.2631578947368434</v>
      </c>
      <c r="AC48" s="125">
        <v>1</v>
      </c>
      <c r="AD48" s="94">
        <f t="shared" si="37"/>
        <v>2.1208332728826343E-2</v>
      </c>
      <c r="AE48" s="94">
        <f t="shared" si="38"/>
        <v>2.6315514949288406E-2</v>
      </c>
      <c r="AF48" s="96">
        <f t="shared" si="11"/>
        <v>2.1451170837605342E-4</v>
      </c>
      <c r="AG48" s="95">
        <f t="shared" si="52"/>
        <v>3.597845987589231E-3</v>
      </c>
      <c r="AH48" s="94">
        <f t="shared" si="39"/>
        <v>2.2503157253323122E-2</v>
      </c>
      <c r="AI48" s="94">
        <f t="shared" si="40"/>
        <v>0.11218719531012429</v>
      </c>
      <c r="AJ48" s="96">
        <f t="shared" si="41"/>
        <v>6.6050389567865147E-4</v>
      </c>
      <c r="AK48" s="95">
        <f t="shared" si="13"/>
        <v>3.9328073194569903E-3</v>
      </c>
      <c r="AL48" s="95">
        <f t="shared" si="14"/>
        <v>5.3967689813838463E-3</v>
      </c>
      <c r="AM48" s="94">
        <f t="shared" si="15"/>
        <v>3.3754735879984683E-2</v>
      </c>
      <c r="AN48" s="93">
        <f t="shared" si="16"/>
        <v>0.78531036717086999</v>
      </c>
      <c r="AO48" s="96">
        <f t="shared" si="17"/>
        <v>9.9075584351797732E-4</v>
      </c>
      <c r="AP48" s="95">
        <f t="shared" si="18"/>
        <v>5.8992109791854855E-3</v>
      </c>
      <c r="AQ48" s="93">
        <f t="shared" si="19"/>
        <v>0.14487110373146522</v>
      </c>
      <c r="AR48" s="31">
        <v>1.5</v>
      </c>
      <c r="AS48" s="31">
        <v>1.5</v>
      </c>
      <c r="AT48" s="31">
        <v>7</v>
      </c>
      <c r="AU48" s="43">
        <v>7.0999999999999994E-2</v>
      </c>
      <c r="AV48" s="44">
        <v>0.28000000000000003</v>
      </c>
      <c r="AW48" s="43">
        <v>1.7999999999999999E-2</v>
      </c>
      <c r="AX48" s="44">
        <v>0.13</v>
      </c>
      <c r="AY48" s="40">
        <v>7.081758249007474</v>
      </c>
      <c r="AZ48" s="41">
        <v>0.5</v>
      </c>
      <c r="BA48" s="40">
        <v>0.72</v>
      </c>
      <c r="BB48" s="45">
        <v>1</v>
      </c>
      <c r="BC48" s="41">
        <v>3.3197225366043677</v>
      </c>
      <c r="BD48" s="41">
        <v>24.127673726603245</v>
      </c>
      <c r="BE48" s="41">
        <v>72.552603736792392</v>
      </c>
      <c r="BF48" s="125">
        <v>1</v>
      </c>
      <c r="BG48" s="48">
        <f t="shared" si="42"/>
        <v>4.10666191750761E-3</v>
      </c>
      <c r="BH48" s="48">
        <f t="shared" si="43"/>
        <v>4.10666191750761E-3</v>
      </c>
      <c r="BI48" s="99">
        <f t="shared" si="44"/>
        <v>1.3632978117764921E-4</v>
      </c>
      <c r="BJ48" s="99">
        <f t="shared" si="45"/>
        <v>9.9084198851090454E-4</v>
      </c>
      <c r="BK48" s="48">
        <f t="shared" si="46"/>
        <v>2.979490147819056E-3</v>
      </c>
      <c r="BL48" s="99">
        <f t="shared" si="20"/>
        <v>1.9238352196370134E-4</v>
      </c>
      <c r="BM48" s="48">
        <f t="shared" si="21"/>
        <v>1.012051664738391E-3</v>
      </c>
      <c r="BN48" s="48">
        <f t="shared" si="22"/>
        <v>1.4862629827663569E-3</v>
      </c>
      <c r="BO48" s="48">
        <f t="shared" si="23"/>
        <v>4.4692352217285836E-3</v>
      </c>
      <c r="BP48" s="99">
        <f t="shared" si="24"/>
        <v>2.8857528294555203E-4</v>
      </c>
      <c r="BQ48" s="48">
        <f t="shared" si="25"/>
        <v>1.5180774971075867E-3</v>
      </c>
      <c r="BR48" s="40">
        <f t="shared" si="26"/>
        <v>0.27447396263207607</v>
      </c>
      <c r="BS48" s="31">
        <v>1.5</v>
      </c>
      <c r="BT48" s="31">
        <v>1.5</v>
      </c>
      <c r="BU48" s="43">
        <v>0.125</v>
      </c>
      <c r="BV48" s="44">
        <v>0.42</v>
      </c>
      <c r="BW48" s="43">
        <v>2.3E-2</v>
      </c>
      <c r="BX48" s="44">
        <v>0.2</v>
      </c>
      <c r="BY48" s="40">
        <v>17.493153787299189</v>
      </c>
      <c r="BZ48" s="40">
        <v>0.52</v>
      </c>
      <c r="CA48" s="40">
        <v>0.65</v>
      </c>
      <c r="CB48" s="45">
        <v>1</v>
      </c>
      <c r="CC48" s="41">
        <v>0.82393172144641647</v>
      </c>
      <c r="CD48" s="41">
        <v>23.031994076959833</v>
      </c>
      <c r="CE48" s="41">
        <v>76.144074201593753</v>
      </c>
      <c r="CF48" s="125">
        <v>1</v>
      </c>
      <c r="CG48" s="40">
        <f t="shared" si="47"/>
        <v>2.2978858060757872E-2</v>
      </c>
      <c r="CH48" s="40">
        <f t="shared" si="48"/>
        <v>2.2978858060757872E-2</v>
      </c>
      <c r="CI48" s="99">
        <f t="shared" si="49"/>
        <v>1.8933010078873096E-4</v>
      </c>
      <c r="CJ48" s="100">
        <f t="shared" si="50"/>
        <v>5.29248922750676E-3</v>
      </c>
      <c r="CK48" s="100">
        <f t="shared" si="51"/>
        <v>1.7497038732462382E-2</v>
      </c>
      <c r="CL48" s="101">
        <f t="shared" si="27"/>
        <v>8.9668673613238611E-4</v>
      </c>
      <c r="CM48" s="100">
        <f t="shared" si="28"/>
        <v>4.6886266085969935E-3</v>
      </c>
      <c r="CN48" s="100">
        <f t="shared" si="29"/>
        <v>7.9387338412601396E-3</v>
      </c>
      <c r="CO48" s="100">
        <f t="shared" si="30"/>
        <v>2.6245558098693573E-2</v>
      </c>
      <c r="CP48" s="101">
        <f t="shared" si="31"/>
        <v>1.3450301041985791E-3</v>
      </c>
      <c r="CQ48" s="100">
        <f t="shared" si="32"/>
        <v>7.0329399128954903E-3</v>
      </c>
      <c r="CR48" s="99">
        <f t="shared" si="33"/>
        <v>0.23855925798406249</v>
      </c>
      <c r="CS48" s="31">
        <v>1.5</v>
      </c>
      <c r="CT48" s="31">
        <v>1.5</v>
      </c>
      <c r="CU48" s="43">
        <v>0.1</v>
      </c>
      <c r="CV48" s="44">
        <v>0.39</v>
      </c>
      <c r="CW48" s="43">
        <v>2.1000000000000001E-2</v>
      </c>
      <c r="CX48" s="44">
        <v>0.15</v>
      </c>
      <c r="CY48" s="124"/>
    </row>
    <row r="49" spans="1:196" s="23" customFormat="1" x14ac:dyDescent="0.25">
      <c r="A49" s="31">
        <v>35</v>
      </c>
      <c r="B49" s="83">
        <v>3</v>
      </c>
      <c r="C49" s="31">
        <v>50</v>
      </c>
      <c r="D49" s="31" t="s">
        <v>36</v>
      </c>
      <c r="E49" s="31" t="s">
        <v>5</v>
      </c>
      <c r="F49" s="31" t="s">
        <v>0</v>
      </c>
      <c r="G49" s="31" t="str">
        <f t="shared" si="34"/>
        <v>Kommunal 50 M 3 D</v>
      </c>
      <c r="H49" s="48">
        <f t="shared" si="0"/>
        <v>4.2100650638578666E-2</v>
      </c>
      <c r="I49" s="40">
        <f t="shared" si="1"/>
        <v>6.0033407724532528E-2</v>
      </c>
      <c r="J49" s="99">
        <f t="shared" si="2"/>
        <v>3.256598819663802E-4</v>
      </c>
      <c r="K49" s="48">
        <f t="shared" si="3"/>
        <v>9.8682967821166895E-3</v>
      </c>
      <c r="L49" s="48">
        <f t="shared" si="4"/>
        <v>4.9839451060449458E-2</v>
      </c>
      <c r="M49" s="48">
        <f t="shared" si="35"/>
        <v>0.33313975387892242</v>
      </c>
      <c r="N49" s="99">
        <f t="shared" si="5"/>
        <v>1.8721354125321426E-3</v>
      </c>
      <c r="O49" s="48">
        <f t="shared" si="6"/>
        <v>1.0521648515264954E-2</v>
      </c>
      <c r="P49" s="48">
        <f t="shared" si="7"/>
        <v>1.4802445173175032E-2</v>
      </c>
      <c r="Q49" s="48">
        <f t="shared" si="8"/>
        <v>7.4759176590674187E-2</v>
      </c>
      <c r="R49" s="40">
        <f t="shared" si="36"/>
        <v>2.3319782771524569</v>
      </c>
      <c r="S49" s="99">
        <f t="shared" si="9"/>
        <v>2.8082031187982139E-3</v>
      </c>
      <c r="T49" s="48">
        <f t="shared" si="10"/>
        <v>1.5782472772897432E-2</v>
      </c>
      <c r="U49" s="40">
        <v>0.62040329999999988</v>
      </c>
      <c r="V49" s="40">
        <v>1.2</v>
      </c>
      <c r="W49" s="45">
        <v>0</v>
      </c>
      <c r="X49" s="40">
        <v>2.1943124233578808</v>
      </c>
      <c r="Y49" s="42">
        <v>0</v>
      </c>
      <c r="Z49" s="42">
        <v>10.88071439877112</v>
      </c>
      <c r="AA49" s="42">
        <v>89.119285601228881</v>
      </c>
      <c r="AB49" s="42">
        <v>10.111111111111114</v>
      </c>
      <c r="AC49" s="125">
        <v>1</v>
      </c>
      <c r="AD49" s="94">
        <f t="shared" si="37"/>
        <v>1.5015130660313186E-2</v>
      </c>
      <c r="AE49" s="94">
        <f t="shared" si="38"/>
        <v>3.2947887746267043E-2</v>
      </c>
      <c r="AF49" s="96">
        <f t="shared" si="11"/>
        <v>0</v>
      </c>
      <c r="AG49" s="95">
        <f t="shared" si="52"/>
        <v>3.5849655660990238E-3</v>
      </c>
      <c r="AH49" s="94">
        <f t="shared" si="39"/>
        <v>2.9362922180168019E-2</v>
      </c>
      <c r="AI49" s="94">
        <f t="shared" si="40"/>
        <v>0.33313975387892242</v>
      </c>
      <c r="AJ49" s="96">
        <f t="shared" si="41"/>
        <v>7.8306515443605498E-4</v>
      </c>
      <c r="AK49" s="95">
        <f t="shared" si="13"/>
        <v>4.8209702419295692E-3</v>
      </c>
      <c r="AL49" s="95">
        <f t="shared" si="14"/>
        <v>5.3774483491485356E-3</v>
      </c>
      <c r="AM49" s="94">
        <f t="shared" si="15"/>
        <v>4.4044383270252029E-2</v>
      </c>
      <c r="AN49" s="93">
        <f t="shared" si="16"/>
        <v>2.3319782771524569</v>
      </c>
      <c r="AO49" s="96">
        <f t="shared" si="17"/>
        <v>1.1745977316540825E-3</v>
      </c>
      <c r="AP49" s="95">
        <f t="shared" si="18"/>
        <v>7.2314553628943538E-3</v>
      </c>
      <c r="AQ49" s="93">
        <f t="shared" si="19"/>
        <v>0.1088071439877112</v>
      </c>
      <c r="AR49" s="31">
        <v>1.5</v>
      </c>
      <c r="AS49" s="31">
        <v>1.5</v>
      </c>
      <c r="AT49" s="31">
        <v>7</v>
      </c>
      <c r="AU49" s="43">
        <v>7.0999999999999994E-2</v>
      </c>
      <c r="AV49" s="44">
        <v>0.28000000000000003</v>
      </c>
      <c r="AW49" s="43">
        <v>1.7999999999999999E-2</v>
      </c>
      <c r="AX49" s="44">
        <v>0.13</v>
      </c>
      <c r="AY49" s="40">
        <v>7.081758249007474</v>
      </c>
      <c r="AZ49" s="41">
        <v>0.5</v>
      </c>
      <c r="BA49" s="40">
        <v>0.72</v>
      </c>
      <c r="BB49" s="45">
        <v>1</v>
      </c>
      <c r="BC49" s="41">
        <v>3.3197225366043677</v>
      </c>
      <c r="BD49" s="41">
        <v>24.127673726603245</v>
      </c>
      <c r="BE49" s="41">
        <v>72.552603736792392</v>
      </c>
      <c r="BF49" s="125">
        <v>1</v>
      </c>
      <c r="BG49" s="48">
        <f t="shared" si="42"/>
        <v>4.10666191750761E-3</v>
      </c>
      <c r="BH49" s="48">
        <f t="shared" si="43"/>
        <v>4.10666191750761E-3</v>
      </c>
      <c r="BI49" s="99">
        <f t="shared" si="44"/>
        <v>1.3632978117764921E-4</v>
      </c>
      <c r="BJ49" s="99">
        <f t="shared" si="45"/>
        <v>9.9084198851090454E-4</v>
      </c>
      <c r="BK49" s="48">
        <f t="shared" si="46"/>
        <v>2.979490147819056E-3</v>
      </c>
      <c r="BL49" s="99">
        <f t="shared" si="20"/>
        <v>1.9238352196370134E-4</v>
      </c>
      <c r="BM49" s="48">
        <f t="shared" si="21"/>
        <v>1.012051664738391E-3</v>
      </c>
      <c r="BN49" s="48">
        <f t="shared" si="22"/>
        <v>1.4862629827663569E-3</v>
      </c>
      <c r="BO49" s="48">
        <f t="shared" si="23"/>
        <v>4.4692352217285836E-3</v>
      </c>
      <c r="BP49" s="99">
        <f t="shared" si="24"/>
        <v>2.8857528294555203E-4</v>
      </c>
      <c r="BQ49" s="48">
        <f t="shared" si="25"/>
        <v>1.5180774971075867E-3</v>
      </c>
      <c r="BR49" s="40">
        <f t="shared" si="26"/>
        <v>0.27447396263207607</v>
      </c>
      <c r="BS49" s="31">
        <v>1.5</v>
      </c>
      <c r="BT49" s="31">
        <v>1.5</v>
      </c>
      <c r="BU49" s="43">
        <v>0.125</v>
      </c>
      <c r="BV49" s="44">
        <v>0.42</v>
      </c>
      <c r="BW49" s="43">
        <v>2.3E-2</v>
      </c>
      <c r="BX49" s="44">
        <v>0.2</v>
      </c>
      <c r="BY49" s="40">
        <v>17.493153787299189</v>
      </c>
      <c r="BZ49" s="40">
        <v>0.52</v>
      </c>
      <c r="CA49" s="40">
        <v>0.65</v>
      </c>
      <c r="CB49" s="45">
        <v>1</v>
      </c>
      <c r="CC49" s="41">
        <v>0.82393172144641647</v>
      </c>
      <c r="CD49" s="41">
        <v>23.031994076959833</v>
      </c>
      <c r="CE49" s="41">
        <v>76.144074201593753</v>
      </c>
      <c r="CF49" s="125">
        <v>1</v>
      </c>
      <c r="CG49" s="40">
        <f t="shared" si="47"/>
        <v>2.2978858060757872E-2</v>
      </c>
      <c r="CH49" s="40">
        <f t="shared" si="48"/>
        <v>2.2978858060757872E-2</v>
      </c>
      <c r="CI49" s="99">
        <f t="shared" si="49"/>
        <v>1.8933010078873096E-4</v>
      </c>
      <c r="CJ49" s="100">
        <f t="shared" si="50"/>
        <v>5.29248922750676E-3</v>
      </c>
      <c r="CK49" s="100">
        <f t="shared" si="51"/>
        <v>1.7497038732462382E-2</v>
      </c>
      <c r="CL49" s="101">
        <f t="shared" si="27"/>
        <v>8.9668673613238611E-4</v>
      </c>
      <c r="CM49" s="100">
        <f t="shared" si="28"/>
        <v>4.6886266085969935E-3</v>
      </c>
      <c r="CN49" s="100">
        <f t="shared" si="29"/>
        <v>7.9387338412601396E-3</v>
      </c>
      <c r="CO49" s="100">
        <f t="shared" si="30"/>
        <v>2.6245558098693573E-2</v>
      </c>
      <c r="CP49" s="101">
        <f t="shared" si="31"/>
        <v>1.3450301041985791E-3</v>
      </c>
      <c r="CQ49" s="100">
        <f t="shared" si="32"/>
        <v>7.0329399128954903E-3</v>
      </c>
      <c r="CR49" s="99">
        <f t="shared" si="33"/>
        <v>0.23855925798406249</v>
      </c>
      <c r="CS49" s="31">
        <v>1.5</v>
      </c>
      <c r="CT49" s="31">
        <v>1.5</v>
      </c>
      <c r="CU49" s="43">
        <v>0.1</v>
      </c>
      <c r="CV49" s="44">
        <v>0.39</v>
      </c>
      <c r="CW49" s="43">
        <v>2.1000000000000001E-2</v>
      </c>
      <c r="CX49" s="44">
        <v>0.15</v>
      </c>
      <c r="CY49" s="124"/>
    </row>
    <row r="50" spans="1:196" s="23" customFormat="1" x14ac:dyDescent="0.25">
      <c r="A50" s="31">
        <v>36</v>
      </c>
      <c r="B50" s="83">
        <v>3</v>
      </c>
      <c r="C50" s="31">
        <v>50</v>
      </c>
      <c r="D50" s="31" t="s">
        <v>36</v>
      </c>
      <c r="E50" s="31" t="s">
        <v>5</v>
      </c>
      <c r="F50" s="31" t="s">
        <v>62</v>
      </c>
      <c r="G50" s="31" t="str">
        <f t="shared" si="34"/>
        <v>Kommunal 50 M 3 EE</v>
      </c>
      <c r="H50" s="48">
        <f t="shared" si="0"/>
        <v>7.5908695073751156E-2</v>
      </c>
      <c r="I50" s="40">
        <f t="shared" si="1"/>
        <v>8.798234294278412E-2</v>
      </c>
      <c r="J50" s="99">
        <f t="shared" si="2"/>
        <v>3.256598819663802E-4</v>
      </c>
      <c r="K50" s="48">
        <f t="shared" si="3"/>
        <v>1.2909340600712202E-2</v>
      </c>
      <c r="L50" s="48">
        <f t="shared" si="4"/>
        <v>7.4747342460105531E-2</v>
      </c>
      <c r="M50" s="48">
        <f t="shared" si="35"/>
        <v>0.25961277158557949</v>
      </c>
      <c r="N50" s="99">
        <f t="shared" si="5"/>
        <v>2.5363915688462334E-3</v>
      </c>
      <c r="O50" s="48">
        <f t="shared" si="6"/>
        <v>1.4611166666426988E-2</v>
      </c>
      <c r="P50" s="48">
        <f t="shared" si="7"/>
        <v>1.9364010901068304E-2</v>
      </c>
      <c r="Q50" s="48">
        <f t="shared" si="8"/>
        <v>0.1121210136901583</v>
      </c>
      <c r="R50" s="40">
        <f t="shared" si="36"/>
        <v>1.8172894010990563</v>
      </c>
      <c r="S50" s="99">
        <f t="shared" si="9"/>
        <v>3.8045873532693499E-3</v>
      </c>
      <c r="T50" s="48">
        <f t="shared" si="10"/>
        <v>2.1916749999640481E-2</v>
      </c>
      <c r="U50" s="40">
        <v>2.5130159999999999</v>
      </c>
      <c r="V50" s="40">
        <v>1.2</v>
      </c>
      <c r="W50" s="41">
        <v>0.1</v>
      </c>
      <c r="X50" s="40">
        <v>1.2472933774876374</v>
      </c>
      <c r="Y50" s="42">
        <v>0</v>
      </c>
      <c r="Z50" s="42">
        <v>10.88071439877112</v>
      </c>
      <c r="AA50" s="42">
        <v>89.119285601228881</v>
      </c>
      <c r="AB50" s="42">
        <v>4.2631578947368434</v>
      </c>
      <c r="AC50" s="125">
        <v>1</v>
      </c>
      <c r="AD50" s="94">
        <f t="shared" si="37"/>
        <v>4.8823175095485678E-2</v>
      </c>
      <c r="AE50" s="94">
        <f t="shared" si="38"/>
        <v>6.0896822964518635E-2</v>
      </c>
      <c r="AF50" s="96">
        <f t="shared" si="11"/>
        <v>0</v>
      </c>
      <c r="AG50" s="95">
        <f t="shared" si="52"/>
        <v>6.6260093846945379E-3</v>
      </c>
      <c r="AH50" s="94">
        <f t="shared" si="39"/>
        <v>5.42708135798241E-2</v>
      </c>
      <c r="AI50" s="94">
        <f t="shared" si="40"/>
        <v>0.25961277158557949</v>
      </c>
      <c r="AJ50" s="96">
        <f t="shared" si="41"/>
        <v>1.4473213107501458E-3</v>
      </c>
      <c r="AK50" s="95">
        <f t="shared" si="13"/>
        <v>8.9104883930916038E-3</v>
      </c>
      <c r="AL50" s="95">
        <f t="shared" si="14"/>
        <v>9.9390140770418064E-3</v>
      </c>
      <c r="AM50" s="94">
        <f t="shared" si="15"/>
        <v>8.1406220369736146E-2</v>
      </c>
      <c r="AN50" s="93">
        <f t="shared" si="16"/>
        <v>1.8172894010990563</v>
      </c>
      <c r="AO50" s="96">
        <f t="shared" si="17"/>
        <v>2.1709819661252187E-3</v>
      </c>
      <c r="AP50" s="95">
        <f t="shared" si="18"/>
        <v>1.3365732589637405E-2</v>
      </c>
      <c r="AQ50" s="93">
        <f t="shared" si="19"/>
        <v>0.10880714398771121</v>
      </c>
      <c r="AR50" s="31">
        <v>1.5</v>
      </c>
      <c r="AS50" s="31">
        <v>1.5</v>
      </c>
      <c r="AT50" s="31">
        <v>7</v>
      </c>
      <c r="AU50" s="43">
        <v>7.0999999999999994E-2</v>
      </c>
      <c r="AV50" s="44">
        <v>0.28000000000000003</v>
      </c>
      <c r="AW50" s="43">
        <v>1.7999999999999999E-2</v>
      </c>
      <c r="AX50" s="44">
        <v>0.13</v>
      </c>
      <c r="AY50" s="40">
        <v>7.081758249007474</v>
      </c>
      <c r="AZ50" s="41">
        <v>0.5</v>
      </c>
      <c r="BA50" s="40">
        <v>0.72</v>
      </c>
      <c r="BB50" s="45">
        <v>1</v>
      </c>
      <c r="BC50" s="41">
        <v>3.3197225366043677</v>
      </c>
      <c r="BD50" s="41">
        <v>24.127673726603245</v>
      </c>
      <c r="BE50" s="41">
        <v>72.552603736792392</v>
      </c>
      <c r="BF50" s="125">
        <v>1</v>
      </c>
      <c r="BG50" s="48">
        <f t="shared" si="42"/>
        <v>4.10666191750761E-3</v>
      </c>
      <c r="BH50" s="48">
        <f t="shared" si="43"/>
        <v>4.10666191750761E-3</v>
      </c>
      <c r="BI50" s="99">
        <f t="shared" si="44"/>
        <v>1.3632978117764921E-4</v>
      </c>
      <c r="BJ50" s="99">
        <f t="shared" si="45"/>
        <v>9.9084198851090454E-4</v>
      </c>
      <c r="BK50" s="48">
        <f t="shared" si="46"/>
        <v>2.979490147819056E-3</v>
      </c>
      <c r="BL50" s="99">
        <f t="shared" si="20"/>
        <v>1.9238352196370134E-4</v>
      </c>
      <c r="BM50" s="48">
        <f t="shared" si="21"/>
        <v>1.012051664738391E-3</v>
      </c>
      <c r="BN50" s="48">
        <f t="shared" si="22"/>
        <v>1.4862629827663569E-3</v>
      </c>
      <c r="BO50" s="48">
        <f t="shared" si="23"/>
        <v>4.4692352217285836E-3</v>
      </c>
      <c r="BP50" s="99">
        <f t="shared" si="24"/>
        <v>2.8857528294555203E-4</v>
      </c>
      <c r="BQ50" s="48">
        <f t="shared" si="25"/>
        <v>1.5180774971075867E-3</v>
      </c>
      <c r="BR50" s="40">
        <f t="shared" si="26"/>
        <v>0.27447396263207607</v>
      </c>
      <c r="BS50" s="31">
        <v>1.5</v>
      </c>
      <c r="BT50" s="31">
        <v>1.5</v>
      </c>
      <c r="BU50" s="43">
        <v>0.125</v>
      </c>
      <c r="BV50" s="44">
        <v>0.42</v>
      </c>
      <c r="BW50" s="43">
        <v>2.3E-2</v>
      </c>
      <c r="BX50" s="44">
        <v>0.2</v>
      </c>
      <c r="BY50" s="40">
        <v>17.493153787299189</v>
      </c>
      <c r="BZ50" s="40">
        <v>0.52</v>
      </c>
      <c r="CA50" s="40">
        <v>0.65</v>
      </c>
      <c r="CB50" s="45">
        <v>1</v>
      </c>
      <c r="CC50" s="41">
        <v>0.82393172144641647</v>
      </c>
      <c r="CD50" s="41">
        <v>23.031994076959833</v>
      </c>
      <c r="CE50" s="41">
        <v>76.144074201593753</v>
      </c>
      <c r="CF50" s="125">
        <v>1</v>
      </c>
      <c r="CG50" s="40">
        <f t="shared" si="47"/>
        <v>2.2978858060757872E-2</v>
      </c>
      <c r="CH50" s="40">
        <f t="shared" si="48"/>
        <v>2.2978858060757872E-2</v>
      </c>
      <c r="CI50" s="99">
        <f t="shared" si="49"/>
        <v>1.8933010078873096E-4</v>
      </c>
      <c r="CJ50" s="100">
        <f t="shared" si="50"/>
        <v>5.29248922750676E-3</v>
      </c>
      <c r="CK50" s="100">
        <f t="shared" si="51"/>
        <v>1.7497038732462382E-2</v>
      </c>
      <c r="CL50" s="101">
        <f t="shared" si="27"/>
        <v>8.9668673613238611E-4</v>
      </c>
      <c r="CM50" s="100">
        <f t="shared" si="28"/>
        <v>4.6886266085969935E-3</v>
      </c>
      <c r="CN50" s="100">
        <f t="shared" si="29"/>
        <v>7.9387338412601396E-3</v>
      </c>
      <c r="CO50" s="100">
        <f t="shared" si="30"/>
        <v>2.6245558098693573E-2</v>
      </c>
      <c r="CP50" s="101">
        <f t="shared" si="31"/>
        <v>1.3450301041985791E-3</v>
      </c>
      <c r="CQ50" s="100">
        <f t="shared" si="32"/>
        <v>7.0329399128954903E-3</v>
      </c>
      <c r="CR50" s="99">
        <f t="shared" si="33"/>
        <v>0.23855925798406249</v>
      </c>
      <c r="CS50" s="31">
        <v>1.5</v>
      </c>
      <c r="CT50" s="31">
        <v>1.5</v>
      </c>
      <c r="CU50" s="43">
        <v>0.1</v>
      </c>
      <c r="CV50" s="44">
        <v>0.39</v>
      </c>
      <c r="CW50" s="43">
        <v>2.1000000000000001E-2</v>
      </c>
      <c r="CX50" s="44">
        <v>0.15</v>
      </c>
      <c r="CY50" s="124"/>
    </row>
    <row r="51" spans="1:196" s="23" customFormat="1" x14ac:dyDescent="0.25">
      <c r="A51" s="31">
        <v>37</v>
      </c>
      <c r="B51" s="83">
        <v>3</v>
      </c>
      <c r="C51" s="31">
        <v>50</v>
      </c>
      <c r="D51" s="31" t="s">
        <v>36</v>
      </c>
      <c r="E51" s="31" t="s">
        <v>5</v>
      </c>
      <c r="F51" s="31" t="s">
        <v>63</v>
      </c>
      <c r="G51" s="31" t="str">
        <f t="shared" si="34"/>
        <v>Kommunal 50 M 3 ES</v>
      </c>
      <c r="H51" s="48">
        <f t="shared" si="0"/>
        <v>5.408982892644619E-2</v>
      </c>
      <c r="I51" s="40">
        <f t="shared" si="1"/>
        <v>6.2639054343777867E-2</v>
      </c>
      <c r="J51" s="99">
        <f t="shared" si="2"/>
        <v>3.256598819663802E-4</v>
      </c>
      <c r="K51" s="48">
        <f t="shared" si="3"/>
        <v>1.0151809748998011E-2</v>
      </c>
      <c r="L51" s="48">
        <f t="shared" si="4"/>
        <v>5.2161584712813472E-2</v>
      </c>
      <c r="M51" s="48">
        <f t="shared" si="35"/>
        <v>0.20147002807123682</v>
      </c>
      <c r="N51" s="99">
        <f t="shared" si="5"/>
        <v>1.9340632389232685E-3</v>
      </c>
      <c r="O51" s="48">
        <f t="shared" si="6"/>
        <v>1.0902909520799045E-2</v>
      </c>
      <c r="P51" s="48">
        <f t="shared" si="7"/>
        <v>1.5227714623497014E-2</v>
      </c>
      <c r="Q51" s="48">
        <f t="shared" si="8"/>
        <v>7.8242377069220201E-2</v>
      </c>
      <c r="R51" s="40">
        <f t="shared" si="36"/>
        <v>1.4102901964986576</v>
      </c>
      <c r="S51" s="99">
        <f t="shared" si="9"/>
        <v>2.901094858384903E-3</v>
      </c>
      <c r="T51" s="48">
        <f t="shared" si="10"/>
        <v>1.6354364281198568E-2</v>
      </c>
      <c r="U51" s="40">
        <v>1.3899600000000003</v>
      </c>
      <c r="V51" s="40">
        <v>1.2</v>
      </c>
      <c r="W51" s="41">
        <v>0.1</v>
      </c>
      <c r="X51" s="40">
        <v>1.316587454014728</v>
      </c>
      <c r="Y51" s="42">
        <v>0</v>
      </c>
      <c r="Z51" s="42">
        <v>10.880714398771122</v>
      </c>
      <c r="AA51" s="42">
        <v>89.119285601228881</v>
      </c>
      <c r="AB51" s="42">
        <v>5.6666666666666661</v>
      </c>
      <c r="AC51" s="125">
        <v>1</v>
      </c>
      <c r="AD51" s="94">
        <f t="shared" si="37"/>
        <v>2.7004308948180712E-2</v>
      </c>
      <c r="AE51" s="94">
        <f t="shared" si="38"/>
        <v>3.5553534365512382E-2</v>
      </c>
      <c r="AF51" s="96">
        <f t="shared" si="11"/>
        <v>0</v>
      </c>
      <c r="AG51" s="95">
        <f t="shared" si="52"/>
        <v>3.868478532980345E-3</v>
      </c>
      <c r="AH51" s="94">
        <f t="shared" si="39"/>
        <v>3.1685055832532033E-2</v>
      </c>
      <c r="AI51" s="94">
        <f t="shared" si="40"/>
        <v>0.20147002807123682</v>
      </c>
      <c r="AJ51" s="96">
        <f t="shared" si="41"/>
        <v>8.449929808271809E-4</v>
      </c>
      <c r="AK51" s="95">
        <f t="shared" si="13"/>
        <v>5.2022312474636605E-3</v>
      </c>
      <c r="AL51" s="95">
        <f t="shared" si="14"/>
        <v>5.8027177994705173E-3</v>
      </c>
      <c r="AM51" s="94">
        <f t="shared" si="15"/>
        <v>4.752758374879805E-2</v>
      </c>
      <c r="AN51" s="93">
        <f t="shared" si="16"/>
        <v>1.4102901964986576</v>
      </c>
      <c r="AO51" s="96">
        <f t="shared" si="17"/>
        <v>1.2674894712407716E-3</v>
      </c>
      <c r="AP51" s="95">
        <f t="shared" si="18"/>
        <v>7.8033468711954917E-3</v>
      </c>
      <c r="AQ51" s="93">
        <f t="shared" si="19"/>
        <v>0.10880714398771123</v>
      </c>
      <c r="AR51" s="31">
        <v>1.5</v>
      </c>
      <c r="AS51" s="31">
        <v>1.5</v>
      </c>
      <c r="AT51" s="31">
        <v>7</v>
      </c>
      <c r="AU51" s="43">
        <v>7.0999999999999994E-2</v>
      </c>
      <c r="AV51" s="44">
        <v>0.28000000000000003</v>
      </c>
      <c r="AW51" s="43">
        <v>1.7999999999999999E-2</v>
      </c>
      <c r="AX51" s="44">
        <v>0.13</v>
      </c>
      <c r="AY51" s="40">
        <v>7.081758249007474</v>
      </c>
      <c r="AZ51" s="41">
        <v>0.5</v>
      </c>
      <c r="BA51" s="40">
        <v>0.72</v>
      </c>
      <c r="BB51" s="45">
        <v>1</v>
      </c>
      <c r="BC51" s="41">
        <v>3.3197225366043677</v>
      </c>
      <c r="BD51" s="41">
        <v>24.127673726603245</v>
      </c>
      <c r="BE51" s="41">
        <v>72.552603736792392</v>
      </c>
      <c r="BF51" s="125">
        <v>1</v>
      </c>
      <c r="BG51" s="48">
        <f t="shared" si="42"/>
        <v>4.10666191750761E-3</v>
      </c>
      <c r="BH51" s="48">
        <f t="shared" si="43"/>
        <v>4.10666191750761E-3</v>
      </c>
      <c r="BI51" s="99">
        <f t="shared" si="44"/>
        <v>1.3632978117764921E-4</v>
      </c>
      <c r="BJ51" s="99">
        <f t="shared" si="45"/>
        <v>9.9084198851090454E-4</v>
      </c>
      <c r="BK51" s="48">
        <f t="shared" si="46"/>
        <v>2.979490147819056E-3</v>
      </c>
      <c r="BL51" s="99">
        <f t="shared" si="20"/>
        <v>1.9238352196370134E-4</v>
      </c>
      <c r="BM51" s="48">
        <f t="shared" si="21"/>
        <v>1.012051664738391E-3</v>
      </c>
      <c r="BN51" s="48">
        <f t="shared" si="22"/>
        <v>1.4862629827663569E-3</v>
      </c>
      <c r="BO51" s="48">
        <f t="shared" si="23"/>
        <v>4.4692352217285836E-3</v>
      </c>
      <c r="BP51" s="99">
        <f t="shared" si="24"/>
        <v>2.8857528294555203E-4</v>
      </c>
      <c r="BQ51" s="48">
        <f t="shared" si="25"/>
        <v>1.5180774971075867E-3</v>
      </c>
      <c r="BR51" s="40">
        <f t="shared" si="26"/>
        <v>0.27447396263207607</v>
      </c>
      <c r="BS51" s="31">
        <v>1.5</v>
      </c>
      <c r="BT51" s="31">
        <v>1.5</v>
      </c>
      <c r="BU51" s="43">
        <v>0.125</v>
      </c>
      <c r="BV51" s="44">
        <v>0.42</v>
      </c>
      <c r="BW51" s="43">
        <v>2.3E-2</v>
      </c>
      <c r="BX51" s="44">
        <v>0.2</v>
      </c>
      <c r="BY51" s="40">
        <v>17.493153787299189</v>
      </c>
      <c r="BZ51" s="40">
        <v>0.52</v>
      </c>
      <c r="CA51" s="40">
        <v>0.65</v>
      </c>
      <c r="CB51" s="45">
        <v>1</v>
      </c>
      <c r="CC51" s="41">
        <v>0.82393172144641647</v>
      </c>
      <c r="CD51" s="41">
        <v>23.031994076959833</v>
      </c>
      <c r="CE51" s="41">
        <v>76.144074201593753</v>
      </c>
      <c r="CF51" s="125">
        <v>1</v>
      </c>
      <c r="CG51" s="40">
        <f t="shared" si="47"/>
        <v>2.2978858060757872E-2</v>
      </c>
      <c r="CH51" s="40">
        <f t="shared" si="48"/>
        <v>2.2978858060757872E-2</v>
      </c>
      <c r="CI51" s="99">
        <f t="shared" si="49"/>
        <v>1.8933010078873096E-4</v>
      </c>
      <c r="CJ51" s="100">
        <f t="shared" si="50"/>
        <v>5.29248922750676E-3</v>
      </c>
      <c r="CK51" s="100">
        <f t="shared" si="51"/>
        <v>1.7497038732462382E-2</v>
      </c>
      <c r="CL51" s="101">
        <f t="shared" si="27"/>
        <v>8.9668673613238611E-4</v>
      </c>
      <c r="CM51" s="100">
        <f t="shared" si="28"/>
        <v>4.6886266085969935E-3</v>
      </c>
      <c r="CN51" s="100">
        <f t="shared" si="29"/>
        <v>7.9387338412601396E-3</v>
      </c>
      <c r="CO51" s="100">
        <f t="shared" si="30"/>
        <v>2.6245558098693573E-2</v>
      </c>
      <c r="CP51" s="101">
        <f t="shared" si="31"/>
        <v>1.3450301041985791E-3</v>
      </c>
      <c r="CQ51" s="100">
        <f t="shared" si="32"/>
        <v>7.0329399128954903E-3</v>
      </c>
      <c r="CR51" s="99">
        <f t="shared" si="33"/>
        <v>0.23855925798406249</v>
      </c>
      <c r="CS51" s="31">
        <v>1.5</v>
      </c>
      <c r="CT51" s="31">
        <v>1.5</v>
      </c>
      <c r="CU51" s="43">
        <v>0.1</v>
      </c>
      <c r="CV51" s="44">
        <v>0.39</v>
      </c>
      <c r="CW51" s="43">
        <v>2.1000000000000001E-2</v>
      </c>
      <c r="CX51" s="44">
        <v>0.15</v>
      </c>
      <c r="CY51" s="124"/>
    </row>
    <row r="52" spans="1:196" s="23" customFormat="1" x14ac:dyDescent="0.25">
      <c r="A52" s="31">
        <v>38</v>
      </c>
      <c r="B52" s="83">
        <v>3</v>
      </c>
      <c r="C52" s="31">
        <v>50</v>
      </c>
      <c r="D52" s="31" t="s">
        <v>36</v>
      </c>
      <c r="E52" s="31" t="s">
        <v>5</v>
      </c>
      <c r="F52" s="31" t="s">
        <v>64</v>
      </c>
      <c r="G52" s="31" t="str">
        <f t="shared" si="34"/>
        <v>Kommunal 50 M 3 F</v>
      </c>
      <c r="H52" s="48">
        <f t="shared" si="0"/>
        <v>3.638742029792616E-2</v>
      </c>
      <c r="I52" s="40">
        <f t="shared" si="1"/>
        <v>4.1705250505647919E-2</v>
      </c>
      <c r="J52" s="99">
        <f t="shared" si="2"/>
        <v>4.4483305328640985E-4</v>
      </c>
      <c r="K52" s="48">
        <f t="shared" si="3"/>
        <v>8.2821345424561252E-3</v>
      </c>
      <c r="L52" s="48">
        <f t="shared" si="4"/>
        <v>3.2978282909905385E-2</v>
      </c>
      <c r="M52" s="48">
        <f t="shared" si="35"/>
        <v>8.2845139655167169E-2</v>
      </c>
      <c r="N52" s="99">
        <f t="shared" si="5"/>
        <v>1.4560168668064492E-3</v>
      </c>
      <c r="O52" s="48">
        <f t="shared" si="6"/>
        <v>7.8855712285892665E-3</v>
      </c>
      <c r="P52" s="48">
        <f t="shared" si="7"/>
        <v>1.2423201813684186E-2</v>
      </c>
      <c r="Q52" s="48">
        <f t="shared" si="8"/>
        <v>4.9467424364858084E-2</v>
      </c>
      <c r="R52" s="40">
        <f t="shared" si="36"/>
        <v>0.57991597758617019</v>
      </c>
      <c r="S52" s="99">
        <f t="shared" si="9"/>
        <v>2.1840253002096736E-3</v>
      </c>
      <c r="T52" s="48">
        <f t="shared" si="10"/>
        <v>1.18283568428839E-2</v>
      </c>
      <c r="U52" s="40">
        <v>0.14077800000000004</v>
      </c>
      <c r="V52" s="40">
        <v>1.45</v>
      </c>
      <c r="W52" s="41">
        <v>0.5</v>
      </c>
      <c r="X52" s="40">
        <v>1.5716928826340884</v>
      </c>
      <c r="Y52" s="42">
        <v>0.81515299544557829</v>
      </c>
      <c r="Z52" s="42">
        <v>13.671957377700943</v>
      </c>
      <c r="AA52" s="42">
        <v>85.512889626853479</v>
      </c>
      <c r="AB52" s="42">
        <v>5.6666666666666661</v>
      </c>
      <c r="AC52" s="125">
        <v>1</v>
      </c>
      <c r="AD52" s="94">
        <f t="shared" si="37"/>
        <v>9.30190031966068E-3</v>
      </c>
      <c r="AE52" s="94">
        <f t="shared" si="38"/>
        <v>1.4619730527382442E-2</v>
      </c>
      <c r="AF52" s="96">
        <f t="shared" si="11"/>
        <v>1.1917317132002962E-4</v>
      </c>
      <c r="AG52" s="95">
        <f t="shared" si="52"/>
        <v>1.9988033264384608E-3</v>
      </c>
      <c r="AH52" s="94">
        <f t="shared" si="39"/>
        <v>1.2501754029623953E-2</v>
      </c>
      <c r="AI52" s="94">
        <f t="shared" si="40"/>
        <v>8.2845139655167169E-2</v>
      </c>
      <c r="AJ52" s="96">
        <f t="shared" si="41"/>
        <v>3.6694660871036184E-4</v>
      </c>
      <c r="AK52" s="95">
        <f t="shared" si="13"/>
        <v>2.1848929552538828E-3</v>
      </c>
      <c r="AL52" s="95">
        <f t="shared" si="14"/>
        <v>2.9982049896576913E-3</v>
      </c>
      <c r="AM52" s="94">
        <f t="shared" si="15"/>
        <v>1.8752631044435929E-2</v>
      </c>
      <c r="AN52" s="93">
        <f t="shared" si="16"/>
        <v>0.57991597758617019</v>
      </c>
      <c r="AO52" s="96">
        <f t="shared" si="17"/>
        <v>5.5041991306554279E-4</v>
      </c>
      <c r="AP52" s="95">
        <f t="shared" si="18"/>
        <v>3.2773394328808247E-3</v>
      </c>
      <c r="AQ52" s="93">
        <f t="shared" si="19"/>
        <v>0.14487110373146522</v>
      </c>
      <c r="AR52" s="31">
        <v>1.5</v>
      </c>
      <c r="AS52" s="31">
        <v>1.5</v>
      </c>
      <c r="AT52" s="31">
        <v>7</v>
      </c>
      <c r="AU52" s="43">
        <v>7.0999999999999994E-2</v>
      </c>
      <c r="AV52" s="44">
        <v>0.28000000000000003</v>
      </c>
      <c r="AW52" s="43">
        <v>1.7999999999999999E-2</v>
      </c>
      <c r="AX52" s="44">
        <v>0.13</v>
      </c>
      <c r="AY52" s="40">
        <v>7.0817582490074731</v>
      </c>
      <c r="AZ52" s="41">
        <v>0.5</v>
      </c>
      <c r="BA52" s="40">
        <v>0.72</v>
      </c>
      <c r="BB52" s="45">
        <v>1</v>
      </c>
      <c r="BC52" s="41">
        <v>3.3197225366043686</v>
      </c>
      <c r="BD52" s="41">
        <v>24.127673726603245</v>
      </c>
      <c r="BE52" s="41">
        <v>72.552603736792392</v>
      </c>
      <c r="BF52" s="125">
        <v>1</v>
      </c>
      <c r="BG52" s="48">
        <f t="shared" si="42"/>
        <v>4.1066619175076091E-3</v>
      </c>
      <c r="BH52" s="48">
        <f t="shared" si="43"/>
        <v>4.1066619175076091E-3</v>
      </c>
      <c r="BI52" s="99">
        <f t="shared" si="44"/>
        <v>1.3632978117764921E-4</v>
      </c>
      <c r="BJ52" s="99">
        <f t="shared" si="45"/>
        <v>9.9084198851090454E-4</v>
      </c>
      <c r="BK52" s="48">
        <f t="shared" si="46"/>
        <v>2.9794901478190556E-3</v>
      </c>
      <c r="BL52" s="99">
        <f t="shared" si="20"/>
        <v>1.9238352196370134E-4</v>
      </c>
      <c r="BM52" s="48">
        <f t="shared" si="21"/>
        <v>1.012051664738391E-3</v>
      </c>
      <c r="BN52" s="48">
        <f t="shared" si="22"/>
        <v>1.4862629827663569E-3</v>
      </c>
      <c r="BO52" s="48">
        <f t="shared" si="23"/>
        <v>4.4692352217285836E-3</v>
      </c>
      <c r="BP52" s="99">
        <f t="shared" si="24"/>
        <v>2.8857528294555203E-4</v>
      </c>
      <c r="BQ52" s="48">
        <f t="shared" si="25"/>
        <v>1.5180774971075867E-3</v>
      </c>
      <c r="BR52" s="40">
        <f t="shared" si="26"/>
        <v>0.27447396263207618</v>
      </c>
      <c r="BS52" s="31">
        <v>1.5</v>
      </c>
      <c r="BT52" s="31">
        <v>1.5</v>
      </c>
      <c r="BU52" s="43">
        <v>0.125</v>
      </c>
      <c r="BV52" s="44">
        <v>0.42</v>
      </c>
      <c r="BW52" s="43">
        <v>2.3E-2</v>
      </c>
      <c r="BX52" s="44">
        <v>0.2</v>
      </c>
      <c r="BY52" s="40">
        <v>17.493153787299185</v>
      </c>
      <c r="BZ52" s="40">
        <v>0.52</v>
      </c>
      <c r="CA52" s="40">
        <v>0.65</v>
      </c>
      <c r="CB52" s="45">
        <v>1</v>
      </c>
      <c r="CC52" s="41">
        <v>0.82393172144641669</v>
      </c>
      <c r="CD52" s="41">
        <v>23.03199407695983</v>
      </c>
      <c r="CE52" s="41">
        <v>76.144074201593753</v>
      </c>
      <c r="CF52" s="125">
        <v>1</v>
      </c>
      <c r="CG52" s="40">
        <f t="shared" si="47"/>
        <v>2.2978858060757869E-2</v>
      </c>
      <c r="CH52" s="40">
        <f t="shared" si="48"/>
        <v>2.2978858060757869E-2</v>
      </c>
      <c r="CI52" s="99">
        <f t="shared" si="49"/>
        <v>1.8933010078873099E-4</v>
      </c>
      <c r="CJ52" s="100">
        <f t="shared" si="50"/>
        <v>5.2924892275067591E-3</v>
      </c>
      <c r="CK52" s="100">
        <f t="shared" si="51"/>
        <v>1.7497038732462378E-2</v>
      </c>
      <c r="CL52" s="101">
        <f t="shared" si="27"/>
        <v>8.96686736132386E-4</v>
      </c>
      <c r="CM52" s="100">
        <f t="shared" si="28"/>
        <v>4.6886266085969927E-3</v>
      </c>
      <c r="CN52" s="100">
        <f t="shared" si="29"/>
        <v>7.9387338412601378E-3</v>
      </c>
      <c r="CO52" s="100">
        <f t="shared" si="30"/>
        <v>2.6245558098693569E-2</v>
      </c>
      <c r="CP52" s="101">
        <f t="shared" si="31"/>
        <v>1.3450301041985787E-3</v>
      </c>
      <c r="CQ52" s="100">
        <f t="shared" si="32"/>
        <v>7.0329399128954886E-3</v>
      </c>
      <c r="CR52" s="99">
        <f t="shared" si="33"/>
        <v>0.23855925798406249</v>
      </c>
      <c r="CS52" s="31">
        <v>1.5</v>
      </c>
      <c r="CT52" s="31">
        <v>1.5</v>
      </c>
      <c r="CU52" s="43">
        <v>0.1</v>
      </c>
      <c r="CV52" s="44">
        <v>0.39</v>
      </c>
      <c r="CW52" s="43">
        <v>2.1000000000000001E-2</v>
      </c>
      <c r="CX52" s="44">
        <v>0.15</v>
      </c>
      <c r="CY52" s="124"/>
    </row>
    <row r="53" spans="1:196" s="26" customFormat="1" x14ac:dyDescent="0.25">
      <c r="A53" s="31">
        <v>39</v>
      </c>
      <c r="B53" s="83">
        <v>3</v>
      </c>
      <c r="C53" s="31">
        <v>50</v>
      </c>
      <c r="D53" s="31" t="s">
        <v>36</v>
      </c>
      <c r="E53" s="31" t="s">
        <v>6</v>
      </c>
      <c r="F53" s="31" t="s">
        <v>12</v>
      </c>
      <c r="G53" s="31" t="str">
        <f t="shared" si="34"/>
        <v>Kommunal 50 Y 3 A</v>
      </c>
      <c r="H53" s="48">
        <f t="shared" si="0"/>
        <v>5.0650334121405849E-2</v>
      </c>
      <c r="I53" s="40">
        <f t="shared" si="1"/>
        <v>5.9839722014707913E-2</v>
      </c>
      <c r="J53" s="99">
        <f t="shared" si="2"/>
        <v>5.9379951743644688E-4</v>
      </c>
      <c r="K53" s="48">
        <f t="shared" si="3"/>
        <v>1.1979920696367278E-2</v>
      </c>
      <c r="L53" s="48">
        <f t="shared" si="4"/>
        <v>4.7266001800904192E-2</v>
      </c>
      <c r="M53" s="48">
        <f t="shared" si="35"/>
        <v>0.13963633499746522</v>
      </c>
      <c r="N53" s="99">
        <f t="shared" si="5"/>
        <v>1.9757386237721193E-3</v>
      </c>
      <c r="O53" s="48">
        <f t="shared" si="6"/>
        <v>1.0778354807514233E-2</v>
      </c>
      <c r="P53" s="48">
        <f t="shared" si="7"/>
        <v>1.7969881044550915E-2</v>
      </c>
      <c r="Q53" s="48">
        <f t="shared" si="8"/>
        <v>7.0899002701356295E-2</v>
      </c>
      <c r="R53" s="40">
        <f t="shared" si="36"/>
        <v>0.97745434498225658</v>
      </c>
      <c r="S53" s="99">
        <f t="shared" si="9"/>
        <v>2.963607935658179E-3</v>
      </c>
      <c r="T53" s="48">
        <f t="shared" si="10"/>
        <v>1.6167532211271353E-2</v>
      </c>
      <c r="U53" s="40">
        <v>0.35663759999999994</v>
      </c>
      <c r="V53" s="40">
        <v>1.45</v>
      </c>
      <c r="W53" s="41">
        <v>0.5</v>
      </c>
      <c r="X53" s="40">
        <v>1.3899622478447198</v>
      </c>
      <c r="Y53" s="42">
        <v>0.81864194148809843</v>
      </c>
      <c r="Z53" s="42">
        <v>17.391934854683893</v>
      </c>
      <c r="AA53" s="42">
        <v>81.789423203828008</v>
      </c>
      <c r="AB53" s="42">
        <v>4.2631578947368443</v>
      </c>
      <c r="AC53" s="125">
        <v>1</v>
      </c>
      <c r="AD53" s="94">
        <f t="shared" si="37"/>
        <v>2.3564814143140378E-2</v>
      </c>
      <c r="AE53" s="94">
        <f t="shared" si="38"/>
        <v>3.2754202036442442E-2</v>
      </c>
      <c r="AF53" s="96">
        <f t="shared" si="11"/>
        <v>2.6813963547006668E-4</v>
      </c>
      <c r="AG53" s="95">
        <f t="shared" si="52"/>
        <v>5.6965894803496144E-3</v>
      </c>
      <c r="AH53" s="94">
        <f t="shared" si="39"/>
        <v>2.678947292062276E-2</v>
      </c>
      <c r="AI53" s="94">
        <f t="shared" si="40"/>
        <v>0.13963633499746522</v>
      </c>
      <c r="AJ53" s="96">
        <f t="shared" si="41"/>
        <v>8.8666836567603217E-4</v>
      </c>
      <c r="AK53" s="95">
        <f t="shared" si="13"/>
        <v>5.077676534178851E-3</v>
      </c>
      <c r="AL53" s="95">
        <f t="shared" si="14"/>
        <v>8.5448842205244208E-3</v>
      </c>
      <c r="AM53" s="94">
        <f t="shared" si="15"/>
        <v>4.0184209380934144E-2</v>
      </c>
      <c r="AN53" s="93">
        <f t="shared" si="16"/>
        <v>0.97745434498225658</v>
      </c>
      <c r="AO53" s="96">
        <f t="shared" si="17"/>
        <v>1.3300025485140483E-3</v>
      </c>
      <c r="AP53" s="95">
        <f t="shared" si="18"/>
        <v>7.616514801268277E-3</v>
      </c>
      <c r="AQ53" s="93">
        <f t="shared" si="19"/>
        <v>0.18210576796171993</v>
      </c>
      <c r="AR53" s="31">
        <v>1.5</v>
      </c>
      <c r="AS53" s="31">
        <v>1.5</v>
      </c>
      <c r="AT53" s="31">
        <v>7</v>
      </c>
      <c r="AU53" s="43">
        <v>7.0999999999999994E-2</v>
      </c>
      <c r="AV53" s="44">
        <v>0.28000000000000003</v>
      </c>
      <c r="AW53" s="43">
        <v>1.7999999999999999E-2</v>
      </c>
      <c r="AX53" s="44">
        <v>0.13</v>
      </c>
      <c r="AY53" s="40">
        <v>7.0817582490074749</v>
      </c>
      <c r="AZ53" s="41">
        <v>0.5</v>
      </c>
      <c r="BA53" s="40">
        <v>0.72</v>
      </c>
      <c r="BB53" s="45">
        <v>1</v>
      </c>
      <c r="BC53" s="41">
        <v>3.3197225366043686</v>
      </c>
      <c r="BD53" s="41">
        <v>24.127673726603245</v>
      </c>
      <c r="BE53" s="41">
        <v>72.552603736792392</v>
      </c>
      <c r="BF53" s="125">
        <v>1</v>
      </c>
      <c r="BG53" s="48">
        <f t="shared" si="42"/>
        <v>4.10666191750761E-3</v>
      </c>
      <c r="BH53" s="48">
        <f t="shared" si="43"/>
        <v>4.10666191750761E-3</v>
      </c>
      <c r="BI53" s="99">
        <f t="shared" si="44"/>
        <v>1.3632978117764923E-4</v>
      </c>
      <c r="BJ53" s="99">
        <f t="shared" si="45"/>
        <v>9.9084198851090454E-4</v>
      </c>
      <c r="BK53" s="48">
        <f t="shared" si="46"/>
        <v>2.979490147819056E-3</v>
      </c>
      <c r="BL53" s="99">
        <f t="shared" si="20"/>
        <v>1.9238352196370134E-4</v>
      </c>
      <c r="BM53" s="48">
        <f t="shared" si="21"/>
        <v>1.012051664738391E-3</v>
      </c>
      <c r="BN53" s="48">
        <f t="shared" si="22"/>
        <v>1.4862629827663569E-3</v>
      </c>
      <c r="BO53" s="48">
        <f t="shared" si="23"/>
        <v>4.4692352217285836E-3</v>
      </c>
      <c r="BP53" s="99">
        <f t="shared" si="24"/>
        <v>2.8857528294555203E-4</v>
      </c>
      <c r="BQ53" s="48">
        <f t="shared" si="25"/>
        <v>1.5180774971075867E-3</v>
      </c>
      <c r="BR53" s="40">
        <f t="shared" si="26"/>
        <v>0.27447396263207607</v>
      </c>
      <c r="BS53" s="31">
        <v>1.5</v>
      </c>
      <c r="BT53" s="31">
        <v>1.5</v>
      </c>
      <c r="BU53" s="43">
        <v>0.125</v>
      </c>
      <c r="BV53" s="44">
        <v>0.42</v>
      </c>
      <c r="BW53" s="43">
        <v>2.3E-2</v>
      </c>
      <c r="BX53" s="44">
        <v>0.2</v>
      </c>
      <c r="BY53" s="40">
        <v>17.493153787299182</v>
      </c>
      <c r="BZ53" s="40">
        <v>0.52</v>
      </c>
      <c r="CA53" s="40">
        <v>0.65</v>
      </c>
      <c r="CB53" s="45">
        <v>1</v>
      </c>
      <c r="CC53" s="41">
        <v>0.8239317214464168</v>
      </c>
      <c r="CD53" s="41">
        <v>23.031994076959837</v>
      </c>
      <c r="CE53" s="41">
        <v>76.144074201593753</v>
      </c>
      <c r="CF53" s="125">
        <v>1</v>
      </c>
      <c r="CG53" s="40">
        <f t="shared" si="47"/>
        <v>2.2978858060757865E-2</v>
      </c>
      <c r="CH53" s="40">
        <f t="shared" si="48"/>
        <v>2.2978858060757865E-2</v>
      </c>
      <c r="CI53" s="99">
        <f t="shared" si="49"/>
        <v>1.8933010078873099E-4</v>
      </c>
      <c r="CJ53" s="100">
        <f t="shared" si="50"/>
        <v>5.2924892275067591E-3</v>
      </c>
      <c r="CK53" s="100">
        <f t="shared" si="51"/>
        <v>1.7497038732462375E-2</v>
      </c>
      <c r="CL53" s="101">
        <f t="shared" si="27"/>
        <v>8.9668673613238579E-4</v>
      </c>
      <c r="CM53" s="100">
        <f t="shared" si="28"/>
        <v>4.6886266085969918E-3</v>
      </c>
      <c r="CN53" s="100">
        <f t="shared" si="29"/>
        <v>7.9387338412601378E-3</v>
      </c>
      <c r="CO53" s="100">
        <f t="shared" si="30"/>
        <v>2.6245558098693562E-2</v>
      </c>
      <c r="CP53" s="101">
        <f t="shared" si="31"/>
        <v>1.3450301041985787E-3</v>
      </c>
      <c r="CQ53" s="100">
        <f t="shared" si="32"/>
        <v>7.0329399128954886E-3</v>
      </c>
      <c r="CR53" s="99">
        <f t="shared" si="33"/>
        <v>0.23855925798406252</v>
      </c>
      <c r="CS53" s="31">
        <v>1.5</v>
      </c>
      <c r="CT53" s="31">
        <v>1.5</v>
      </c>
      <c r="CU53" s="43">
        <v>0.1</v>
      </c>
      <c r="CV53" s="44">
        <v>0.39</v>
      </c>
      <c r="CW53" s="43">
        <v>2.1000000000000001E-2</v>
      </c>
      <c r="CX53" s="44">
        <v>0.15</v>
      </c>
      <c r="CY53" s="124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</row>
    <row r="54" spans="1:196" s="23" customFormat="1" x14ac:dyDescent="0.25">
      <c r="A54" s="31">
        <v>40</v>
      </c>
      <c r="B54" s="83">
        <v>3</v>
      </c>
      <c r="C54" s="31">
        <v>50</v>
      </c>
      <c r="D54" s="31" t="s">
        <v>36</v>
      </c>
      <c r="E54" s="31" t="s">
        <v>6</v>
      </c>
      <c r="F54" s="31" t="s">
        <v>13</v>
      </c>
      <c r="G54" s="31" t="str">
        <f t="shared" si="34"/>
        <v>Kommunal 50 Y 3 B</v>
      </c>
      <c r="H54" s="48">
        <f t="shared" si="0"/>
        <v>5.0650334121405849E-2</v>
      </c>
      <c r="I54" s="40">
        <f t="shared" si="1"/>
        <v>5.9839722014707913E-2</v>
      </c>
      <c r="J54" s="99">
        <f t="shared" si="2"/>
        <v>5.9379951743644688E-4</v>
      </c>
      <c r="K54" s="48">
        <f t="shared" si="3"/>
        <v>1.1979920696367278E-2</v>
      </c>
      <c r="L54" s="48">
        <f t="shared" si="4"/>
        <v>4.7266001800904192E-2</v>
      </c>
      <c r="M54" s="48">
        <f t="shared" si="35"/>
        <v>0.13963633499746522</v>
      </c>
      <c r="N54" s="99">
        <f t="shared" si="5"/>
        <v>1.9757386237721193E-3</v>
      </c>
      <c r="O54" s="48">
        <f t="shared" si="6"/>
        <v>1.0778354807514233E-2</v>
      </c>
      <c r="P54" s="48">
        <f t="shared" si="7"/>
        <v>1.7969881044550915E-2</v>
      </c>
      <c r="Q54" s="48">
        <f t="shared" si="8"/>
        <v>7.0899002701356295E-2</v>
      </c>
      <c r="R54" s="40">
        <f t="shared" si="36"/>
        <v>0.97745434498225658</v>
      </c>
      <c r="S54" s="99">
        <f t="shared" si="9"/>
        <v>2.963607935658179E-3</v>
      </c>
      <c r="T54" s="48">
        <f t="shared" si="10"/>
        <v>1.6167532211271353E-2</v>
      </c>
      <c r="U54" s="40">
        <v>0.35663759999999994</v>
      </c>
      <c r="V54" s="40">
        <v>1.45</v>
      </c>
      <c r="W54" s="41">
        <v>0.5</v>
      </c>
      <c r="X54" s="40">
        <v>1.3899622478447198</v>
      </c>
      <c r="Y54" s="42">
        <v>0.81864194148809843</v>
      </c>
      <c r="Z54" s="42">
        <v>17.391934854683893</v>
      </c>
      <c r="AA54" s="42">
        <v>81.789423203828008</v>
      </c>
      <c r="AB54" s="42">
        <v>4.2631578947368443</v>
      </c>
      <c r="AC54" s="125">
        <v>1</v>
      </c>
      <c r="AD54" s="94">
        <f t="shared" si="37"/>
        <v>2.3564814143140378E-2</v>
      </c>
      <c r="AE54" s="94">
        <f t="shared" si="38"/>
        <v>3.2754202036442442E-2</v>
      </c>
      <c r="AF54" s="96">
        <f t="shared" si="11"/>
        <v>2.6813963547006668E-4</v>
      </c>
      <c r="AG54" s="95">
        <f t="shared" si="52"/>
        <v>5.6965894803496144E-3</v>
      </c>
      <c r="AH54" s="94">
        <f t="shared" si="39"/>
        <v>2.678947292062276E-2</v>
      </c>
      <c r="AI54" s="94">
        <f t="shared" si="40"/>
        <v>0.13963633499746522</v>
      </c>
      <c r="AJ54" s="96">
        <f t="shared" si="41"/>
        <v>8.8666836567603217E-4</v>
      </c>
      <c r="AK54" s="95">
        <f t="shared" si="13"/>
        <v>5.077676534178851E-3</v>
      </c>
      <c r="AL54" s="95">
        <f t="shared" si="14"/>
        <v>8.5448842205244208E-3</v>
      </c>
      <c r="AM54" s="94">
        <f t="shared" si="15"/>
        <v>4.0184209380934144E-2</v>
      </c>
      <c r="AN54" s="93">
        <f t="shared" si="16"/>
        <v>0.97745434498225658</v>
      </c>
      <c r="AO54" s="96">
        <f t="shared" si="17"/>
        <v>1.3300025485140483E-3</v>
      </c>
      <c r="AP54" s="95">
        <f t="shared" si="18"/>
        <v>7.616514801268277E-3</v>
      </c>
      <c r="AQ54" s="93">
        <f t="shared" si="19"/>
        <v>0.18210576796171993</v>
      </c>
      <c r="AR54" s="31">
        <v>1.5</v>
      </c>
      <c r="AS54" s="31">
        <v>1.5</v>
      </c>
      <c r="AT54" s="31">
        <v>7</v>
      </c>
      <c r="AU54" s="43">
        <v>7.0999999999999994E-2</v>
      </c>
      <c r="AV54" s="44">
        <v>0.28000000000000003</v>
      </c>
      <c r="AW54" s="43">
        <v>1.7999999999999999E-2</v>
      </c>
      <c r="AX54" s="44">
        <v>0.13</v>
      </c>
      <c r="AY54" s="40">
        <v>7.0817582490074749</v>
      </c>
      <c r="AZ54" s="41">
        <v>0.5</v>
      </c>
      <c r="BA54" s="40">
        <v>0.72</v>
      </c>
      <c r="BB54" s="45">
        <v>1</v>
      </c>
      <c r="BC54" s="41">
        <v>3.3197225366043686</v>
      </c>
      <c r="BD54" s="41">
        <v>24.127673726603245</v>
      </c>
      <c r="BE54" s="41">
        <v>72.552603736792392</v>
      </c>
      <c r="BF54" s="125">
        <v>1</v>
      </c>
      <c r="BG54" s="48">
        <f t="shared" si="42"/>
        <v>4.10666191750761E-3</v>
      </c>
      <c r="BH54" s="48">
        <f t="shared" si="43"/>
        <v>4.10666191750761E-3</v>
      </c>
      <c r="BI54" s="99">
        <f t="shared" si="44"/>
        <v>1.3632978117764923E-4</v>
      </c>
      <c r="BJ54" s="99">
        <f t="shared" si="45"/>
        <v>9.9084198851090454E-4</v>
      </c>
      <c r="BK54" s="48">
        <f t="shared" si="46"/>
        <v>2.979490147819056E-3</v>
      </c>
      <c r="BL54" s="99">
        <f t="shared" si="20"/>
        <v>1.9238352196370134E-4</v>
      </c>
      <c r="BM54" s="48">
        <f t="shared" si="21"/>
        <v>1.012051664738391E-3</v>
      </c>
      <c r="BN54" s="48">
        <f t="shared" si="22"/>
        <v>1.4862629827663569E-3</v>
      </c>
      <c r="BO54" s="48">
        <f t="shared" si="23"/>
        <v>4.4692352217285836E-3</v>
      </c>
      <c r="BP54" s="99">
        <f t="shared" si="24"/>
        <v>2.8857528294555203E-4</v>
      </c>
      <c r="BQ54" s="48">
        <f t="shared" si="25"/>
        <v>1.5180774971075867E-3</v>
      </c>
      <c r="BR54" s="40">
        <f t="shared" si="26"/>
        <v>0.27447396263207607</v>
      </c>
      <c r="BS54" s="31">
        <v>1.5</v>
      </c>
      <c r="BT54" s="31">
        <v>1.5</v>
      </c>
      <c r="BU54" s="43">
        <v>0.125</v>
      </c>
      <c r="BV54" s="44">
        <v>0.42</v>
      </c>
      <c r="BW54" s="43">
        <v>2.3E-2</v>
      </c>
      <c r="BX54" s="44">
        <v>0.2</v>
      </c>
      <c r="BY54" s="40">
        <v>17.493153787299182</v>
      </c>
      <c r="BZ54" s="40">
        <v>0.52</v>
      </c>
      <c r="CA54" s="40">
        <v>0.65</v>
      </c>
      <c r="CB54" s="45">
        <v>1</v>
      </c>
      <c r="CC54" s="41">
        <v>0.8239317214464168</v>
      </c>
      <c r="CD54" s="41">
        <v>23.031994076959837</v>
      </c>
      <c r="CE54" s="41">
        <v>76.144074201593753</v>
      </c>
      <c r="CF54" s="125">
        <v>1</v>
      </c>
      <c r="CG54" s="40">
        <f t="shared" si="47"/>
        <v>2.2978858060757865E-2</v>
      </c>
      <c r="CH54" s="40">
        <f t="shared" si="48"/>
        <v>2.2978858060757865E-2</v>
      </c>
      <c r="CI54" s="99">
        <f t="shared" si="49"/>
        <v>1.8933010078873099E-4</v>
      </c>
      <c r="CJ54" s="100">
        <f t="shared" si="50"/>
        <v>5.2924892275067591E-3</v>
      </c>
      <c r="CK54" s="100">
        <f t="shared" si="51"/>
        <v>1.7497038732462375E-2</v>
      </c>
      <c r="CL54" s="101">
        <f t="shared" si="27"/>
        <v>8.9668673613238579E-4</v>
      </c>
      <c r="CM54" s="100">
        <f t="shared" si="28"/>
        <v>4.6886266085969918E-3</v>
      </c>
      <c r="CN54" s="100">
        <f t="shared" si="29"/>
        <v>7.9387338412601378E-3</v>
      </c>
      <c r="CO54" s="100">
        <f t="shared" si="30"/>
        <v>2.6245558098693562E-2</v>
      </c>
      <c r="CP54" s="101">
        <f t="shared" si="31"/>
        <v>1.3450301041985787E-3</v>
      </c>
      <c r="CQ54" s="100">
        <f t="shared" si="32"/>
        <v>7.0329399128954886E-3</v>
      </c>
      <c r="CR54" s="99">
        <f t="shared" si="33"/>
        <v>0.23855925798406252</v>
      </c>
      <c r="CS54" s="31">
        <v>1.5</v>
      </c>
      <c r="CT54" s="31">
        <v>1.5</v>
      </c>
      <c r="CU54" s="43">
        <v>0.1</v>
      </c>
      <c r="CV54" s="44">
        <v>0.39</v>
      </c>
      <c r="CW54" s="43">
        <v>2.1000000000000001E-2</v>
      </c>
      <c r="CX54" s="44">
        <v>0.15</v>
      </c>
      <c r="CY54" s="124"/>
    </row>
    <row r="55" spans="1:196" s="23" customFormat="1" x14ac:dyDescent="0.25">
      <c r="A55" s="31">
        <v>41</v>
      </c>
      <c r="B55" s="83">
        <v>3</v>
      </c>
      <c r="C55" s="31">
        <v>50</v>
      </c>
      <c r="D55" s="31" t="s">
        <v>36</v>
      </c>
      <c r="E55" s="31" t="s">
        <v>6</v>
      </c>
      <c r="F55" s="31" t="s">
        <v>70</v>
      </c>
      <c r="G55" s="31" t="str">
        <f t="shared" si="34"/>
        <v>Kommunal 50 Y 3 Ck</v>
      </c>
      <c r="H55" s="48">
        <f t="shared" si="0"/>
        <v>4.8293852707091814E-2</v>
      </c>
      <c r="I55" s="40">
        <f t="shared" si="1"/>
        <v>5.6564301811063672E-2</v>
      </c>
      <c r="J55" s="99">
        <f t="shared" si="2"/>
        <v>5.6698555388944027E-4</v>
      </c>
      <c r="K55" s="48">
        <f t="shared" si="3"/>
        <v>1.1410261748332318E-2</v>
      </c>
      <c r="L55" s="48">
        <f t="shared" si="4"/>
        <v>4.4587054508841914E-2</v>
      </c>
      <c r="M55" s="48">
        <f t="shared" si="35"/>
        <v>0.12567270149771867</v>
      </c>
      <c r="N55" s="99">
        <f t="shared" si="5"/>
        <v>1.8870717872045163E-3</v>
      </c>
      <c r="O55" s="48">
        <f t="shared" si="6"/>
        <v>1.027058715409635E-2</v>
      </c>
      <c r="P55" s="48">
        <f t="shared" si="7"/>
        <v>1.7115392622498476E-2</v>
      </c>
      <c r="Q55" s="48">
        <f t="shared" si="8"/>
        <v>6.6880581763262864E-2</v>
      </c>
      <c r="R55" s="40">
        <f t="shared" si="36"/>
        <v>0.87970891048403066</v>
      </c>
      <c r="S55" s="99">
        <f t="shared" si="9"/>
        <v>2.8306076808067744E-3</v>
      </c>
      <c r="T55" s="48">
        <f t="shared" si="10"/>
        <v>1.5405880731144525E-2</v>
      </c>
      <c r="U55" s="40">
        <v>0.32097383999999995</v>
      </c>
      <c r="V55" s="40">
        <v>1.45</v>
      </c>
      <c r="W55" s="41">
        <v>0.5</v>
      </c>
      <c r="X55" s="40">
        <v>1.3899622478447196</v>
      </c>
      <c r="Y55" s="42">
        <v>0.81864194148809855</v>
      </c>
      <c r="Z55" s="42">
        <v>17.391934854683896</v>
      </c>
      <c r="AA55" s="42">
        <v>81.789423203828022</v>
      </c>
      <c r="AB55" s="42">
        <v>4.2631578947368434</v>
      </c>
      <c r="AC55" s="125">
        <v>1</v>
      </c>
      <c r="AD55" s="94">
        <f t="shared" si="37"/>
        <v>2.1208332728826343E-2</v>
      </c>
      <c r="AE55" s="94">
        <f t="shared" si="38"/>
        <v>2.9478781832798197E-2</v>
      </c>
      <c r="AF55" s="96">
        <f t="shared" si="11"/>
        <v>2.4132567192306005E-4</v>
      </c>
      <c r="AG55" s="95">
        <f t="shared" si="52"/>
        <v>5.1269305323146542E-3</v>
      </c>
      <c r="AH55" s="94">
        <f t="shared" si="39"/>
        <v>2.4110525628560486E-2</v>
      </c>
      <c r="AI55" s="94">
        <f t="shared" si="40"/>
        <v>0.12567270149771867</v>
      </c>
      <c r="AJ55" s="96">
        <f t="shared" si="41"/>
        <v>7.9800152910842917E-4</v>
      </c>
      <c r="AK55" s="95">
        <f t="shared" si="13"/>
        <v>4.5699088807609669E-3</v>
      </c>
      <c r="AL55" s="95">
        <f t="shared" si="14"/>
        <v>7.6903957984719813E-3</v>
      </c>
      <c r="AM55" s="94">
        <f t="shared" si="15"/>
        <v>3.6165788442840727E-2</v>
      </c>
      <c r="AN55" s="93">
        <f t="shared" si="16"/>
        <v>0.87970891048403066</v>
      </c>
      <c r="AO55" s="96">
        <f t="shared" si="17"/>
        <v>1.1970022936626436E-3</v>
      </c>
      <c r="AP55" s="95">
        <f t="shared" si="18"/>
        <v>6.8548633211414495E-3</v>
      </c>
      <c r="AQ55" s="93">
        <f t="shared" si="19"/>
        <v>0.18210576796171996</v>
      </c>
      <c r="AR55" s="31">
        <v>1.5</v>
      </c>
      <c r="AS55" s="31">
        <v>1.5</v>
      </c>
      <c r="AT55" s="31">
        <v>7</v>
      </c>
      <c r="AU55" s="43">
        <v>7.0999999999999994E-2</v>
      </c>
      <c r="AV55" s="44">
        <v>0.28000000000000003</v>
      </c>
      <c r="AW55" s="43">
        <v>1.7999999999999999E-2</v>
      </c>
      <c r="AX55" s="44">
        <v>0.13</v>
      </c>
      <c r="AY55" s="40">
        <v>7.0817582490074749</v>
      </c>
      <c r="AZ55" s="41">
        <v>0.5</v>
      </c>
      <c r="BA55" s="40">
        <v>0.72</v>
      </c>
      <c r="BB55" s="45">
        <v>1</v>
      </c>
      <c r="BC55" s="41">
        <v>3.3197225366043686</v>
      </c>
      <c r="BD55" s="41">
        <v>24.127673726603245</v>
      </c>
      <c r="BE55" s="41">
        <v>72.552603736792392</v>
      </c>
      <c r="BF55" s="125">
        <v>1</v>
      </c>
      <c r="BG55" s="48">
        <f t="shared" si="42"/>
        <v>4.10666191750761E-3</v>
      </c>
      <c r="BH55" s="48">
        <f t="shared" si="43"/>
        <v>4.10666191750761E-3</v>
      </c>
      <c r="BI55" s="99">
        <f t="shared" si="44"/>
        <v>1.3632978117764923E-4</v>
      </c>
      <c r="BJ55" s="99">
        <f t="shared" si="45"/>
        <v>9.9084198851090454E-4</v>
      </c>
      <c r="BK55" s="48">
        <f t="shared" si="46"/>
        <v>2.979490147819056E-3</v>
      </c>
      <c r="BL55" s="99">
        <f t="shared" si="20"/>
        <v>1.9238352196370134E-4</v>
      </c>
      <c r="BM55" s="48">
        <f t="shared" si="21"/>
        <v>1.012051664738391E-3</v>
      </c>
      <c r="BN55" s="48">
        <f t="shared" si="22"/>
        <v>1.4862629827663569E-3</v>
      </c>
      <c r="BO55" s="48">
        <f t="shared" si="23"/>
        <v>4.4692352217285836E-3</v>
      </c>
      <c r="BP55" s="99">
        <f t="shared" si="24"/>
        <v>2.8857528294555203E-4</v>
      </c>
      <c r="BQ55" s="48">
        <f t="shared" si="25"/>
        <v>1.5180774971075867E-3</v>
      </c>
      <c r="BR55" s="40">
        <f t="shared" si="26"/>
        <v>0.27447396263207607</v>
      </c>
      <c r="BS55" s="31">
        <v>1.5</v>
      </c>
      <c r="BT55" s="31">
        <v>1.5</v>
      </c>
      <c r="BU55" s="43">
        <v>0.125</v>
      </c>
      <c r="BV55" s="44">
        <v>0.42</v>
      </c>
      <c r="BW55" s="43">
        <v>2.3E-2</v>
      </c>
      <c r="BX55" s="44">
        <v>0.2</v>
      </c>
      <c r="BY55" s="40">
        <v>17.493153787299182</v>
      </c>
      <c r="BZ55" s="40">
        <v>0.52</v>
      </c>
      <c r="CA55" s="40">
        <v>0.65</v>
      </c>
      <c r="CB55" s="45">
        <v>1</v>
      </c>
      <c r="CC55" s="41">
        <v>0.8239317214464168</v>
      </c>
      <c r="CD55" s="41">
        <v>23.031994076959837</v>
      </c>
      <c r="CE55" s="41">
        <v>76.144074201593753</v>
      </c>
      <c r="CF55" s="125">
        <v>1</v>
      </c>
      <c r="CG55" s="40">
        <f t="shared" si="47"/>
        <v>2.2978858060757865E-2</v>
      </c>
      <c r="CH55" s="40">
        <f t="shared" si="48"/>
        <v>2.2978858060757865E-2</v>
      </c>
      <c r="CI55" s="99">
        <f t="shared" si="49"/>
        <v>1.8933010078873099E-4</v>
      </c>
      <c r="CJ55" s="100">
        <f t="shared" si="50"/>
        <v>5.2924892275067591E-3</v>
      </c>
      <c r="CK55" s="100">
        <f t="shared" si="51"/>
        <v>1.7497038732462375E-2</v>
      </c>
      <c r="CL55" s="101">
        <f t="shared" si="27"/>
        <v>8.9668673613238579E-4</v>
      </c>
      <c r="CM55" s="100">
        <f t="shared" si="28"/>
        <v>4.6886266085969918E-3</v>
      </c>
      <c r="CN55" s="100">
        <f t="shared" si="29"/>
        <v>7.9387338412601378E-3</v>
      </c>
      <c r="CO55" s="100">
        <f t="shared" si="30"/>
        <v>2.6245558098693562E-2</v>
      </c>
      <c r="CP55" s="101">
        <f t="shared" si="31"/>
        <v>1.3450301041985787E-3</v>
      </c>
      <c r="CQ55" s="100">
        <f t="shared" si="32"/>
        <v>7.0329399128954886E-3</v>
      </c>
      <c r="CR55" s="99">
        <f t="shared" si="33"/>
        <v>0.23855925798406252</v>
      </c>
      <c r="CS55" s="31">
        <v>1.5</v>
      </c>
      <c r="CT55" s="31">
        <v>1.5</v>
      </c>
      <c r="CU55" s="43">
        <v>0.1</v>
      </c>
      <c r="CV55" s="44">
        <v>0.39</v>
      </c>
      <c r="CW55" s="43">
        <v>2.1000000000000001E-2</v>
      </c>
      <c r="CX55" s="44">
        <v>0.15</v>
      </c>
      <c r="CY55" s="124"/>
    </row>
    <row r="56" spans="1:196" s="23" customFormat="1" x14ac:dyDescent="0.25">
      <c r="A56" s="31">
        <v>42</v>
      </c>
      <c r="B56" s="83">
        <v>3</v>
      </c>
      <c r="C56" s="31">
        <v>50</v>
      </c>
      <c r="D56" s="31" t="s">
        <v>36</v>
      </c>
      <c r="E56" s="31" t="s">
        <v>6</v>
      </c>
      <c r="F56" s="31" t="s">
        <v>71</v>
      </c>
      <c r="G56" s="31" t="str">
        <f t="shared" si="34"/>
        <v>Kommunal 50 Y 3 Cm</v>
      </c>
      <c r="H56" s="48">
        <f t="shared" si="0"/>
        <v>4.8293852707091814E-2</v>
      </c>
      <c r="I56" s="40">
        <f t="shared" si="1"/>
        <v>5.6564301811063672E-2</v>
      </c>
      <c r="J56" s="99">
        <f t="shared" si="2"/>
        <v>5.6698555388944027E-4</v>
      </c>
      <c r="K56" s="48">
        <f t="shared" si="3"/>
        <v>1.1410261748332318E-2</v>
      </c>
      <c r="L56" s="48">
        <f t="shared" si="4"/>
        <v>4.4587054508841914E-2</v>
      </c>
      <c r="M56" s="48">
        <f t="shared" si="35"/>
        <v>0.12567270149771867</v>
      </c>
      <c r="N56" s="99">
        <f t="shared" si="5"/>
        <v>1.8870717872045163E-3</v>
      </c>
      <c r="O56" s="48">
        <f t="shared" si="6"/>
        <v>1.027058715409635E-2</v>
      </c>
      <c r="P56" s="48">
        <f t="shared" si="7"/>
        <v>1.7115392622498476E-2</v>
      </c>
      <c r="Q56" s="48">
        <f t="shared" si="8"/>
        <v>6.6880581763262864E-2</v>
      </c>
      <c r="R56" s="40">
        <f t="shared" si="36"/>
        <v>0.87970891048403066</v>
      </c>
      <c r="S56" s="99">
        <f t="shared" si="9"/>
        <v>2.8306076808067744E-3</v>
      </c>
      <c r="T56" s="48">
        <f t="shared" si="10"/>
        <v>1.5405880731144525E-2</v>
      </c>
      <c r="U56" s="40">
        <v>0.32097383999999995</v>
      </c>
      <c r="V56" s="40">
        <v>1.45</v>
      </c>
      <c r="W56" s="41">
        <v>0.5</v>
      </c>
      <c r="X56" s="40">
        <v>1.3899622478447196</v>
      </c>
      <c r="Y56" s="42">
        <v>0.81864194148809855</v>
      </c>
      <c r="Z56" s="42">
        <v>17.391934854683896</v>
      </c>
      <c r="AA56" s="42">
        <v>81.789423203828022</v>
      </c>
      <c r="AB56" s="42">
        <v>4.2631578947368434</v>
      </c>
      <c r="AC56" s="125">
        <v>1</v>
      </c>
      <c r="AD56" s="94">
        <f t="shared" si="37"/>
        <v>2.1208332728826343E-2</v>
      </c>
      <c r="AE56" s="94">
        <f t="shared" si="38"/>
        <v>2.9478781832798197E-2</v>
      </c>
      <c r="AF56" s="96">
        <f t="shared" si="11"/>
        <v>2.4132567192306005E-4</v>
      </c>
      <c r="AG56" s="95">
        <f t="shared" si="52"/>
        <v>5.1269305323146542E-3</v>
      </c>
      <c r="AH56" s="94">
        <f t="shared" si="39"/>
        <v>2.4110525628560486E-2</v>
      </c>
      <c r="AI56" s="94">
        <f t="shared" si="40"/>
        <v>0.12567270149771867</v>
      </c>
      <c r="AJ56" s="96">
        <f t="shared" si="41"/>
        <v>7.9800152910842917E-4</v>
      </c>
      <c r="AK56" s="95">
        <f t="shared" si="13"/>
        <v>4.5699088807609669E-3</v>
      </c>
      <c r="AL56" s="95">
        <f t="shared" si="14"/>
        <v>7.6903957984719813E-3</v>
      </c>
      <c r="AM56" s="94">
        <f t="shared" si="15"/>
        <v>3.6165788442840727E-2</v>
      </c>
      <c r="AN56" s="93">
        <f t="shared" si="16"/>
        <v>0.87970891048403066</v>
      </c>
      <c r="AO56" s="96">
        <f t="shared" si="17"/>
        <v>1.1970022936626436E-3</v>
      </c>
      <c r="AP56" s="95">
        <f t="shared" si="18"/>
        <v>6.8548633211414495E-3</v>
      </c>
      <c r="AQ56" s="93">
        <f t="shared" si="19"/>
        <v>0.18210576796171996</v>
      </c>
      <c r="AR56" s="31">
        <v>1.5</v>
      </c>
      <c r="AS56" s="31">
        <v>1.5</v>
      </c>
      <c r="AT56" s="31">
        <v>7</v>
      </c>
      <c r="AU56" s="43">
        <v>7.0999999999999994E-2</v>
      </c>
      <c r="AV56" s="44">
        <v>0.28000000000000003</v>
      </c>
      <c r="AW56" s="43">
        <v>1.7999999999999999E-2</v>
      </c>
      <c r="AX56" s="44">
        <v>0.13</v>
      </c>
      <c r="AY56" s="40">
        <v>7.0817582490074749</v>
      </c>
      <c r="AZ56" s="41">
        <v>0.5</v>
      </c>
      <c r="BA56" s="40">
        <v>0.72</v>
      </c>
      <c r="BB56" s="45">
        <v>1</v>
      </c>
      <c r="BC56" s="41">
        <v>3.3197225366043686</v>
      </c>
      <c r="BD56" s="41">
        <v>24.127673726603245</v>
      </c>
      <c r="BE56" s="41">
        <v>72.552603736792392</v>
      </c>
      <c r="BF56" s="125">
        <v>1</v>
      </c>
      <c r="BG56" s="48">
        <f t="shared" si="42"/>
        <v>4.10666191750761E-3</v>
      </c>
      <c r="BH56" s="48">
        <f t="shared" si="43"/>
        <v>4.10666191750761E-3</v>
      </c>
      <c r="BI56" s="99">
        <f t="shared" si="44"/>
        <v>1.3632978117764923E-4</v>
      </c>
      <c r="BJ56" s="99">
        <f t="shared" si="45"/>
        <v>9.9084198851090454E-4</v>
      </c>
      <c r="BK56" s="48">
        <f t="shared" si="46"/>
        <v>2.979490147819056E-3</v>
      </c>
      <c r="BL56" s="99">
        <f t="shared" si="20"/>
        <v>1.9238352196370134E-4</v>
      </c>
      <c r="BM56" s="48">
        <f t="shared" si="21"/>
        <v>1.012051664738391E-3</v>
      </c>
      <c r="BN56" s="48">
        <f t="shared" si="22"/>
        <v>1.4862629827663569E-3</v>
      </c>
      <c r="BO56" s="48">
        <f t="shared" si="23"/>
        <v>4.4692352217285836E-3</v>
      </c>
      <c r="BP56" s="99">
        <f t="shared" si="24"/>
        <v>2.8857528294555203E-4</v>
      </c>
      <c r="BQ56" s="48">
        <f t="shared" si="25"/>
        <v>1.5180774971075867E-3</v>
      </c>
      <c r="BR56" s="40">
        <f t="shared" si="26"/>
        <v>0.27447396263207607</v>
      </c>
      <c r="BS56" s="31">
        <v>1.5</v>
      </c>
      <c r="BT56" s="31">
        <v>1.5</v>
      </c>
      <c r="BU56" s="43">
        <v>0.125</v>
      </c>
      <c r="BV56" s="44">
        <v>0.42</v>
      </c>
      <c r="BW56" s="43">
        <v>2.3E-2</v>
      </c>
      <c r="BX56" s="44">
        <v>0.2</v>
      </c>
      <c r="BY56" s="40">
        <v>17.493153787299182</v>
      </c>
      <c r="BZ56" s="40">
        <v>0.52</v>
      </c>
      <c r="CA56" s="40">
        <v>0.65</v>
      </c>
      <c r="CB56" s="45">
        <v>1</v>
      </c>
      <c r="CC56" s="41">
        <v>0.8239317214464168</v>
      </c>
      <c r="CD56" s="41">
        <v>23.031994076959837</v>
      </c>
      <c r="CE56" s="41">
        <v>76.144074201593753</v>
      </c>
      <c r="CF56" s="125">
        <v>1</v>
      </c>
      <c r="CG56" s="40">
        <f t="shared" si="47"/>
        <v>2.2978858060757865E-2</v>
      </c>
      <c r="CH56" s="40">
        <f t="shared" si="48"/>
        <v>2.2978858060757865E-2</v>
      </c>
      <c r="CI56" s="99">
        <f t="shared" si="49"/>
        <v>1.8933010078873099E-4</v>
      </c>
      <c r="CJ56" s="100">
        <f t="shared" si="50"/>
        <v>5.2924892275067591E-3</v>
      </c>
      <c r="CK56" s="100">
        <f t="shared" si="51"/>
        <v>1.7497038732462375E-2</v>
      </c>
      <c r="CL56" s="101">
        <f t="shared" si="27"/>
        <v>8.9668673613238579E-4</v>
      </c>
      <c r="CM56" s="100">
        <f t="shared" si="28"/>
        <v>4.6886266085969918E-3</v>
      </c>
      <c r="CN56" s="100">
        <f t="shared" si="29"/>
        <v>7.9387338412601378E-3</v>
      </c>
      <c r="CO56" s="100">
        <f t="shared" si="30"/>
        <v>2.6245558098693562E-2</v>
      </c>
      <c r="CP56" s="101">
        <f t="shared" si="31"/>
        <v>1.3450301041985787E-3</v>
      </c>
      <c r="CQ56" s="100">
        <f t="shared" si="32"/>
        <v>7.0329399128954886E-3</v>
      </c>
      <c r="CR56" s="99">
        <f t="shared" si="33"/>
        <v>0.23855925798406252</v>
      </c>
      <c r="CS56" s="31">
        <v>1.5</v>
      </c>
      <c r="CT56" s="31">
        <v>1.5</v>
      </c>
      <c r="CU56" s="43">
        <v>0.1</v>
      </c>
      <c r="CV56" s="44">
        <v>0.39</v>
      </c>
      <c r="CW56" s="43">
        <v>2.1000000000000001E-2</v>
      </c>
      <c r="CX56" s="44">
        <v>0.15</v>
      </c>
      <c r="CY56" s="124"/>
    </row>
    <row r="57" spans="1:196" s="23" customFormat="1" x14ac:dyDescent="0.25">
      <c r="A57" s="31">
        <v>43</v>
      </c>
      <c r="B57" s="83">
        <v>3</v>
      </c>
      <c r="C57" s="31">
        <v>50</v>
      </c>
      <c r="D57" s="31" t="s">
        <v>36</v>
      </c>
      <c r="E57" s="31" t="s">
        <v>6</v>
      </c>
      <c r="F57" s="31" t="s">
        <v>0</v>
      </c>
      <c r="G57" s="31" t="str">
        <f t="shared" si="34"/>
        <v>Kommunal 50 Y 3 D</v>
      </c>
      <c r="H57" s="48">
        <f t="shared" si="0"/>
        <v>4.5437346340870481E-2</v>
      </c>
      <c r="I57" s="40">
        <f t="shared" si="1"/>
        <v>6.9917774048412623E-2</v>
      </c>
      <c r="J57" s="99">
        <f t="shared" si="2"/>
        <v>3.256598819663802E-4</v>
      </c>
      <c r="K57" s="48">
        <f t="shared" si="3"/>
        <v>1.0943786451946394E-2</v>
      </c>
      <c r="L57" s="48">
        <f t="shared" si="4"/>
        <v>5.8648327714499848E-2</v>
      </c>
      <c r="M57" s="48">
        <f t="shared" si="35"/>
        <v>0.34655187384028147</v>
      </c>
      <c r="N57" s="99">
        <f t="shared" si="5"/>
        <v>2.1070549588629583E-3</v>
      </c>
      <c r="O57" s="48">
        <f t="shared" si="6"/>
        <v>1.1967939587843823E-2</v>
      </c>
      <c r="P57" s="48">
        <f t="shared" si="7"/>
        <v>1.6415679677919591E-2</v>
      </c>
      <c r="Q57" s="48">
        <f t="shared" si="8"/>
        <v>8.7972491571749772E-2</v>
      </c>
      <c r="R57" s="40">
        <f t="shared" si="36"/>
        <v>2.4258631168819704</v>
      </c>
      <c r="S57" s="99">
        <f t="shared" si="9"/>
        <v>3.1605824382944375E-3</v>
      </c>
      <c r="T57" s="48">
        <f t="shared" si="10"/>
        <v>1.7951909381765732E-2</v>
      </c>
      <c r="U57" s="40">
        <v>0.75827070000000008</v>
      </c>
      <c r="V57" s="40">
        <v>1.2</v>
      </c>
      <c r="W57" s="45">
        <v>0</v>
      </c>
      <c r="X57" s="40">
        <v>2.3339504866624723</v>
      </c>
      <c r="Y57" s="42">
        <v>0</v>
      </c>
      <c r="Z57" s="42">
        <v>10.880714398771122</v>
      </c>
      <c r="AA57" s="42">
        <v>89.119285601228881</v>
      </c>
      <c r="AB57" s="42">
        <v>8.0909090909090917</v>
      </c>
      <c r="AC57" s="125">
        <v>1</v>
      </c>
      <c r="AD57" s="94">
        <f t="shared" si="37"/>
        <v>1.8351826362605007E-2</v>
      </c>
      <c r="AE57" s="94">
        <f t="shared" si="38"/>
        <v>4.2832254070147145E-2</v>
      </c>
      <c r="AF57" s="96">
        <f t="shared" si="11"/>
        <v>0</v>
      </c>
      <c r="AG57" s="95">
        <f t="shared" si="52"/>
        <v>4.6604552359287305E-3</v>
      </c>
      <c r="AH57" s="94">
        <f t="shared" si="39"/>
        <v>3.8171798834218416E-2</v>
      </c>
      <c r="AI57" s="94">
        <f t="shared" si="40"/>
        <v>0.34655187384028147</v>
      </c>
      <c r="AJ57" s="96">
        <f t="shared" si="41"/>
        <v>1.0179847007668712E-3</v>
      </c>
      <c r="AK57" s="95">
        <f t="shared" si="13"/>
        <v>6.2672613145084389E-3</v>
      </c>
      <c r="AL57" s="95">
        <f t="shared" si="14"/>
        <v>6.9906828538930958E-3</v>
      </c>
      <c r="AM57" s="94">
        <f t="shared" si="15"/>
        <v>5.7257698251327621E-2</v>
      </c>
      <c r="AN57" s="93">
        <f t="shared" si="16"/>
        <v>2.4258631168819704</v>
      </c>
      <c r="AO57" s="96">
        <f t="shared" si="17"/>
        <v>1.526977051150307E-3</v>
      </c>
      <c r="AP57" s="95">
        <f t="shared" si="18"/>
        <v>9.400891971762658E-3</v>
      </c>
      <c r="AQ57" s="93">
        <f t="shared" si="19"/>
        <v>0.10880714398771123</v>
      </c>
      <c r="AR57" s="31">
        <v>1.5</v>
      </c>
      <c r="AS57" s="31">
        <v>1.5</v>
      </c>
      <c r="AT57" s="31">
        <v>7</v>
      </c>
      <c r="AU57" s="43">
        <v>7.0999999999999994E-2</v>
      </c>
      <c r="AV57" s="44">
        <v>0.28000000000000003</v>
      </c>
      <c r="AW57" s="43">
        <v>1.7999999999999999E-2</v>
      </c>
      <c r="AX57" s="44">
        <v>0.13</v>
      </c>
      <c r="AY57" s="40">
        <v>7.0817582490074749</v>
      </c>
      <c r="AZ57" s="41">
        <v>0.5</v>
      </c>
      <c r="BA57" s="40">
        <v>0.72</v>
      </c>
      <c r="BB57" s="45">
        <v>1</v>
      </c>
      <c r="BC57" s="41">
        <v>3.3197225366043686</v>
      </c>
      <c r="BD57" s="41">
        <v>24.127673726603245</v>
      </c>
      <c r="BE57" s="41">
        <v>72.552603736792392</v>
      </c>
      <c r="BF57" s="125">
        <v>1</v>
      </c>
      <c r="BG57" s="48">
        <f t="shared" si="42"/>
        <v>4.10666191750761E-3</v>
      </c>
      <c r="BH57" s="48">
        <f t="shared" si="43"/>
        <v>4.10666191750761E-3</v>
      </c>
      <c r="BI57" s="99">
        <f t="shared" si="44"/>
        <v>1.3632978117764923E-4</v>
      </c>
      <c r="BJ57" s="99">
        <f t="shared" si="45"/>
        <v>9.9084198851090454E-4</v>
      </c>
      <c r="BK57" s="48">
        <f t="shared" si="46"/>
        <v>2.979490147819056E-3</v>
      </c>
      <c r="BL57" s="99">
        <f t="shared" si="20"/>
        <v>1.9238352196370134E-4</v>
      </c>
      <c r="BM57" s="48">
        <f t="shared" si="21"/>
        <v>1.012051664738391E-3</v>
      </c>
      <c r="BN57" s="48">
        <f t="shared" si="22"/>
        <v>1.4862629827663569E-3</v>
      </c>
      <c r="BO57" s="48">
        <f t="shared" si="23"/>
        <v>4.4692352217285836E-3</v>
      </c>
      <c r="BP57" s="99">
        <f t="shared" si="24"/>
        <v>2.8857528294555203E-4</v>
      </c>
      <c r="BQ57" s="48">
        <f t="shared" si="25"/>
        <v>1.5180774971075867E-3</v>
      </c>
      <c r="BR57" s="40">
        <f t="shared" si="26"/>
        <v>0.27447396263207607</v>
      </c>
      <c r="BS57" s="31">
        <v>1.5</v>
      </c>
      <c r="BT57" s="31">
        <v>1.5</v>
      </c>
      <c r="BU57" s="43">
        <v>0.125</v>
      </c>
      <c r="BV57" s="44">
        <v>0.42</v>
      </c>
      <c r="BW57" s="43">
        <v>2.3E-2</v>
      </c>
      <c r="BX57" s="44">
        <v>0.2</v>
      </c>
      <c r="BY57" s="40">
        <v>17.493153787299182</v>
      </c>
      <c r="BZ57" s="40">
        <v>0.52</v>
      </c>
      <c r="CA57" s="40">
        <v>0.65</v>
      </c>
      <c r="CB57" s="45">
        <v>1</v>
      </c>
      <c r="CC57" s="41">
        <v>0.8239317214464168</v>
      </c>
      <c r="CD57" s="41">
        <v>23.031994076959837</v>
      </c>
      <c r="CE57" s="41">
        <v>76.144074201593753</v>
      </c>
      <c r="CF57" s="125">
        <v>1</v>
      </c>
      <c r="CG57" s="40">
        <f t="shared" si="47"/>
        <v>2.2978858060757865E-2</v>
      </c>
      <c r="CH57" s="40">
        <f t="shared" si="48"/>
        <v>2.2978858060757865E-2</v>
      </c>
      <c r="CI57" s="99">
        <f t="shared" si="49"/>
        <v>1.8933010078873099E-4</v>
      </c>
      <c r="CJ57" s="100">
        <f t="shared" si="50"/>
        <v>5.2924892275067591E-3</v>
      </c>
      <c r="CK57" s="100">
        <f t="shared" si="51"/>
        <v>1.7497038732462375E-2</v>
      </c>
      <c r="CL57" s="101">
        <f t="shared" si="27"/>
        <v>8.9668673613238579E-4</v>
      </c>
      <c r="CM57" s="100">
        <f t="shared" si="28"/>
        <v>4.6886266085969918E-3</v>
      </c>
      <c r="CN57" s="100">
        <f t="shared" si="29"/>
        <v>7.9387338412601378E-3</v>
      </c>
      <c r="CO57" s="100">
        <f t="shared" si="30"/>
        <v>2.6245558098693562E-2</v>
      </c>
      <c r="CP57" s="101">
        <f t="shared" si="31"/>
        <v>1.3450301041985787E-3</v>
      </c>
      <c r="CQ57" s="100">
        <f t="shared" si="32"/>
        <v>7.0329399128954886E-3</v>
      </c>
      <c r="CR57" s="99">
        <f t="shared" si="33"/>
        <v>0.23855925798406252</v>
      </c>
      <c r="CS57" s="31">
        <v>1.5</v>
      </c>
      <c r="CT57" s="31">
        <v>1.5</v>
      </c>
      <c r="CU57" s="43">
        <v>0.1</v>
      </c>
      <c r="CV57" s="44">
        <v>0.39</v>
      </c>
      <c r="CW57" s="43">
        <v>2.1000000000000001E-2</v>
      </c>
      <c r="CX57" s="44">
        <v>0.15</v>
      </c>
      <c r="CY57" s="124"/>
    </row>
    <row r="58" spans="1:196" s="23" customFormat="1" x14ac:dyDescent="0.25">
      <c r="A58" s="31">
        <v>44</v>
      </c>
      <c r="B58" s="83">
        <v>3</v>
      </c>
      <c r="C58" s="31">
        <v>50</v>
      </c>
      <c r="D58" s="31" t="s">
        <v>36</v>
      </c>
      <c r="E58" s="31" t="s">
        <v>6</v>
      </c>
      <c r="F58" s="31" t="s">
        <v>62</v>
      </c>
      <c r="G58" s="31" t="str">
        <f t="shared" si="34"/>
        <v>Kommunal 50 Y 3 EE</v>
      </c>
      <c r="H58" s="48">
        <f t="shared" si="0"/>
        <v>7.5908695073751156E-2</v>
      </c>
      <c r="I58" s="40">
        <f t="shared" si="1"/>
        <v>9.5594445813348944E-2</v>
      </c>
      <c r="J58" s="99">
        <f t="shared" si="2"/>
        <v>3.256598819663802E-4</v>
      </c>
      <c r="K58" s="48">
        <f t="shared" si="3"/>
        <v>1.373759177379902E-2</v>
      </c>
      <c r="L58" s="48">
        <f t="shared" si="4"/>
        <v>8.1531194157583545E-2</v>
      </c>
      <c r="M58" s="48">
        <f t="shared" si="35"/>
        <v>0.292064368033777</v>
      </c>
      <c r="N58" s="99">
        <f t="shared" si="5"/>
        <v>2.7173067326900016E-3</v>
      </c>
      <c r="O58" s="48">
        <f t="shared" si="6"/>
        <v>1.5724977715563439E-2</v>
      </c>
      <c r="P58" s="48">
        <f t="shared" si="7"/>
        <v>2.0606387660698527E-2</v>
      </c>
      <c r="Q58" s="48">
        <f t="shared" si="8"/>
        <v>0.12229679123637532</v>
      </c>
      <c r="R58" s="40">
        <f t="shared" si="36"/>
        <v>2.0444505762364389</v>
      </c>
      <c r="S58" s="99">
        <f t="shared" si="9"/>
        <v>4.0759600990350024E-3</v>
      </c>
      <c r="T58" s="48">
        <f t="shared" si="10"/>
        <v>2.3587466573345157E-2</v>
      </c>
      <c r="U58" s="40">
        <v>2.5130159999999999</v>
      </c>
      <c r="V58" s="40">
        <v>1.2</v>
      </c>
      <c r="W58" s="41">
        <v>0.1</v>
      </c>
      <c r="X58" s="40">
        <v>1.4032050496735922</v>
      </c>
      <c r="Y58" s="42">
        <v>0</v>
      </c>
      <c r="Z58" s="42">
        <v>10.88071439877112</v>
      </c>
      <c r="AA58" s="42">
        <v>89.119285601228881</v>
      </c>
      <c r="AB58" s="42">
        <v>4.2631578947368434</v>
      </c>
      <c r="AC58" s="125">
        <v>1</v>
      </c>
      <c r="AD58" s="94">
        <f t="shared" si="37"/>
        <v>4.8823175095485678E-2</v>
      </c>
      <c r="AE58" s="94">
        <f t="shared" si="38"/>
        <v>6.8508925835083473E-2</v>
      </c>
      <c r="AF58" s="96">
        <f t="shared" si="11"/>
        <v>0</v>
      </c>
      <c r="AG58" s="95">
        <f t="shared" si="52"/>
        <v>7.4542605577813557E-3</v>
      </c>
      <c r="AH58" s="94">
        <f t="shared" si="39"/>
        <v>6.105466527730212E-2</v>
      </c>
      <c r="AI58" s="94">
        <f t="shared" si="40"/>
        <v>0.292064368033777</v>
      </c>
      <c r="AJ58" s="96">
        <f t="shared" si="41"/>
        <v>1.6282364745939142E-3</v>
      </c>
      <c r="AK58" s="95">
        <f t="shared" si="13"/>
        <v>1.0024299442228057E-2</v>
      </c>
      <c r="AL58" s="95">
        <f t="shared" si="14"/>
        <v>1.1181390836672033E-2</v>
      </c>
      <c r="AM58" s="94">
        <f t="shared" si="15"/>
        <v>9.1581997915953173E-2</v>
      </c>
      <c r="AN58" s="93">
        <f t="shared" si="16"/>
        <v>2.0444505762364389</v>
      </c>
      <c r="AO58" s="96">
        <f t="shared" si="17"/>
        <v>2.4423547118908712E-3</v>
      </c>
      <c r="AP58" s="95">
        <f t="shared" si="18"/>
        <v>1.5036449163342083E-2</v>
      </c>
      <c r="AQ58" s="93">
        <f t="shared" si="19"/>
        <v>0.10880714398771121</v>
      </c>
      <c r="AR58" s="31">
        <v>1.5</v>
      </c>
      <c r="AS58" s="31">
        <v>1.5</v>
      </c>
      <c r="AT58" s="31">
        <v>7</v>
      </c>
      <c r="AU58" s="43">
        <v>7.0999999999999994E-2</v>
      </c>
      <c r="AV58" s="44">
        <v>0.28000000000000003</v>
      </c>
      <c r="AW58" s="43">
        <v>1.7999999999999999E-2</v>
      </c>
      <c r="AX58" s="44">
        <v>0.13</v>
      </c>
      <c r="AY58" s="40">
        <v>7.0817582490074749</v>
      </c>
      <c r="AZ58" s="41">
        <v>0.5</v>
      </c>
      <c r="BA58" s="40">
        <v>0.72</v>
      </c>
      <c r="BB58" s="45">
        <v>1</v>
      </c>
      <c r="BC58" s="41">
        <v>3.3197225366043686</v>
      </c>
      <c r="BD58" s="41">
        <v>24.127673726603245</v>
      </c>
      <c r="BE58" s="41">
        <v>72.552603736792392</v>
      </c>
      <c r="BF58" s="125">
        <v>1</v>
      </c>
      <c r="BG58" s="48">
        <f t="shared" si="42"/>
        <v>4.10666191750761E-3</v>
      </c>
      <c r="BH58" s="48">
        <f t="shared" si="43"/>
        <v>4.10666191750761E-3</v>
      </c>
      <c r="BI58" s="99">
        <f t="shared" si="44"/>
        <v>1.3632978117764923E-4</v>
      </c>
      <c r="BJ58" s="99">
        <f t="shared" si="45"/>
        <v>9.9084198851090454E-4</v>
      </c>
      <c r="BK58" s="48">
        <f t="shared" si="46"/>
        <v>2.979490147819056E-3</v>
      </c>
      <c r="BL58" s="99">
        <f t="shared" si="20"/>
        <v>1.9238352196370134E-4</v>
      </c>
      <c r="BM58" s="48">
        <f t="shared" si="21"/>
        <v>1.012051664738391E-3</v>
      </c>
      <c r="BN58" s="48">
        <f t="shared" si="22"/>
        <v>1.4862629827663569E-3</v>
      </c>
      <c r="BO58" s="48">
        <f t="shared" si="23"/>
        <v>4.4692352217285836E-3</v>
      </c>
      <c r="BP58" s="99">
        <f t="shared" si="24"/>
        <v>2.8857528294555203E-4</v>
      </c>
      <c r="BQ58" s="48">
        <f t="shared" si="25"/>
        <v>1.5180774971075867E-3</v>
      </c>
      <c r="BR58" s="40">
        <f t="shared" si="26"/>
        <v>0.27447396263207607</v>
      </c>
      <c r="BS58" s="31">
        <v>1.5</v>
      </c>
      <c r="BT58" s="31">
        <v>1.5</v>
      </c>
      <c r="BU58" s="43">
        <v>0.125</v>
      </c>
      <c r="BV58" s="44">
        <v>0.42</v>
      </c>
      <c r="BW58" s="43">
        <v>2.3E-2</v>
      </c>
      <c r="BX58" s="44">
        <v>0.2</v>
      </c>
      <c r="BY58" s="40">
        <v>17.493153787299182</v>
      </c>
      <c r="BZ58" s="40">
        <v>0.52</v>
      </c>
      <c r="CA58" s="40">
        <v>0.65</v>
      </c>
      <c r="CB58" s="45">
        <v>1</v>
      </c>
      <c r="CC58" s="41">
        <v>0.8239317214464168</v>
      </c>
      <c r="CD58" s="41">
        <v>23.031994076959837</v>
      </c>
      <c r="CE58" s="41">
        <v>76.144074201593753</v>
      </c>
      <c r="CF58" s="125">
        <v>1</v>
      </c>
      <c r="CG58" s="40">
        <f t="shared" si="47"/>
        <v>2.2978858060757865E-2</v>
      </c>
      <c r="CH58" s="40">
        <f t="shared" si="48"/>
        <v>2.2978858060757865E-2</v>
      </c>
      <c r="CI58" s="99">
        <f t="shared" si="49"/>
        <v>1.8933010078873099E-4</v>
      </c>
      <c r="CJ58" s="100">
        <f t="shared" si="50"/>
        <v>5.2924892275067591E-3</v>
      </c>
      <c r="CK58" s="100">
        <f t="shared" si="51"/>
        <v>1.7497038732462375E-2</v>
      </c>
      <c r="CL58" s="101">
        <f t="shared" si="27"/>
        <v>8.9668673613238579E-4</v>
      </c>
      <c r="CM58" s="100">
        <f t="shared" si="28"/>
        <v>4.6886266085969918E-3</v>
      </c>
      <c r="CN58" s="100">
        <f t="shared" si="29"/>
        <v>7.9387338412601378E-3</v>
      </c>
      <c r="CO58" s="100">
        <f t="shared" si="30"/>
        <v>2.6245558098693562E-2</v>
      </c>
      <c r="CP58" s="101">
        <f t="shared" si="31"/>
        <v>1.3450301041985787E-3</v>
      </c>
      <c r="CQ58" s="100">
        <f t="shared" si="32"/>
        <v>7.0329399128954886E-3</v>
      </c>
      <c r="CR58" s="99">
        <f t="shared" si="33"/>
        <v>0.23855925798406252</v>
      </c>
      <c r="CS58" s="31">
        <v>1.5</v>
      </c>
      <c r="CT58" s="31">
        <v>1.5</v>
      </c>
      <c r="CU58" s="43">
        <v>0.1</v>
      </c>
      <c r="CV58" s="44">
        <v>0.39</v>
      </c>
      <c r="CW58" s="43">
        <v>2.1000000000000001E-2</v>
      </c>
      <c r="CX58" s="44">
        <v>0.15</v>
      </c>
      <c r="CY58" s="124"/>
    </row>
    <row r="59" spans="1:196" s="23" customFormat="1" x14ac:dyDescent="0.25">
      <c r="A59" s="31">
        <v>45</v>
      </c>
      <c r="B59" s="83">
        <v>3</v>
      </c>
      <c r="C59" s="31">
        <v>50</v>
      </c>
      <c r="D59" s="31" t="s">
        <v>36</v>
      </c>
      <c r="E59" s="31" t="s">
        <v>6</v>
      </c>
      <c r="F59" s="31" t="s">
        <v>63</v>
      </c>
      <c r="G59" s="31" t="str">
        <f t="shared" si="34"/>
        <v>Kommunal 50 Y 3 ES</v>
      </c>
      <c r="H59" s="48">
        <f t="shared" si="0"/>
        <v>5.408982892644619E-2</v>
      </c>
      <c r="I59" s="40">
        <f t="shared" si="1"/>
        <v>6.2639054343777853E-2</v>
      </c>
      <c r="J59" s="99">
        <f t="shared" si="2"/>
        <v>3.256598819663802E-4</v>
      </c>
      <c r="K59" s="48">
        <f t="shared" si="3"/>
        <v>1.0151809748998009E-2</v>
      </c>
      <c r="L59" s="48">
        <f t="shared" si="4"/>
        <v>5.2161584712813465E-2</v>
      </c>
      <c r="M59" s="48">
        <f t="shared" si="35"/>
        <v>0.20147002807123682</v>
      </c>
      <c r="N59" s="99">
        <f t="shared" si="5"/>
        <v>1.9340632389232681E-3</v>
      </c>
      <c r="O59" s="48">
        <f t="shared" si="6"/>
        <v>1.0902909520799043E-2</v>
      </c>
      <c r="P59" s="48">
        <f t="shared" si="7"/>
        <v>1.5227714623497013E-2</v>
      </c>
      <c r="Q59" s="48">
        <f t="shared" si="8"/>
        <v>7.8242377069220187E-2</v>
      </c>
      <c r="R59" s="40">
        <f t="shared" si="36"/>
        <v>1.4102901964986576</v>
      </c>
      <c r="S59" s="99">
        <f t="shared" si="9"/>
        <v>2.9010948583849021E-3</v>
      </c>
      <c r="T59" s="48">
        <f t="shared" si="10"/>
        <v>1.6354364281198568E-2</v>
      </c>
      <c r="U59" s="40">
        <v>1.3899600000000003</v>
      </c>
      <c r="V59" s="40">
        <v>1.2</v>
      </c>
      <c r="W59" s="41">
        <v>0.1</v>
      </c>
      <c r="X59" s="40">
        <v>1.316587454014728</v>
      </c>
      <c r="Y59" s="42">
        <v>0</v>
      </c>
      <c r="Z59" s="42">
        <v>10.880714398771122</v>
      </c>
      <c r="AA59" s="42">
        <v>89.119285601228881</v>
      </c>
      <c r="AB59" s="42">
        <v>5.6666666666666661</v>
      </c>
      <c r="AC59" s="125">
        <v>1</v>
      </c>
      <c r="AD59" s="94">
        <f t="shared" si="37"/>
        <v>2.7004308948180712E-2</v>
      </c>
      <c r="AE59" s="94">
        <f t="shared" si="38"/>
        <v>3.5553534365512382E-2</v>
      </c>
      <c r="AF59" s="96">
        <f t="shared" si="11"/>
        <v>0</v>
      </c>
      <c r="AG59" s="95">
        <f t="shared" si="52"/>
        <v>3.868478532980345E-3</v>
      </c>
      <c r="AH59" s="94">
        <f t="shared" si="39"/>
        <v>3.1685055832532033E-2</v>
      </c>
      <c r="AI59" s="94">
        <f t="shared" si="40"/>
        <v>0.20147002807123682</v>
      </c>
      <c r="AJ59" s="96">
        <f t="shared" si="41"/>
        <v>8.449929808271809E-4</v>
      </c>
      <c r="AK59" s="95">
        <f t="shared" si="13"/>
        <v>5.2022312474636605E-3</v>
      </c>
      <c r="AL59" s="95">
        <f t="shared" si="14"/>
        <v>5.8027177994705173E-3</v>
      </c>
      <c r="AM59" s="94">
        <f t="shared" si="15"/>
        <v>4.752758374879805E-2</v>
      </c>
      <c r="AN59" s="93">
        <f t="shared" si="16"/>
        <v>1.4102901964986576</v>
      </c>
      <c r="AO59" s="96">
        <f t="shared" si="17"/>
        <v>1.2674894712407716E-3</v>
      </c>
      <c r="AP59" s="95">
        <f t="shared" si="18"/>
        <v>7.8033468711954917E-3</v>
      </c>
      <c r="AQ59" s="93">
        <f t="shared" si="19"/>
        <v>0.10880714398771123</v>
      </c>
      <c r="AR59" s="31">
        <v>1.5</v>
      </c>
      <c r="AS59" s="31">
        <v>1.5</v>
      </c>
      <c r="AT59" s="31">
        <v>7</v>
      </c>
      <c r="AU59" s="43">
        <v>7.0999999999999994E-2</v>
      </c>
      <c r="AV59" s="44">
        <v>0.28000000000000003</v>
      </c>
      <c r="AW59" s="43">
        <v>1.7999999999999999E-2</v>
      </c>
      <c r="AX59" s="44">
        <v>0.13</v>
      </c>
      <c r="AY59" s="40">
        <v>7.0817582490074749</v>
      </c>
      <c r="AZ59" s="41">
        <v>0.5</v>
      </c>
      <c r="BA59" s="40">
        <v>0.72</v>
      </c>
      <c r="BB59" s="45">
        <v>1</v>
      </c>
      <c r="BC59" s="41">
        <v>3.3197225366043686</v>
      </c>
      <c r="BD59" s="41">
        <v>24.127673726603245</v>
      </c>
      <c r="BE59" s="41">
        <v>72.552603736792392</v>
      </c>
      <c r="BF59" s="125">
        <v>1</v>
      </c>
      <c r="BG59" s="48">
        <f t="shared" si="42"/>
        <v>4.10666191750761E-3</v>
      </c>
      <c r="BH59" s="48">
        <f t="shared" si="43"/>
        <v>4.10666191750761E-3</v>
      </c>
      <c r="BI59" s="99">
        <f t="shared" si="44"/>
        <v>1.3632978117764923E-4</v>
      </c>
      <c r="BJ59" s="99">
        <f t="shared" si="45"/>
        <v>9.9084198851090454E-4</v>
      </c>
      <c r="BK59" s="48">
        <f t="shared" si="46"/>
        <v>2.979490147819056E-3</v>
      </c>
      <c r="BL59" s="99">
        <f t="shared" si="20"/>
        <v>1.9238352196370134E-4</v>
      </c>
      <c r="BM59" s="48">
        <f t="shared" si="21"/>
        <v>1.012051664738391E-3</v>
      </c>
      <c r="BN59" s="48">
        <f t="shared" si="22"/>
        <v>1.4862629827663569E-3</v>
      </c>
      <c r="BO59" s="48">
        <f t="shared" si="23"/>
        <v>4.4692352217285836E-3</v>
      </c>
      <c r="BP59" s="99">
        <f t="shared" si="24"/>
        <v>2.8857528294555203E-4</v>
      </c>
      <c r="BQ59" s="48">
        <f t="shared" si="25"/>
        <v>1.5180774971075867E-3</v>
      </c>
      <c r="BR59" s="40">
        <f t="shared" si="26"/>
        <v>0.27447396263207607</v>
      </c>
      <c r="BS59" s="31">
        <v>1.5</v>
      </c>
      <c r="BT59" s="31">
        <v>1.5</v>
      </c>
      <c r="BU59" s="43">
        <v>0.125</v>
      </c>
      <c r="BV59" s="44">
        <v>0.42</v>
      </c>
      <c r="BW59" s="43">
        <v>2.3E-2</v>
      </c>
      <c r="BX59" s="44">
        <v>0.2</v>
      </c>
      <c r="BY59" s="40">
        <v>17.493153787299182</v>
      </c>
      <c r="BZ59" s="40">
        <v>0.52</v>
      </c>
      <c r="CA59" s="40">
        <v>0.65</v>
      </c>
      <c r="CB59" s="45">
        <v>1</v>
      </c>
      <c r="CC59" s="41">
        <v>0.8239317214464168</v>
      </c>
      <c r="CD59" s="41">
        <v>23.031994076959837</v>
      </c>
      <c r="CE59" s="41">
        <v>76.144074201593753</v>
      </c>
      <c r="CF59" s="125">
        <v>1</v>
      </c>
      <c r="CG59" s="40">
        <f t="shared" si="47"/>
        <v>2.2978858060757865E-2</v>
      </c>
      <c r="CH59" s="40">
        <f t="shared" si="48"/>
        <v>2.2978858060757865E-2</v>
      </c>
      <c r="CI59" s="99">
        <f t="shared" si="49"/>
        <v>1.8933010078873099E-4</v>
      </c>
      <c r="CJ59" s="100">
        <f t="shared" si="50"/>
        <v>5.2924892275067591E-3</v>
      </c>
      <c r="CK59" s="100">
        <f t="shared" si="51"/>
        <v>1.7497038732462375E-2</v>
      </c>
      <c r="CL59" s="101">
        <f t="shared" si="27"/>
        <v>8.9668673613238579E-4</v>
      </c>
      <c r="CM59" s="100">
        <f t="shared" si="28"/>
        <v>4.6886266085969918E-3</v>
      </c>
      <c r="CN59" s="100">
        <f t="shared" si="29"/>
        <v>7.9387338412601378E-3</v>
      </c>
      <c r="CO59" s="100">
        <f t="shared" si="30"/>
        <v>2.6245558098693562E-2</v>
      </c>
      <c r="CP59" s="101">
        <f t="shared" si="31"/>
        <v>1.3450301041985787E-3</v>
      </c>
      <c r="CQ59" s="100">
        <f t="shared" si="32"/>
        <v>7.0329399128954886E-3</v>
      </c>
      <c r="CR59" s="99">
        <f t="shared" si="33"/>
        <v>0.23855925798406252</v>
      </c>
      <c r="CS59" s="31">
        <v>1.5</v>
      </c>
      <c r="CT59" s="31">
        <v>1.5</v>
      </c>
      <c r="CU59" s="43">
        <v>0.1</v>
      </c>
      <c r="CV59" s="44">
        <v>0.39</v>
      </c>
      <c r="CW59" s="43">
        <v>2.1000000000000001E-2</v>
      </c>
      <c r="CX59" s="44">
        <v>0.15</v>
      </c>
      <c r="CY59" s="124"/>
    </row>
    <row r="60" spans="1:196" s="23" customFormat="1" x14ac:dyDescent="0.25">
      <c r="A60" s="31">
        <v>46</v>
      </c>
      <c r="B60" s="83">
        <v>3</v>
      </c>
      <c r="C60" s="31">
        <v>50</v>
      </c>
      <c r="D60" s="31" t="s">
        <v>36</v>
      </c>
      <c r="E60" s="31" t="s">
        <v>6</v>
      </c>
      <c r="F60" s="31" t="s">
        <v>64</v>
      </c>
      <c r="G60" s="31" t="str">
        <f t="shared" si="34"/>
        <v>Kommunal 50 Y 3 F</v>
      </c>
      <c r="H60" s="48">
        <f t="shared" si="0"/>
        <v>3.9488053737813042E-2</v>
      </c>
      <c r="I60" s="40">
        <f t="shared" si="1"/>
        <v>4.3462620996486692E-2</v>
      </c>
      <c r="J60" s="99">
        <f t="shared" si="2"/>
        <v>4.5972969970141354E-4</v>
      </c>
      <c r="K60" s="48">
        <f t="shared" si="3"/>
        <v>9.1316259561924698E-3</v>
      </c>
      <c r="L60" s="48">
        <f t="shared" si="4"/>
        <v>3.3871265340592815E-2</v>
      </c>
      <c r="M60" s="48">
        <f t="shared" si="35"/>
        <v>6.5508404072884885E-2</v>
      </c>
      <c r="N60" s="99">
        <f t="shared" si="5"/>
        <v>1.5324044409341033E-3</v>
      </c>
      <c r="O60" s="48">
        <f t="shared" si="6"/>
        <v>8.2395165404248079E-3</v>
      </c>
      <c r="P60" s="48">
        <f t="shared" si="7"/>
        <v>1.3697438934288705E-2</v>
      </c>
      <c r="Q60" s="48">
        <f t="shared" si="8"/>
        <v>5.0806898010889223E-2</v>
      </c>
      <c r="R60" s="40">
        <f t="shared" si="36"/>
        <v>0.45855882851019419</v>
      </c>
      <c r="S60" s="99">
        <f t="shared" si="9"/>
        <v>2.2986066614011551E-3</v>
      </c>
      <c r="T60" s="48">
        <f t="shared" si="10"/>
        <v>1.2359274810637214E-2</v>
      </c>
      <c r="U60" s="40">
        <v>0.18770400000000001</v>
      </c>
      <c r="V60" s="40">
        <v>1.45</v>
      </c>
      <c r="W60" s="41">
        <v>0.5</v>
      </c>
      <c r="X60" s="40">
        <v>1.3204641354524835</v>
      </c>
      <c r="Y60" s="42">
        <v>0.81864194148809843</v>
      </c>
      <c r="Z60" s="42">
        <v>17.391934854683893</v>
      </c>
      <c r="AA60" s="42">
        <v>81.789423203828008</v>
      </c>
      <c r="AB60" s="42">
        <v>4.0000000000000009</v>
      </c>
      <c r="AC60" s="125">
        <v>1</v>
      </c>
      <c r="AD60" s="94">
        <f t="shared" si="37"/>
        <v>1.2402533759547568E-2</v>
      </c>
      <c r="AE60" s="94">
        <f t="shared" si="38"/>
        <v>1.6377101018221218E-2</v>
      </c>
      <c r="AF60" s="96">
        <f t="shared" si="11"/>
        <v>1.3406981773503331E-4</v>
      </c>
      <c r="AG60" s="95">
        <f t="shared" si="52"/>
        <v>2.8482947401748063E-3</v>
      </c>
      <c r="AH60" s="94">
        <f t="shared" si="39"/>
        <v>1.3394736460311378E-2</v>
      </c>
      <c r="AI60" s="94">
        <f t="shared" si="40"/>
        <v>6.5508404072884885E-2</v>
      </c>
      <c r="AJ60" s="96">
        <f t="shared" si="41"/>
        <v>4.4333418283801603E-4</v>
      </c>
      <c r="AK60" s="95">
        <f t="shared" si="13"/>
        <v>2.5388382670894251E-3</v>
      </c>
      <c r="AL60" s="95">
        <f t="shared" si="14"/>
        <v>4.2724421102622095E-3</v>
      </c>
      <c r="AM60" s="94">
        <f t="shared" si="15"/>
        <v>2.0092104690467068E-2</v>
      </c>
      <c r="AN60" s="93">
        <f t="shared" si="16"/>
        <v>0.45855882851019419</v>
      </c>
      <c r="AO60" s="96">
        <f t="shared" si="17"/>
        <v>6.6500127425702413E-4</v>
      </c>
      <c r="AP60" s="95">
        <f t="shared" si="18"/>
        <v>3.8082574006341376E-3</v>
      </c>
      <c r="AQ60" s="93">
        <f t="shared" si="19"/>
        <v>0.1821057679617199</v>
      </c>
      <c r="AR60" s="31">
        <v>1.5</v>
      </c>
      <c r="AS60" s="31">
        <v>1.5</v>
      </c>
      <c r="AT60" s="31">
        <v>7</v>
      </c>
      <c r="AU60" s="43">
        <v>7.0999999999999994E-2</v>
      </c>
      <c r="AV60" s="44">
        <v>0.28000000000000003</v>
      </c>
      <c r="AW60" s="43">
        <v>1.7999999999999999E-2</v>
      </c>
      <c r="AX60" s="44">
        <v>0.13</v>
      </c>
      <c r="AY60" s="40">
        <v>7.0817582490074731</v>
      </c>
      <c r="AZ60" s="41">
        <v>0.5</v>
      </c>
      <c r="BA60" s="40">
        <v>0.72</v>
      </c>
      <c r="BB60" s="45">
        <v>1</v>
      </c>
      <c r="BC60" s="41">
        <v>3.3197225366043686</v>
      </c>
      <c r="BD60" s="41">
        <v>24.127673726603245</v>
      </c>
      <c r="BE60" s="41">
        <v>72.552603736792392</v>
      </c>
      <c r="BF60" s="125">
        <v>1</v>
      </c>
      <c r="BG60" s="48">
        <f t="shared" si="42"/>
        <v>4.1066619175076091E-3</v>
      </c>
      <c r="BH60" s="48">
        <f t="shared" si="43"/>
        <v>4.1066619175076091E-3</v>
      </c>
      <c r="BI60" s="99">
        <f t="shared" si="44"/>
        <v>1.3632978117764921E-4</v>
      </c>
      <c r="BJ60" s="99">
        <f t="shared" si="45"/>
        <v>9.9084198851090454E-4</v>
      </c>
      <c r="BK60" s="48">
        <f t="shared" si="46"/>
        <v>2.9794901478190556E-3</v>
      </c>
      <c r="BL60" s="99">
        <f t="shared" si="20"/>
        <v>1.9238352196370134E-4</v>
      </c>
      <c r="BM60" s="48">
        <f t="shared" si="21"/>
        <v>1.012051664738391E-3</v>
      </c>
      <c r="BN60" s="48">
        <f t="shared" si="22"/>
        <v>1.4862629827663569E-3</v>
      </c>
      <c r="BO60" s="48">
        <f t="shared" si="23"/>
        <v>4.4692352217285836E-3</v>
      </c>
      <c r="BP60" s="99">
        <f t="shared" si="24"/>
        <v>2.8857528294555203E-4</v>
      </c>
      <c r="BQ60" s="48">
        <f t="shared" si="25"/>
        <v>1.5180774971075867E-3</v>
      </c>
      <c r="BR60" s="40">
        <f t="shared" si="26"/>
        <v>0.27447396263207618</v>
      </c>
      <c r="BS60" s="31">
        <v>1.5</v>
      </c>
      <c r="BT60" s="31">
        <v>1.5</v>
      </c>
      <c r="BU60" s="43">
        <v>0.125</v>
      </c>
      <c r="BV60" s="44">
        <v>0.42</v>
      </c>
      <c r="BW60" s="43">
        <v>2.3E-2</v>
      </c>
      <c r="BX60" s="44">
        <v>0.2</v>
      </c>
      <c r="BY60" s="40">
        <v>17.493153787299185</v>
      </c>
      <c r="BZ60" s="40">
        <v>0.52</v>
      </c>
      <c r="CA60" s="40">
        <v>0.65</v>
      </c>
      <c r="CB60" s="45">
        <v>1</v>
      </c>
      <c r="CC60" s="41">
        <v>0.82393172144641669</v>
      </c>
      <c r="CD60" s="41">
        <v>23.03199407695983</v>
      </c>
      <c r="CE60" s="41">
        <v>76.144074201593753</v>
      </c>
      <c r="CF60" s="125">
        <v>1</v>
      </c>
      <c r="CG60" s="40">
        <f t="shared" si="47"/>
        <v>2.2978858060757869E-2</v>
      </c>
      <c r="CH60" s="40">
        <f t="shared" si="48"/>
        <v>2.2978858060757869E-2</v>
      </c>
      <c r="CI60" s="99">
        <f t="shared" si="49"/>
        <v>1.8933010078873099E-4</v>
      </c>
      <c r="CJ60" s="100">
        <f t="shared" si="50"/>
        <v>5.2924892275067591E-3</v>
      </c>
      <c r="CK60" s="100">
        <f t="shared" si="51"/>
        <v>1.7497038732462378E-2</v>
      </c>
      <c r="CL60" s="101">
        <f t="shared" si="27"/>
        <v>8.96686736132386E-4</v>
      </c>
      <c r="CM60" s="100">
        <f t="shared" si="28"/>
        <v>4.6886266085969927E-3</v>
      </c>
      <c r="CN60" s="100">
        <f t="shared" si="29"/>
        <v>7.9387338412601378E-3</v>
      </c>
      <c r="CO60" s="100">
        <f t="shared" si="30"/>
        <v>2.6245558098693569E-2</v>
      </c>
      <c r="CP60" s="101">
        <f t="shared" si="31"/>
        <v>1.3450301041985787E-3</v>
      </c>
      <c r="CQ60" s="100">
        <f t="shared" si="32"/>
        <v>7.0329399128954886E-3</v>
      </c>
      <c r="CR60" s="99">
        <f t="shared" si="33"/>
        <v>0.23855925798406249</v>
      </c>
      <c r="CS60" s="31">
        <v>1.5</v>
      </c>
      <c r="CT60" s="31">
        <v>1.5</v>
      </c>
      <c r="CU60" s="43">
        <v>0.1</v>
      </c>
      <c r="CV60" s="44">
        <v>0.39</v>
      </c>
      <c r="CW60" s="43">
        <v>2.1000000000000001E-2</v>
      </c>
      <c r="CX60" s="44">
        <v>0.15</v>
      </c>
      <c r="CY60" s="124"/>
    </row>
    <row r="61" spans="1:196" s="26" customFormat="1" x14ac:dyDescent="0.25">
      <c r="A61" s="31">
        <v>47</v>
      </c>
      <c r="B61" s="83">
        <v>3</v>
      </c>
      <c r="C61" s="31">
        <v>60</v>
      </c>
      <c r="D61" s="31" t="s">
        <v>36</v>
      </c>
      <c r="E61" s="31" t="s">
        <v>5</v>
      </c>
      <c r="F61" s="31" t="s">
        <v>12</v>
      </c>
      <c r="G61" s="31" t="str">
        <f t="shared" si="34"/>
        <v>Kommunal 60 M 3 A</v>
      </c>
      <c r="H61" s="48">
        <f t="shared" si="0"/>
        <v>0.10083349019438193</v>
      </c>
      <c r="I61" s="40">
        <f t="shared" si="1"/>
        <v>0.11250783999353743</v>
      </c>
      <c r="J61" s="99">
        <f t="shared" si="2"/>
        <v>1.5791261760125051E-3</v>
      </c>
      <c r="K61" s="48">
        <f t="shared" si="3"/>
        <v>2.398886167312609E-2</v>
      </c>
      <c r="L61" s="48">
        <f t="shared" si="4"/>
        <v>8.6939852144398824E-2</v>
      </c>
      <c r="M61" s="48">
        <f t="shared" si="35"/>
        <v>0.16029678266864303</v>
      </c>
      <c r="N61" s="99">
        <f t="shared" si="5"/>
        <v>3.5226399546014345E-3</v>
      </c>
      <c r="O61" s="48">
        <f t="shared" si="6"/>
        <v>1.9095228844311588E-2</v>
      </c>
      <c r="P61" s="48">
        <f t="shared" si="7"/>
        <v>3.5983292509689138E-2</v>
      </c>
      <c r="Q61" s="48">
        <f t="shared" si="8"/>
        <v>0.13040977821659822</v>
      </c>
      <c r="R61" s="40">
        <f t="shared" si="36"/>
        <v>1.1220774786805012</v>
      </c>
      <c r="S61" s="99">
        <f t="shared" si="9"/>
        <v>5.2839599319021522E-3</v>
      </c>
      <c r="T61" s="48">
        <f t="shared" si="10"/>
        <v>2.8642843266467381E-2</v>
      </c>
      <c r="U61" s="40">
        <v>5.6108448000000015</v>
      </c>
      <c r="V61" s="40">
        <v>1.25</v>
      </c>
      <c r="W61" s="40">
        <v>0.45</v>
      </c>
      <c r="X61" s="40">
        <v>1.1517392499522423</v>
      </c>
      <c r="Y61" s="42">
        <v>0.71473328447716378</v>
      </c>
      <c r="Z61" s="42">
        <v>20.848159913629427</v>
      </c>
      <c r="AA61" s="42">
        <v>78.437106801893407</v>
      </c>
      <c r="AB61" s="42">
        <v>1.8089887640449442</v>
      </c>
      <c r="AC61" s="125">
        <v>1</v>
      </c>
      <c r="AD61" s="94">
        <f t="shared" si="37"/>
        <v>7.6936915154317942E-2</v>
      </c>
      <c r="AE61" s="94">
        <f t="shared" si="38"/>
        <v>8.8611264953473448E-2</v>
      </c>
      <c r="AF61" s="96">
        <f t="shared" si="11"/>
        <v>6.3333420441872277E-4</v>
      </c>
      <c r="AG61" s="95">
        <f t="shared" si="52"/>
        <v>1.8473818218990013E-2</v>
      </c>
      <c r="AH61" s="94">
        <f t="shared" si="39"/>
        <v>6.9504112530064707E-2</v>
      </c>
      <c r="AI61" s="94">
        <f t="shared" si="40"/>
        <v>0.16029678266864303</v>
      </c>
      <c r="AJ61" s="96">
        <f t="shared" si="41"/>
        <v>2.5627151190894554E-3</v>
      </c>
      <c r="AK61" s="95">
        <f t="shared" si="13"/>
        <v>1.4208203730225617E-2</v>
      </c>
      <c r="AL61" s="95">
        <f t="shared" si="14"/>
        <v>2.7710727328485021E-2</v>
      </c>
      <c r="AM61" s="94">
        <f t="shared" si="15"/>
        <v>0.10425616879509705</v>
      </c>
      <c r="AN61" s="93">
        <f t="shared" si="16"/>
        <v>1.1220774786805012</v>
      </c>
      <c r="AO61" s="96">
        <f t="shared" si="17"/>
        <v>3.8440726786341832E-3</v>
      </c>
      <c r="AP61" s="95">
        <f t="shared" si="18"/>
        <v>2.1312305595338425E-2</v>
      </c>
      <c r="AQ61" s="93">
        <f t="shared" si="19"/>
        <v>0.21562893198106592</v>
      </c>
      <c r="AR61" s="31">
        <v>1.5</v>
      </c>
      <c r="AS61" s="31">
        <v>1.5</v>
      </c>
      <c r="AT61" s="31">
        <v>7</v>
      </c>
      <c r="AU61" s="43">
        <v>7.0999999999999994E-2</v>
      </c>
      <c r="AV61" s="44">
        <v>0.28000000000000003</v>
      </c>
      <c r="AW61" s="43">
        <v>1.7999999999999999E-2</v>
      </c>
      <c r="AX61" s="44">
        <v>0.13</v>
      </c>
      <c r="AY61" s="40">
        <v>5.8652742893442671</v>
      </c>
      <c r="AZ61" s="41">
        <v>0.5</v>
      </c>
      <c r="BA61" s="40">
        <v>0.72</v>
      </c>
      <c r="BB61" s="45">
        <v>1</v>
      </c>
      <c r="BC61" s="41">
        <v>10.469021924497721</v>
      </c>
      <c r="BD61" s="41">
        <v>46.248782587366165</v>
      </c>
      <c r="BE61" s="41">
        <v>43.282195488136097</v>
      </c>
      <c r="BF61" s="125">
        <v>1</v>
      </c>
      <c r="BG61" s="48">
        <f t="shared" si="42"/>
        <v>3.40123140509102E-3</v>
      </c>
      <c r="BH61" s="48">
        <f t="shared" si="43"/>
        <v>3.40123140509102E-3</v>
      </c>
      <c r="BI61" s="99">
        <f t="shared" si="44"/>
        <v>3.560756615018808E-4</v>
      </c>
      <c r="BJ61" s="99">
        <f t="shared" si="45"/>
        <v>1.5730281178337651E-3</v>
      </c>
      <c r="BK61" s="48">
        <f t="shared" si="46"/>
        <v>1.4721276257553735E-3</v>
      </c>
      <c r="BL61" s="99">
        <f t="shared" si="20"/>
        <v>2.3048745012159422E-4</v>
      </c>
      <c r="BM61" s="48">
        <f t="shared" si="21"/>
        <v>9.5509733464125602E-4</v>
      </c>
      <c r="BN61" s="48">
        <f t="shared" si="22"/>
        <v>2.3595421767506476E-3</v>
      </c>
      <c r="BO61" s="48">
        <f t="shared" si="23"/>
        <v>2.2081914386330604E-3</v>
      </c>
      <c r="BP61" s="99">
        <f t="shared" si="24"/>
        <v>3.4573117518239133E-4</v>
      </c>
      <c r="BQ61" s="48">
        <f t="shared" si="25"/>
        <v>1.4326460019618841E-3</v>
      </c>
      <c r="BR61" s="40">
        <f t="shared" si="26"/>
        <v>0.56717804511863879</v>
      </c>
      <c r="BS61" s="31">
        <v>1.5</v>
      </c>
      <c r="BT61" s="31">
        <v>1.5</v>
      </c>
      <c r="BU61" s="43">
        <v>0.125</v>
      </c>
      <c r="BV61" s="44">
        <v>0.42</v>
      </c>
      <c r="BW61" s="43">
        <v>2.3E-2</v>
      </c>
      <c r="BX61" s="44">
        <v>0.2</v>
      </c>
      <c r="BY61" s="40">
        <v>15.602524598139274</v>
      </c>
      <c r="BZ61" s="40">
        <v>0.52</v>
      </c>
      <c r="CA61" s="40">
        <v>0.65</v>
      </c>
      <c r="CB61" s="45">
        <v>1</v>
      </c>
      <c r="CC61" s="41">
        <v>2.8773184806992838</v>
      </c>
      <c r="CD61" s="41">
        <v>19.233711844556318</v>
      </c>
      <c r="CE61" s="41">
        <v>77.888969674744388</v>
      </c>
      <c r="CF61" s="125">
        <v>1</v>
      </c>
      <c r="CG61" s="40">
        <f t="shared" si="47"/>
        <v>2.0495343634972962E-2</v>
      </c>
      <c r="CH61" s="40">
        <f t="shared" si="48"/>
        <v>2.0495343634972962E-2</v>
      </c>
      <c r="CI61" s="99">
        <f t="shared" si="49"/>
        <v>5.8971631009190138E-4</v>
      </c>
      <c r="CJ61" s="100">
        <f t="shared" si="50"/>
        <v>3.9420153363023142E-3</v>
      </c>
      <c r="CK61" s="100">
        <f t="shared" si="51"/>
        <v>1.5963611988578746E-2</v>
      </c>
      <c r="CL61" s="101">
        <f t="shared" si="27"/>
        <v>7.2943738539038507E-4</v>
      </c>
      <c r="CM61" s="100">
        <f t="shared" si="28"/>
        <v>3.9319277794447145E-3</v>
      </c>
      <c r="CN61" s="100">
        <f t="shared" si="29"/>
        <v>5.9130230044534713E-3</v>
      </c>
      <c r="CO61" s="100">
        <f t="shared" si="30"/>
        <v>2.3945417982868117E-2</v>
      </c>
      <c r="CP61" s="101">
        <f t="shared" si="31"/>
        <v>1.0941560780855777E-3</v>
      </c>
      <c r="CQ61" s="100">
        <f t="shared" si="32"/>
        <v>5.8978916691670713E-3</v>
      </c>
      <c r="CR61" s="99">
        <f t="shared" si="33"/>
        <v>0.22111030325255604</v>
      </c>
      <c r="CS61" s="31">
        <v>1.5</v>
      </c>
      <c r="CT61" s="31">
        <v>1.5</v>
      </c>
      <c r="CU61" s="43">
        <v>0.1</v>
      </c>
      <c r="CV61" s="44">
        <v>0.39</v>
      </c>
      <c r="CW61" s="43">
        <v>2.1000000000000001E-2</v>
      </c>
      <c r="CX61" s="44">
        <v>0.15</v>
      </c>
      <c r="CY61" s="124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</row>
    <row r="62" spans="1:196" s="23" customFormat="1" x14ac:dyDescent="0.25">
      <c r="A62" s="31">
        <v>48</v>
      </c>
      <c r="B62" s="83">
        <v>3</v>
      </c>
      <c r="C62" s="31">
        <v>60</v>
      </c>
      <c r="D62" s="31" t="s">
        <v>36</v>
      </c>
      <c r="E62" s="31" t="s">
        <v>5</v>
      </c>
      <c r="F62" s="31" t="s">
        <v>13</v>
      </c>
      <c r="G62" s="31" t="str">
        <f t="shared" si="34"/>
        <v>Kommunal 60 M 3 B</v>
      </c>
      <c r="H62" s="48">
        <f t="shared" si="0"/>
        <v>0.10083349019438193</v>
      </c>
      <c r="I62" s="40">
        <f t="shared" si="1"/>
        <v>0.11250783999353743</v>
      </c>
      <c r="J62" s="99">
        <f t="shared" si="2"/>
        <v>1.5791261760125051E-3</v>
      </c>
      <c r="K62" s="48">
        <f t="shared" si="3"/>
        <v>2.398886167312609E-2</v>
      </c>
      <c r="L62" s="48">
        <f t="shared" si="4"/>
        <v>8.6939852144398824E-2</v>
      </c>
      <c r="M62" s="48">
        <f t="shared" si="35"/>
        <v>0.16029678266864303</v>
      </c>
      <c r="N62" s="99">
        <f t="shared" si="5"/>
        <v>3.5226399546014345E-3</v>
      </c>
      <c r="O62" s="48">
        <f t="shared" si="6"/>
        <v>1.9095228844311588E-2</v>
      </c>
      <c r="P62" s="48">
        <f t="shared" si="7"/>
        <v>3.5983292509689138E-2</v>
      </c>
      <c r="Q62" s="48">
        <f t="shared" si="8"/>
        <v>0.13040977821659822</v>
      </c>
      <c r="R62" s="40">
        <f t="shared" si="36"/>
        <v>1.1220774786805012</v>
      </c>
      <c r="S62" s="99">
        <f t="shared" si="9"/>
        <v>5.2839599319021522E-3</v>
      </c>
      <c r="T62" s="48">
        <f t="shared" si="10"/>
        <v>2.8642843266467381E-2</v>
      </c>
      <c r="U62" s="40">
        <v>5.6108448000000015</v>
      </c>
      <c r="V62" s="40">
        <v>1.25</v>
      </c>
      <c r="W62" s="40">
        <v>0.45</v>
      </c>
      <c r="X62" s="40">
        <v>1.1517392499522423</v>
      </c>
      <c r="Y62" s="42">
        <v>0.71473328447716378</v>
      </c>
      <c r="Z62" s="42">
        <v>20.848159913629427</v>
      </c>
      <c r="AA62" s="42">
        <v>78.437106801893407</v>
      </c>
      <c r="AB62" s="42">
        <v>1.8089887640449442</v>
      </c>
      <c r="AC62" s="125">
        <v>1</v>
      </c>
      <c r="AD62" s="94">
        <f t="shared" si="37"/>
        <v>7.6936915154317942E-2</v>
      </c>
      <c r="AE62" s="94">
        <f t="shared" si="38"/>
        <v>8.8611264953473448E-2</v>
      </c>
      <c r="AF62" s="96">
        <f t="shared" si="11"/>
        <v>6.3333420441872277E-4</v>
      </c>
      <c r="AG62" s="95">
        <f t="shared" si="52"/>
        <v>1.8473818218990013E-2</v>
      </c>
      <c r="AH62" s="94">
        <f t="shared" si="39"/>
        <v>6.9504112530064707E-2</v>
      </c>
      <c r="AI62" s="94">
        <f t="shared" si="40"/>
        <v>0.16029678266864303</v>
      </c>
      <c r="AJ62" s="96">
        <f t="shared" si="41"/>
        <v>2.5627151190894554E-3</v>
      </c>
      <c r="AK62" s="95">
        <f t="shared" si="13"/>
        <v>1.4208203730225617E-2</v>
      </c>
      <c r="AL62" s="95">
        <f t="shared" si="14"/>
        <v>2.7710727328485021E-2</v>
      </c>
      <c r="AM62" s="94">
        <f t="shared" si="15"/>
        <v>0.10425616879509705</v>
      </c>
      <c r="AN62" s="93">
        <f t="shared" si="16"/>
        <v>1.1220774786805012</v>
      </c>
      <c r="AO62" s="96">
        <f t="shared" si="17"/>
        <v>3.8440726786341832E-3</v>
      </c>
      <c r="AP62" s="95">
        <f t="shared" si="18"/>
        <v>2.1312305595338425E-2</v>
      </c>
      <c r="AQ62" s="93">
        <f t="shared" si="19"/>
        <v>0.21562893198106592</v>
      </c>
      <c r="AR62" s="31">
        <v>1.5</v>
      </c>
      <c r="AS62" s="31">
        <v>1.5</v>
      </c>
      <c r="AT62" s="31">
        <v>7</v>
      </c>
      <c r="AU62" s="43">
        <v>7.0999999999999994E-2</v>
      </c>
      <c r="AV62" s="44">
        <v>0.28000000000000003</v>
      </c>
      <c r="AW62" s="43">
        <v>1.7999999999999999E-2</v>
      </c>
      <c r="AX62" s="44">
        <v>0.13</v>
      </c>
      <c r="AY62" s="40">
        <v>5.8652742893442671</v>
      </c>
      <c r="AZ62" s="41">
        <v>0.5</v>
      </c>
      <c r="BA62" s="40">
        <v>0.72</v>
      </c>
      <c r="BB62" s="45">
        <v>1</v>
      </c>
      <c r="BC62" s="41">
        <v>10.469021924497721</v>
      </c>
      <c r="BD62" s="41">
        <v>46.248782587366165</v>
      </c>
      <c r="BE62" s="41">
        <v>43.282195488136097</v>
      </c>
      <c r="BF62" s="125">
        <v>1</v>
      </c>
      <c r="BG62" s="48">
        <f t="shared" si="42"/>
        <v>3.40123140509102E-3</v>
      </c>
      <c r="BH62" s="48">
        <f t="shared" si="43"/>
        <v>3.40123140509102E-3</v>
      </c>
      <c r="BI62" s="99">
        <f t="shared" si="44"/>
        <v>3.560756615018808E-4</v>
      </c>
      <c r="BJ62" s="99">
        <f t="shared" si="45"/>
        <v>1.5730281178337651E-3</v>
      </c>
      <c r="BK62" s="48">
        <f t="shared" si="46"/>
        <v>1.4721276257553735E-3</v>
      </c>
      <c r="BL62" s="99">
        <f t="shared" si="20"/>
        <v>2.3048745012159422E-4</v>
      </c>
      <c r="BM62" s="48">
        <f t="shared" si="21"/>
        <v>9.5509733464125602E-4</v>
      </c>
      <c r="BN62" s="48">
        <f t="shared" si="22"/>
        <v>2.3595421767506476E-3</v>
      </c>
      <c r="BO62" s="48">
        <f t="shared" si="23"/>
        <v>2.2081914386330604E-3</v>
      </c>
      <c r="BP62" s="99">
        <f t="shared" si="24"/>
        <v>3.4573117518239133E-4</v>
      </c>
      <c r="BQ62" s="48">
        <f t="shared" si="25"/>
        <v>1.4326460019618841E-3</v>
      </c>
      <c r="BR62" s="40">
        <f t="shared" si="26"/>
        <v>0.56717804511863879</v>
      </c>
      <c r="BS62" s="31">
        <v>1.5</v>
      </c>
      <c r="BT62" s="31">
        <v>1.5</v>
      </c>
      <c r="BU62" s="43">
        <v>0.125</v>
      </c>
      <c r="BV62" s="44">
        <v>0.42</v>
      </c>
      <c r="BW62" s="43">
        <v>2.3E-2</v>
      </c>
      <c r="BX62" s="44">
        <v>0.2</v>
      </c>
      <c r="BY62" s="40">
        <v>15.602524598139274</v>
      </c>
      <c r="BZ62" s="40">
        <v>0.52</v>
      </c>
      <c r="CA62" s="40">
        <v>0.65</v>
      </c>
      <c r="CB62" s="45">
        <v>1</v>
      </c>
      <c r="CC62" s="41">
        <v>2.8773184806992838</v>
      </c>
      <c r="CD62" s="41">
        <v>19.233711844556318</v>
      </c>
      <c r="CE62" s="41">
        <v>77.888969674744388</v>
      </c>
      <c r="CF62" s="125">
        <v>1</v>
      </c>
      <c r="CG62" s="40">
        <f t="shared" si="47"/>
        <v>2.0495343634972962E-2</v>
      </c>
      <c r="CH62" s="40">
        <f t="shared" si="48"/>
        <v>2.0495343634972962E-2</v>
      </c>
      <c r="CI62" s="99">
        <f t="shared" si="49"/>
        <v>5.8971631009190138E-4</v>
      </c>
      <c r="CJ62" s="100">
        <f t="shared" si="50"/>
        <v>3.9420153363023142E-3</v>
      </c>
      <c r="CK62" s="100">
        <f t="shared" si="51"/>
        <v>1.5963611988578746E-2</v>
      </c>
      <c r="CL62" s="101">
        <f t="shared" si="27"/>
        <v>7.2943738539038507E-4</v>
      </c>
      <c r="CM62" s="100">
        <f t="shared" si="28"/>
        <v>3.9319277794447145E-3</v>
      </c>
      <c r="CN62" s="100">
        <f t="shared" si="29"/>
        <v>5.9130230044534713E-3</v>
      </c>
      <c r="CO62" s="100">
        <f t="shared" si="30"/>
        <v>2.3945417982868117E-2</v>
      </c>
      <c r="CP62" s="101">
        <f t="shared" si="31"/>
        <v>1.0941560780855777E-3</v>
      </c>
      <c r="CQ62" s="100">
        <f t="shared" si="32"/>
        <v>5.8978916691670713E-3</v>
      </c>
      <c r="CR62" s="99">
        <f t="shared" si="33"/>
        <v>0.22111030325255604</v>
      </c>
      <c r="CS62" s="31">
        <v>1.5</v>
      </c>
      <c r="CT62" s="31">
        <v>1.5</v>
      </c>
      <c r="CU62" s="43">
        <v>0.1</v>
      </c>
      <c r="CV62" s="44">
        <v>0.39</v>
      </c>
      <c r="CW62" s="43">
        <v>2.1000000000000001E-2</v>
      </c>
      <c r="CX62" s="44">
        <v>0.15</v>
      </c>
      <c r="CY62" s="124"/>
    </row>
    <row r="63" spans="1:196" s="23" customFormat="1" x14ac:dyDescent="0.25">
      <c r="A63" s="31">
        <v>49</v>
      </c>
      <c r="B63" s="83">
        <v>3</v>
      </c>
      <c r="C63" s="31">
        <v>60</v>
      </c>
      <c r="D63" s="31" t="s">
        <v>36</v>
      </c>
      <c r="E63" s="31" t="s">
        <v>5</v>
      </c>
      <c r="F63" s="31" t="s">
        <v>70</v>
      </c>
      <c r="G63" s="31" t="str">
        <f t="shared" si="34"/>
        <v>Kommunal 60 M 3 Ck</v>
      </c>
      <c r="H63" s="48">
        <f t="shared" si="0"/>
        <v>9.3139798678950114E-2</v>
      </c>
      <c r="I63" s="40">
        <f t="shared" si="1"/>
        <v>0.10364671349819007</v>
      </c>
      <c r="J63" s="99">
        <f t="shared" si="2"/>
        <v>1.5157927555706327E-3</v>
      </c>
      <c r="K63" s="48">
        <f t="shared" si="3"/>
        <v>2.2141479851227087E-2</v>
      </c>
      <c r="L63" s="48">
        <f t="shared" si="4"/>
        <v>7.9989440891392344E-2</v>
      </c>
      <c r="M63" s="48">
        <f t="shared" si="35"/>
        <v>0.14426710440177867</v>
      </c>
      <c r="N63" s="99">
        <f t="shared" si="5"/>
        <v>3.266368442692489E-3</v>
      </c>
      <c r="O63" s="48">
        <f t="shared" si="6"/>
        <v>1.7674408471289021E-2</v>
      </c>
      <c r="P63" s="48">
        <f t="shared" si="7"/>
        <v>3.3212219776840628E-2</v>
      </c>
      <c r="Q63" s="48">
        <f t="shared" si="8"/>
        <v>0.11998416133708852</v>
      </c>
      <c r="R63" s="40">
        <f t="shared" si="36"/>
        <v>1.0098697308124507</v>
      </c>
      <c r="S63" s="99">
        <f t="shared" si="9"/>
        <v>4.8995526640387334E-3</v>
      </c>
      <c r="T63" s="48">
        <f t="shared" si="10"/>
        <v>2.6511612706933536E-2</v>
      </c>
      <c r="U63" s="40">
        <v>5.0497603199999999</v>
      </c>
      <c r="V63" s="40">
        <v>1.25</v>
      </c>
      <c r="W63" s="40">
        <v>0.45</v>
      </c>
      <c r="X63" s="40">
        <v>1.1517392499522423</v>
      </c>
      <c r="Y63" s="42">
        <v>0.71473328447716389</v>
      </c>
      <c r="Z63" s="42">
        <v>20.848159913629424</v>
      </c>
      <c r="AA63" s="42">
        <v>78.437106801893407</v>
      </c>
      <c r="AB63" s="42">
        <v>1.808988764044944</v>
      </c>
      <c r="AC63" s="125">
        <v>1</v>
      </c>
      <c r="AD63" s="94">
        <f t="shared" si="37"/>
        <v>6.9243223638886131E-2</v>
      </c>
      <c r="AE63" s="94">
        <f t="shared" si="38"/>
        <v>7.9750138458126091E-2</v>
      </c>
      <c r="AF63" s="96">
        <f t="shared" si="11"/>
        <v>5.7000078397685043E-4</v>
      </c>
      <c r="AG63" s="95">
        <f t="shared" si="52"/>
        <v>1.6626436397091007E-2</v>
      </c>
      <c r="AH63" s="94">
        <f t="shared" si="39"/>
        <v>6.2553701277058227E-2</v>
      </c>
      <c r="AI63" s="94">
        <f t="shared" si="40"/>
        <v>0.14426710440177867</v>
      </c>
      <c r="AJ63" s="96">
        <f t="shared" si="41"/>
        <v>2.3064436071805095E-3</v>
      </c>
      <c r="AK63" s="95">
        <f t="shared" si="13"/>
        <v>1.2787383357203051E-2</v>
      </c>
      <c r="AL63" s="95">
        <f t="shared" si="14"/>
        <v>2.4939654595636511E-2</v>
      </c>
      <c r="AM63" s="94">
        <f t="shared" si="15"/>
        <v>9.383055191558734E-2</v>
      </c>
      <c r="AN63" s="93">
        <f t="shared" si="16"/>
        <v>1.0098697308124507</v>
      </c>
      <c r="AO63" s="96">
        <f t="shared" si="17"/>
        <v>3.4596654107707644E-3</v>
      </c>
      <c r="AP63" s="95">
        <f t="shared" si="18"/>
        <v>1.918107503580458E-2</v>
      </c>
      <c r="AQ63" s="93">
        <f t="shared" si="19"/>
        <v>0.21562893198106589</v>
      </c>
      <c r="AR63" s="31">
        <v>1.5</v>
      </c>
      <c r="AS63" s="31">
        <v>1.5</v>
      </c>
      <c r="AT63" s="31">
        <v>7</v>
      </c>
      <c r="AU63" s="43">
        <v>7.0999999999999994E-2</v>
      </c>
      <c r="AV63" s="44">
        <v>0.28000000000000003</v>
      </c>
      <c r="AW63" s="43">
        <v>1.7999999999999999E-2</v>
      </c>
      <c r="AX63" s="44">
        <v>0.13</v>
      </c>
      <c r="AY63" s="40">
        <v>5.8652742893442671</v>
      </c>
      <c r="AZ63" s="41">
        <v>0.5</v>
      </c>
      <c r="BA63" s="40">
        <v>0.72</v>
      </c>
      <c r="BB63" s="45">
        <v>1</v>
      </c>
      <c r="BC63" s="41">
        <v>10.469021924497721</v>
      </c>
      <c r="BD63" s="41">
        <v>46.248782587366165</v>
      </c>
      <c r="BE63" s="41">
        <v>43.282195488136097</v>
      </c>
      <c r="BF63" s="125">
        <v>1</v>
      </c>
      <c r="BG63" s="48">
        <f t="shared" si="42"/>
        <v>3.40123140509102E-3</v>
      </c>
      <c r="BH63" s="48">
        <f t="shared" si="43"/>
        <v>3.40123140509102E-3</v>
      </c>
      <c r="BI63" s="99">
        <f t="shared" si="44"/>
        <v>3.560756615018808E-4</v>
      </c>
      <c r="BJ63" s="99">
        <f t="shared" si="45"/>
        <v>1.5730281178337651E-3</v>
      </c>
      <c r="BK63" s="48">
        <f t="shared" si="46"/>
        <v>1.4721276257553735E-3</v>
      </c>
      <c r="BL63" s="99">
        <f t="shared" si="20"/>
        <v>2.3048745012159422E-4</v>
      </c>
      <c r="BM63" s="48">
        <f t="shared" si="21"/>
        <v>9.5509733464125602E-4</v>
      </c>
      <c r="BN63" s="48">
        <f t="shared" si="22"/>
        <v>2.3595421767506476E-3</v>
      </c>
      <c r="BO63" s="48">
        <f t="shared" si="23"/>
        <v>2.2081914386330604E-3</v>
      </c>
      <c r="BP63" s="99">
        <f t="shared" si="24"/>
        <v>3.4573117518239133E-4</v>
      </c>
      <c r="BQ63" s="48">
        <f t="shared" si="25"/>
        <v>1.4326460019618841E-3</v>
      </c>
      <c r="BR63" s="40">
        <f t="shared" si="26"/>
        <v>0.56717804511863879</v>
      </c>
      <c r="BS63" s="31">
        <v>1.5</v>
      </c>
      <c r="BT63" s="31">
        <v>1.5</v>
      </c>
      <c r="BU63" s="43">
        <v>0.125</v>
      </c>
      <c r="BV63" s="44">
        <v>0.42</v>
      </c>
      <c r="BW63" s="43">
        <v>2.3E-2</v>
      </c>
      <c r="BX63" s="44">
        <v>0.2</v>
      </c>
      <c r="BY63" s="40">
        <v>15.602524598139274</v>
      </c>
      <c r="BZ63" s="40">
        <v>0.52</v>
      </c>
      <c r="CA63" s="40">
        <v>0.65</v>
      </c>
      <c r="CB63" s="45">
        <v>1</v>
      </c>
      <c r="CC63" s="41">
        <v>2.8773184806992838</v>
      </c>
      <c r="CD63" s="41">
        <v>19.233711844556318</v>
      </c>
      <c r="CE63" s="41">
        <v>77.888969674744388</v>
      </c>
      <c r="CF63" s="125">
        <v>1</v>
      </c>
      <c r="CG63" s="40">
        <f t="shared" si="47"/>
        <v>2.0495343634972962E-2</v>
      </c>
      <c r="CH63" s="40">
        <f t="shared" si="48"/>
        <v>2.0495343634972962E-2</v>
      </c>
      <c r="CI63" s="99">
        <f t="shared" si="49"/>
        <v>5.8971631009190138E-4</v>
      </c>
      <c r="CJ63" s="100">
        <f t="shared" si="50"/>
        <v>3.9420153363023142E-3</v>
      </c>
      <c r="CK63" s="100">
        <f t="shared" si="51"/>
        <v>1.5963611988578746E-2</v>
      </c>
      <c r="CL63" s="101">
        <f t="shared" si="27"/>
        <v>7.2943738539038507E-4</v>
      </c>
      <c r="CM63" s="100">
        <f t="shared" si="28"/>
        <v>3.9319277794447145E-3</v>
      </c>
      <c r="CN63" s="100">
        <f t="shared" si="29"/>
        <v>5.9130230044534713E-3</v>
      </c>
      <c r="CO63" s="100">
        <f t="shared" si="30"/>
        <v>2.3945417982868117E-2</v>
      </c>
      <c r="CP63" s="101">
        <f t="shared" si="31"/>
        <v>1.0941560780855777E-3</v>
      </c>
      <c r="CQ63" s="100">
        <f t="shared" si="32"/>
        <v>5.8978916691670713E-3</v>
      </c>
      <c r="CR63" s="99">
        <f t="shared" si="33"/>
        <v>0.22111030325255604</v>
      </c>
      <c r="CS63" s="31">
        <v>1.5</v>
      </c>
      <c r="CT63" s="31">
        <v>1.5</v>
      </c>
      <c r="CU63" s="43">
        <v>0.1</v>
      </c>
      <c r="CV63" s="44">
        <v>0.39</v>
      </c>
      <c r="CW63" s="43">
        <v>2.1000000000000001E-2</v>
      </c>
      <c r="CX63" s="44">
        <v>0.15</v>
      </c>
      <c r="CY63" s="124"/>
    </row>
    <row r="64" spans="1:196" s="23" customFormat="1" x14ac:dyDescent="0.25">
      <c r="A64" s="31">
        <v>50</v>
      </c>
      <c r="B64" s="83">
        <v>3</v>
      </c>
      <c r="C64" s="31">
        <v>60</v>
      </c>
      <c r="D64" s="31" t="s">
        <v>36</v>
      </c>
      <c r="E64" s="31" t="s">
        <v>5</v>
      </c>
      <c r="F64" s="31" t="s">
        <v>71</v>
      </c>
      <c r="G64" s="31" t="str">
        <f t="shared" si="34"/>
        <v>Kommunal 60 M 3 Cm</v>
      </c>
      <c r="H64" s="48">
        <f t="shared" si="0"/>
        <v>9.3139798678950114E-2</v>
      </c>
      <c r="I64" s="40">
        <f t="shared" si="1"/>
        <v>0.10364671349819007</v>
      </c>
      <c r="J64" s="99">
        <f t="shared" si="2"/>
        <v>1.5157927555706327E-3</v>
      </c>
      <c r="K64" s="48">
        <f t="shared" si="3"/>
        <v>2.2141479851227087E-2</v>
      </c>
      <c r="L64" s="48">
        <f t="shared" si="4"/>
        <v>7.9989440891392344E-2</v>
      </c>
      <c r="M64" s="48">
        <f t="shared" si="35"/>
        <v>0.14426710440177867</v>
      </c>
      <c r="N64" s="99">
        <f t="shared" si="5"/>
        <v>3.266368442692489E-3</v>
      </c>
      <c r="O64" s="48">
        <f t="shared" si="6"/>
        <v>1.7674408471289021E-2</v>
      </c>
      <c r="P64" s="48">
        <f t="shared" si="7"/>
        <v>3.3212219776840628E-2</v>
      </c>
      <c r="Q64" s="48">
        <f t="shared" si="8"/>
        <v>0.11998416133708852</v>
      </c>
      <c r="R64" s="40">
        <f t="shared" si="36"/>
        <v>1.0098697308124507</v>
      </c>
      <c r="S64" s="99">
        <f t="shared" si="9"/>
        <v>4.8995526640387334E-3</v>
      </c>
      <c r="T64" s="48">
        <f t="shared" si="10"/>
        <v>2.6511612706933536E-2</v>
      </c>
      <c r="U64" s="40">
        <v>5.0497603199999999</v>
      </c>
      <c r="V64" s="40">
        <v>1.25</v>
      </c>
      <c r="W64" s="40">
        <v>0.45</v>
      </c>
      <c r="X64" s="40">
        <v>1.1517392499522423</v>
      </c>
      <c r="Y64" s="42">
        <v>0.71473328447716389</v>
      </c>
      <c r="Z64" s="42">
        <v>20.848159913629424</v>
      </c>
      <c r="AA64" s="42">
        <v>78.437106801893407</v>
      </c>
      <c r="AB64" s="42">
        <v>1.808988764044944</v>
      </c>
      <c r="AC64" s="125">
        <v>1</v>
      </c>
      <c r="AD64" s="94">
        <f t="shared" si="37"/>
        <v>6.9243223638886131E-2</v>
      </c>
      <c r="AE64" s="94">
        <f t="shared" si="38"/>
        <v>7.9750138458126091E-2</v>
      </c>
      <c r="AF64" s="96">
        <f t="shared" si="11"/>
        <v>5.7000078397685043E-4</v>
      </c>
      <c r="AG64" s="95">
        <f t="shared" si="52"/>
        <v>1.6626436397091007E-2</v>
      </c>
      <c r="AH64" s="94">
        <f t="shared" si="39"/>
        <v>6.2553701277058227E-2</v>
      </c>
      <c r="AI64" s="94">
        <f t="shared" si="40"/>
        <v>0.14426710440177867</v>
      </c>
      <c r="AJ64" s="96">
        <f t="shared" si="41"/>
        <v>2.3064436071805095E-3</v>
      </c>
      <c r="AK64" s="95">
        <f t="shared" si="13"/>
        <v>1.2787383357203051E-2</v>
      </c>
      <c r="AL64" s="95">
        <f t="shared" si="14"/>
        <v>2.4939654595636511E-2</v>
      </c>
      <c r="AM64" s="94">
        <f t="shared" si="15"/>
        <v>9.383055191558734E-2</v>
      </c>
      <c r="AN64" s="93">
        <f t="shared" si="16"/>
        <v>1.0098697308124507</v>
      </c>
      <c r="AO64" s="96">
        <f t="shared" si="17"/>
        <v>3.4596654107707644E-3</v>
      </c>
      <c r="AP64" s="95">
        <f t="shared" si="18"/>
        <v>1.918107503580458E-2</v>
      </c>
      <c r="AQ64" s="93">
        <f t="shared" si="19"/>
        <v>0.21562893198106589</v>
      </c>
      <c r="AR64" s="31">
        <v>1.5</v>
      </c>
      <c r="AS64" s="31">
        <v>1.5</v>
      </c>
      <c r="AT64" s="31">
        <v>7</v>
      </c>
      <c r="AU64" s="43">
        <v>7.0999999999999994E-2</v>
      </c>
      <c r="AV64" s="44">
        <v>0.28000000000000003</v>
      </c>
      <c r="AW64" s="43">
        <v>1.7999999999999999E-2</v>
      </c>
      <c r="AX64" s="44">
        <v>0.13</v>
      </c>
      <c r="AY64" s="40">
        <v>5.8652742893442671</v>
      </c>
      <c r="AZ64" s="41">
        <v>0.5</v>
      </c>
      <c r="BA64" s="40">
        <v>0.72</v>
      </c>
      <c r="BB64" s="45">
        <v>1</v>
      </c>
      <c r="BC64" s="41">
        <v>10.469021924497721</v>
      </c>
      <c r="BD64" s="41">
        <v>46.248782587366165</v>
      </c>
      <c r="BE64" s="41">
        <v>43.282195488136097</v>
      </c>
      <c r="BF64" s="125">
        <v>1</v>
      </c>
      <c r="BG64" s="48">
        <f t="shared" si="42"/>
        <v>3.40123140509102E-3</v>
      </c>
      <c r="BH64" s="48">
        <f t="shared" si="43"/>
        <v>3.40123140509102E-3</v>
      </c>
      <c r="BI64" s="99">
        <f t="shared" si="44"/>
        <v>3.560756615018808E-4</v>
      </c>
      <c r="BJ64" s="99">
        <f t="shared" si="45"/>
        <v>1.5730281178337651E-3</v>
      </c>
      <c r="BK64" s="48">
        <f t="shared" si="46"/>
        <v>1.4721276257553735E-3</v>
      </c>
      <c r="BL64" s="99">
        <f t="shared" si="20"/>
        <v>2.3048745012159422E-4</v>
      </c>
      <c r="BM64" s="48">
        <f t="shared" si="21"/>
        <v>9.5509733464125602E-4</v>
      </c>
      <c r="BN64" s="48">
        <f t="shared" si="22"/>
        <v>2.3595421767506476E-3</v>
      </c>
      <c r="BO64" s="48">
        <f t="shared" si="23"/>
        <v>2.2081914386330604E-3</v>
      </c>
      <c r="BP64" s="99">
        <f t="shared" si="24"/>
        <v>3.4573117518239133E-4</v>
      </c>
      <c r="BQ64" s="48">
        <f t="shared" si="25"/>
        <v>1.4326460019618841E-3</v>
      </c>
      <c r="BR64" s="40">
        <f t="shared" si="26"/>
        <v>0.56717804511863879</v>
      </c>
      <c r="BS64" s="31">
        <v>1.5</v>
      </c>
      <c r="BT64" s="31">
        <v>1.5</v>
      </c>
      <c r="BU64" s="43">
        <v>0.125</v>
      </c>
      <c r="BV64" s="44">
        <v>0.42</v>
      </c>
      <c r="BW64" s="43">
        <v>2.3E-2</v>
      </c>
      <c r="BX64" s="44">
        <v>0.2</v>
      </c>
      <c r="BY64" s="40">
        <v>15.602524598139274</v>
      </c>
      <c r="BZ64" s="40">
        <v>0.52</v>
      </c>
      <c r="CA64" s="40">
        <v>0.65</v>
      </c>
      <c r="CB64" s="45">
        <v>1</v>
      </c>
      <c r="CC64" s="41">
        <v>2.8773184806992838</v>
      </c>
      <c r="CD64" s="41">
        <v>19.233711844556318</v>
      </c>
      <c r="CE64" s="41">
        <v>77.888969674744388</v>
      </c>
      <c r="CF64" s="125">
        <v>1</v>
      </c>
      <c r="CG64" s="40">
        <f t="shared" si="47"/>
        <v>2.0495343634972962E-2</v>
      </c>
      <c r="CH64" s="40">
        <f t="shared" si="48"/>
        <v>2.0495343634972962E-2</v>
      </c>
      <c r="CI64" s="99">
        <f t="shared" si="49"/>
        <v>5.8971631009190138E-4</v>
      </c>
      <c r="CJ64" s="100">
        <f t="shared" si="50"/>
        <v>3.9420153363023142E-3</v>
      </c>
      <c r="CK64" s="100">
        <f t="shared" si="51"/>
        <v>1.5963611988578746E-2</v>
      </c>
      <c r="CL64" s="101">
        <f t="shared" si="27"/>
        <v>7.2943738539038507E-4</v>
      </c>
      <c r="CM64" s="100">
        <f t="shared" si="28"/>
        <v>3.9319277794447145E-3</v>
      </c>
      <c r="CN64" s="100">
        <f t="shared" si="29"/>
        <v>5.9130230044534713E-3</v>
      </c>
      <c r="CO64" s="100">
        <f t="shared" si="30"/>
        <v>2.3945417982868117E-2</v>
      </c>
      <c r="CP64" s="101">
        <f t="shared" si="31"/>
        <v>1.0941560780855777E-3</v>
      </c>
      <c r="CQ64" s="100">
        <f t="shared" si="32"/>
        <v>5.8978916691670713E-3</v>
      </c>
      <c r="CR64" s="99">
        <f t="shared" si="33"/>
        <v>0.22111030325255604</v>
      </c>
      <c r="CS64" s="31">
        <v>1.5</v>
      </c>
      <c r="CT64" s="31">
        <v>1.5</v>
      </c>
      <c r="CU64" s="43">
        <v>0.1</v>
      </c>
      <c r="CV64" s="44">
        <v>0.39</v>
      </c>
      <c r="CW64" s="43">
        <v>2.1000000000000001E-2</v>
      </c>
      <c r="CX64" s="44">
        <v>0.15</v>
      </c>
      <c r="CY64" s="124"/>
    </row>
    <row r="65" spans="1:196" s="23" customFormat="1" x14ac:dyDescent="0.25">
      <c r="A65" s="31">
        <v>51</v>
      </c>
      <c r="B65" s="83">
        <v>3</v>
      </c>
      <c r="C65" s="31">
        <v>60</v>
      </c>
      <c r="D65" s="31" t="s">
        <v>36</v>
      </c>
      <c r="E65" s="31" t="s">
        <v>5</v>
      </c>
      <c r="F65" s="31" t="s">
        <v>0</v>
      </c>
      <c r="G65" s="31" t="str">
        <f t="shared" si="34"/>
        <v>Kommunal 60 M 3 D</v>
      </c>
      <c r="H65" s="48">
        <f t="shared" si="0"/>
        <v>5.6049038082242798E-2</v>
      </c>
      <c r="I65" s="40">
        <f t="shared" si="1"/>
        <v>7.9832140247814459E-2</v>
      </c>
      <c r="J65" s="99">
        <f t="shared" si="2"/>
        <v>9.4579197159378218E-4</v>
      </c>
      <c r="K65" s="48">
        <f t="shared" si="3"/>
        <v>1.2665816258503163E-2</v>
      </c>
      <c r="L65" s="48">
        <f t="shared" si="4"/>
        <v>6.6220532017717521E-2</v>
      </c>
      <c r="M65" s="48">
        <f t="shared" si="35"/>
        <v>0.24806207179089335</v>
      </c>
      <c r="N65" s="99">
        <f t="shared" si="5"/>
        <v>2.3457559678829432E-3</v>
      </c>
      <c r="O65" s="48">
        <f t="shared" si="6"/>
        <v>1.3231264511748594E-2</v>
      </c>
      <c r="P65" s="48">
        <f t="shared" si="7"/>
        <v>1.8998724387754747E-2</v>
      </c>
      <c r="Q65" s="48">
        <f t="shared" si="8"/>
        <v>9.9330798026576267E-2</v>
      </c>
      <c r="R65" s="40">
        <f t="shared" si="36"/>
        <v>1.7364345025362535</v>
      </c>
      <c r="S65" s="99">
        <f t="shared" si="9"/>
        <v>3.518633951824415E-3</v>
      </c>
      <c r="T65" s="48">
        <f t="shared" si="10"/>
        <v>1.9846896767622895E-2</v>
      </c>
      <c r="U65" s="40">
        <v>1.3284928800000004</v>
      </c>
      <c r="V65" s="40">
        <v>1.2</v>
      </c>
      <c r="W65" s="45">
        <v>0</v>
      </c>
      <c r="X65" s="40">
        <v>1.7396976752409947</v>
      </c>
      <c r="Y65" s="42">
        <v>0</v>
      </c>
      <c r="Z65" s="42">
        <v>12.783946631822477</v>
      </c>
      <c r="AA65" s="42">
        <v>87.216053368177526</v>
      </c>
      <c r="AB65" s="42">
        <v>4.4347826086956506</v>
      </c>
      <c r="AC65" s="125">
        <v>1</v>
      </c>
      <c r="AD65" s="94">
        <f t="shared" si="37"/>
        <v>3.2152463042178815E-2</v>
      </c>
      <c r="AE65" s="94">
        <f t="shared" si="38"/>
        <v>5.5935565207750483E-2</v>
      </c>
      <c r="AF65" s="96">
        <f t="shared" si="11"/>
        <v>0</v>
      </c>
      <c r="AG65" s="95">
        <f t="shared" si="52"/>
        <v>7.1507728043670839E-3</v>
      </c>
      <c r="AH65" s="94">
        <f t="shared" si="39"/>
        <v>4.8784792403383397E-2</v>
      </c>
      <c r="AI65" s="94">
        <f t="shared" si="40"/>
        <v>0.24806207179089335</v>
      </c>
      <c r="AJ65" s="96">
        <f t="shared" si="41"/>
        <v>1.3858311323709639E-3</v>
      </c>
      <c r="AK65" s="95">
        <f t="shared" si="13"/>
        <v>8.3442393976626249E-3</v>
      </c>
      <c r="AL65" s="95">
        <f t="shared" si="14"/>
        <v>1.0726159206550626E-2</v>
      </c>
      <c r="AM65" s="94">
        <f t="shared" si="15"/>
        <v>7.3177188605075091E-2</v>
      </c>
      <c r="AN65" s="93">
        <f t="shared" si="16"/>
        <v>1.7364345025362535</v>
      </c>
      <c r="AO65" s="96">
        <f t="shared" si="17"/>
        <v>2.078746698556446E-3</v>
      </c>
      <c r="AP65" s="95">
        <f t="shared" si="18"/>
        <v>1.2516359096493939E-2</v>
      </c>
      <c r="AQ65" s="93">
        <f t="shared" si="19"/>
        <v>0.12783946631822479</v>
      </c>
      <c r="AR65" s="31">
        <v>1.5</v>
      </c>
      <c r="AS65" s="31">
        <v>1.5</v>
      </c>
      <c r="AT65" s="31">
        <v>7</v>
      </c>
      <c r="AU65" s="43">
        <v>7.0999999999999994E-2</v>
      </c>
      <c r="AV65" s="44">
        <v>0.28000000000000003</v>
      </c>
      <c r="AW65" s="43">
        <v>1.7999999999999999E-2</v>
      </c>
      <c r="AX65" s="44">
        <v>0.13</v>
      </c>
      <c r="AY65" s="40">
        <v>5.8652742893442671</v>
      </c>
      <c r="AZ65" s="41">
        <v>0.5</v>
      </c>
      <c r="BA65" s="40">
        <v>0.72</v>
      </c>
      <c r="BB65" s="45">
        <v>1</v>
      </c>
      <c r="BC65" s="41">
        <v>10.469021924497721</v>
      </c>
      <c r="BD65" s="41">
        <v>46.248782587366165</v>
      </c>
      <c r="BE65" s="41">
        <v>43.282195488136097</v>
      </c>
      <c r="BF65" s="125">
        <v>1</v>
      </c>
      <c r="BG65" s="48">
        <f t="shared" si="42"/>
        <v>3.40123140509102E-3</v>
      </c>
      <c r="BH65" s="48">
        <f t="shared" si="43"/>
        <v>3.40123140509102E-3</v>
      </c>
      <c r="BI65" s="99">
        <f t="shared" si="44"/>
        <v>3.560756615018808E-4</v>
      </c>
      <c r="BJ65" s="99">
        <f t="shared" si="45"/>
        <v>1.5730281178337651E-3</v>
      </c>
      <c r="BK65" s="48">
        <f t="shared" si="46"/>
        <v>1.4721276257553735E-3</v>
      </c>
      <c r="BL65" s="99">
        <f t="shared" si="20"/>
        <v>2.3048745012159422E-4</v>
      </c>
      <c r="BM65" s="48">
        <f t="shared" si="21"/>
        <v>9.5509733464125602E-4</v>
      </c>
      <c r="BN65" s="48">
        <f t="shared" si="22"/>
        <v>2.3595421767506476E-3</v>
      </c>
      <c r="BO65" s="48">
        <f t="shared" si="23"/>
        <v>2.2081914386330604E-3</v>
      </c>
      <c r="BP65" s="99">
        <f t="shared" si="24"/>
        <v>3.4573117518239133E-4</v>
      </c>
      <c r="BQ65" s="48">
        <f t="shared" si="25"/>
        <v>1.4326460019618841E-3</v>
      </c>
      <c r="BR65" s="40">
        <f t="shared" si="26"/>
        <v>0.56717804511863879</v>
      </c>
      <c r="BS65" s="31">
        <v>1.5</v>
      </c>
      <c r="BT65" s="31">
        <v>1.5</v>
      </c>
      <c r="BU65" s="43">
        <v>0.125</v>
      </c>
      <c r="BV65" s="44">
        <v>0.42</v>
      </c>
      <c r="BW65" s="43">
        <v>2.3E-2</v>
      </c>
      <c r="BX65" s="44">
        <v>0.2</v>
      </c>
      <c r="BY65" s="40">
        <v>15.602524598139274</v>
      </c>
      <c r="BZ65" s="40">
        <v>0.52</v>
      </c>
      <c r="CA65" s="40">
        <v>0.65</v>
      </c>
      <c r="CB65" s="45">
        <v>1</v>
      </c>
      <c r="CC65" s="41">
        <v>2.8773184806992838</v>
      </c>
      <c r="CD65" s="41">
        <v>19.233711844556318</v>
      </c>
      <c r="CE65" s="41">
        <v>77.888969674744388</v>
      </c>
      <c r="CF65" s="125">
        <v>1</v>
      </c>
      <c r="CG65" s="40">
        <f t="shared" si="47"/>
        <v>2.0495343634972962E-2</v>
      </c>
      <c r="CH65" s="40">
        <f t="shared" si="48"/>
        <v>2.0495343634972962E-2</v>
      </c>
      <c r="CI65" s="99">
        <f t="shared" si="49"/>
        <v>5.8971631009190138E-4</v>
      </c>
      <c r="CJ65" s="100">
        <f t="shared" si="50"/>
        <v>3.9420153363023142E-3</v>
      </c>
      <c r="CK65" s="100">
        <f t="shared" si="51"/>
        <v>1.5963611988578746E-2</v>
      </c>
      <c r="CL65" s="101">
        <f t="shared" si="27"/>
        <v>7.2943738539038507E-4</v>
      </c>
      <c r="CM65" s="100">
        <f t="shared" si="28"/>
        <v>3.9319277794447145E-3</v>
      </c>
      <c r="CN65" s="100">
        <f t="shared" si="29"/>
        <v>5.9130230044534713E-3</v>
      </c>
      <c r="CO65" s="100">
        <f t="shared" si="30"/>
        <v>2.3945417982868117E-2</v>
      </c>
      <c r="CP65" s="101">
        <f t="shared" si="31"/>
        <v>1.0941560780855777E-3</v>
      </c>
      <c r="CQ65" s="100">
        <f t="shared" si="32"/>
        <v>5.8978916691670713E-3</v>
      </c>
      <c r="CR65" s="99">
        <f t="shared" si="33"/>
        <v>0.22111030325255604</v>
      </c>
      <c r="CS65" s="31">
        <v>1.5</v>
      </c>
      <c r="CT65" s="31">
        <v>1.5</v>
      </c>
      <c r="CU65" s="43">
        <v>0.1</v>
      </c>
      <c r="CV65" s="44">
        <v>0.39</v>
      </c>
      <c r="CW65" s="43">
        <v>2.1000000000000001E-2</v>
      </c>
      <c r="CX65" s="44">
        <v>0.15</v>
      </c>
      <c r="CY65" s="124"/>
    </row>
    <row r="66" spans="1:196" s="23" customFormat="1" x14ac:dyDescent="0.25">
      <c r="A66" s="31">
        <v>52</v>
      </c>
      <c r="B66" s="83">
        <v>3</v>
      </c>
      <c r="C66" s="31">
        <v>60</v>
      </c>
      <c r="D66" s="31" t="s">
        <v>36</v>
      </c>
      <c r="E66" s="31" t="s">
        <v>5</v>
      </c>
      <c r="F66" s="31" t="s">
        <v>62</v>
      </c>
      <c r="G66" s="31" t="str">
        <f t="shared" si="34"/>
        <v>Kommunal 60 M 3 EE</v>
      </c>
      <c r="H66" s="48">
        <f t="shared" si="0"/>
        <v>0.14276477303806145</v>
      </c>
      <c r="I66" s="40">
        <f t="shared" si="1"/>
        <v>0.16080174424545218</v>
      </c>
      <c r="J66" s="99">
        <f t="shared" si="2"/>
        <v>1.9242987840744716E-3</v>
      </c>
      <c r="K66" s="48">
        <f t="shared" si="3"/>
        <v>3.4057252060100365E-2</v>
      </c>
      <c r="L66" s="48">
        <f t="shared" si="4"/>
        <v>0.12482019340127735</v>
      </c>
      <c r="M66" s="48">
        <f t="shared" si="35"/>
        <v>0.24765991283221908</v>
      </c>
      <c r="N66" s="99">
        <f t="shared" si="5"/>
        <v>4.9193418147004215E-3</v>
      </c>
      <c r="O66" s="48">
        <f t="shared" si="6"/>
        <v>2.6838822516058597E-2</v>
      </c>
      <c r="P66" s="48">
        <f t="shared" si="7"/>
        <v>5.1085878090150541E-2</v>
      </c>
      <c r="Q66" s="48">
        <f t="shared" si="8"/>
        <v>0.18723029010191605</v>
      </c>
      <c r="R66" s="40">
        <f t="shared" si="36"/>
        <v>1.7336193898255337</v>
      </c>
      <c r="S66" s="99">
        <f t="shared" si="9"/>
        <v>7.3790127220506327E-3</v>
      </c>
      <c r="T66" s="48">
        <f t="shared" si="10"/>
        <v>4.0258233774087888E-2</v>
      </c>
      <c r="U66" s="40">
        <v>6.1183584000000009</v>
      </c>
      <c r="V66" s="40">
        <v>1.2</v>
      </c>
      <c r="W66" s="41">
        <v>0.1</v>
      </c>
      <c r="X66" s="40">
        <v>1.1517392499522421</v>
      </c>
      <c r="Y66" s="42">
        <v>0.71473328447716378</v>
      </c>
      <c r="Z66" s="42">
        <v>20.848159913629431</v>
      </c>
      <c r="AA66" s="42">
        <v>78.437106801893421</v>
      </c>
      <c r="AB66" s="42">
        <v>1.8089887640449436</v>
      </c>
      <c r="AC66" s="125">
        <v>1</v>
      </c>
      <c r="AD66" s="94">
        <f t="shared" si="37"/>
        <v>0.11886819799799747</v>
      </c>
      <c r="AE66" s="94">
        <f t="shared" si="38"/>
        <v>0.1369051692053882</v>
      </c>
      <c r="AF66" s="96">
        <f t="shared" si="11"/>
        <v>9.7850681248068958E-4</v>
      </c>
      <c r="AG66" s="95">
        <f t="shared" si="52"/>
        <v>2.8542208605964285E-2</v>
      </c>
      <c r="AH66" s="94">
        <f t="shared" si="39"/>
        <v>0.10738445378694324</v>
      </c>
      <c r="AI66" s="94">
        <f t="shared" si="40"/>
        <v>0.24765991283221908</v>
      </c>
      <c r="AJ66" s="96">
        <f t="shared" si="41"/>
        <v>3.9594169791884425E-3</v>
      </c>
      <c r="AK66" s="95">
        <f t="shared" si="13"/>
        <v>2.1951797401972624E-2</v>
      </c>
      <c r="AL66" s="95">
        <f t="shared" si="14"/>
        <v>4.2813312908946424E-2</v>
      </c>
      <c r="AM66" s="94">
        <f t="shared" si="15"/>
        <v>0.16107668068041486</v>
      </c>
      <c r="AN66" s="93">
        <f t="shared" si="16"/>
        <v>1.7336193898255337</v>
      </c>
      <c r="AO66" s="96">
        <f t="shared" si="17"/>
        <v>5.9391254687826637E-3</v>
      </c>
      <c r="AP66" s="95">
        <f t="shared" si="18"/>
        <v>3.2927696102958932E-2</v>
      </c>
      <c r="AQ66" s="93">
        <f t="shared" si="19"/>
        <v>0.21562893198106595</v>
      </c>
      <c r="AR66" s="31">
        <v>1.5</v>
      </c>
      <c r="AS66" s="31">
        <v>1.5</v>
      </c>
      <c r="AT66" s="31">
        <v>7</v>
      </c>
      <c r="AU66" s="43">
        <v>7.0999999999999994E-2</v>
      </c>
      <c r="AV66" s="44">
        <v>0.28000000000000003</v>
      </c>
      <c r="AW66" s="43">
        <v>1.7999999999999999E-2</v>
      </c>
      <c r="AX66" s="44">
        <v>0.13</v>
      </c>
      <c r="AY66" s="40">
        <v>5.8652742893442671</v>
      </c>
      <c r="AZ66" s="41">
        <v>0.5</v>
      </c>
      <c r="BA66" s="40">
        <v>0.72</v>
      </c>
      <c r="BB66" s="45">
        <v>1</v>
      </c>
      <c r="BC66" s="41">
        <v>10.469021924497721</v>
      </c>
      <c r="BD66" s="41">
        <v>46.248782587366165</v>
      </c>
      <c r="BE66" s="41">
        <v>43.282195488136097</v>
      </c>
      <c r="BF66" s="125">
        <v>1</v>
      </c>
      <c r="BG66" s="48">
        <f t="shared" si="42"/>
        <v>3.40123140509102E-3</v>
      </c>
      <c r="BH66" s="48">
        <f t="shared" si="43"/>
        <v>3.40123140509102E-3</v>
      </c>
      <c r="BI66" s="99">
        <f t="shared" si="44"/>
        <v>3.560756615018808E-4</v>
      </c>
      <c r="BJ66" s="99">
        <f t="shared" si="45"/>
        <v>1.5730281178337651E-3</v>
      </c>
      <c r="BK66" s="48">
        <f t="shared" si="46"/>
        <v>1.4721276257553735E-3</v>
      </c>
      <c r="BL66" s="99">
        <f t="shared" si="20"/>
        <v>2.3048745012159422E-4</v>
      </c>
      <c r="BM66" s="48">
        <f t="shared" si="21"/>
        <v>9.5509733464125602E-4</v>
      </c>
      <c r="BN66" s="48">
        <f t="shared" si="22"/>
        <v>2.3595421767506476E-3</v>
      </c>
      <c r="BO66" s="48">
        <f t="shared" si="23"/>
        <v>2.2081914386330604E-3</v>
      </c>
      <c r="BP66" s="99">
        <f t="shared" si="24"/>
        <v>3.4573117518239133E-4</v>
      </c>
      <c r="BQ66" s="48">
        <f t="shared" si="25"/>
        <v>1.4326460019618841E-3</v>
      </c>
      <c r="BR66" s="40">
        <f t="shared" si="26"/>
        <v>0.56717804511863879</v>
      </c>
      <c r="BS66" s="31">
        <v>1.5</v>
      </c>
      <c r="BT66" s="31">
        <v>1.5</v>
      </c>
      <c r="BU66" s="43">
        <v>0.125</v>
      </c>
      <c r="BV66" s="44">
        <v>0.42</v>
      </c>
      <c r="BW66" s="43">
        <v>2.3E-2</v>
      </c>
      <c r="BX66" s="44">
        <v>0.2</v>
      </c>
      <c r="BY66" s="40">
        <v>15.602524598139274</v>
      </c>
      <c r="BZ66" s="40">
        <v>0.52</v>
      </c>
      <c r="CA66" s="40">
        <v>0.65</v>
      </c>
      <c r="CB66" s="45">
        <v>1</v>
      </c>
      <c r="CC66" s="41">
        <v>2.8773184806992838</v>
      </c>
      <c r="CD66" s="41">
        <v>19.233711844556318</v>
      </c>
      <c r="CE66" s="41">
        <v>77.888969674744388</v>
      </c>
      <c r="CF66" s="125">
        <v>1</v>
      </c>
      <c r="CG66" s="40">
        <f t="shared" si="47"/>
        <v>2.0495343634972962E-2</v>
      </c>
      <c r="CH66" s="40">
        <f t="shared" si="48"/>
        <v>2.0495343634972962E-2</v>
      </c>
      <c r="CI66" s="99">
        <f t="shared" si="49"/>
        <v>5.8971631009190138E-4</v>
      </c>
      <c r="CJ66" s="100">
        <f t="shared" si="50"/>
        <v>3.9420153363023142E-3</v>
      </c>
      <c r="CK66" s="100">
        <f t="shared" si="51"/>
        <v>1.5963611988578746E-2</v>
      </c>
      <c r="CL66" s="101">
        <f t="shared" si="27"/>
        <v>7.2943738539038507E-4</v>
      </c>
      <c r="CM66" s="100">
        <f t="shared" si="28"/>
        <v>3.9319277794447145E-3</v>
      </c>
      <c r="CN66" s="100">
        <f t="shared" si="29"/>
        <v>5.9130230044534713E-3</v>
      </c>
      <c r="CO66" s="100">
        <f t="shared" si="30"/>
        <v>2.3945417982868117E-2</v>
      </c>
      <c r="CP66" s="101">
        <f t="shared" si="31"/>
        <v>1.0941560780855777E-3</v>
      </c>
      <c r="CQ66" s="100">
        <f t="shared" si="32"/>
        <v>5.8978916691670713E-3</v>
      </c>
      <c r="CR66" s="99">
        <f t="shared" si="33"/>
        <v>0.22111030325255604</v>
      </c>
      <c r="CS66" s="31">
        <v>1.5</v>
      </c>
      <c r="CT66" s="31">
        <v>1.5</v>
      </c>
      <c r="CU66" s="43">
        <v>0.1</v>
      </c>
      <c r="CV66" s="44">
        <v>0.39</v>
      </c>
      <c r="CW66" s="43">
        <v>2.1000000000000001E-2</v>
      </c>
      <c r="CX66" s="44">
        <v>0.15</v>
      </c>
      <c r="CY66" s="124"/>
    </row>
    <row r="67" spans="1:196" s="23" customFormat="1" x14ac:dyDescent="0.25">
      <c r="A67" s="31">
        <v>53</v>
      </c>
      <c r="B67" s="83">
        <v>3</v>
      </c>
      <c r="C67" s="31">
        <v>60</v>
      </c>
      <c r="D67" s="31" t="s">
        <v>36</v>
      </c>
      <c r="E67" s="31" t="s">
        <v>5</v>
      </c>
      <c r="F67" s="31" t="s">
        <v>63</v>
      </c>
      <c r="G67" s="31" t="str">
        <f t="shared" si="34"/>
        <v>Kommunal 60 M 3 ES</v>
      </c>
      <c r="H67" s="48">
        <f t="shared" si="0"/>
        <v>0.10355543966954064</v>
      </c>
      <c r="I67" s="40">
        <f t="shared" si="1"/>
        <v>0.11515334562328754</v>
      </c>
      <c r="J67" s="99">
        <f t="shared" si="2"/>
        <v>1.5866808339696043E-3</v>
      </c>
      <c r="K67" s="48">
        <f t="shared" si="3"/>
        <v>1.6419982454813353E-2</v>
      </c>
      <c r="L67" s="48">
        <f t="shared" si="4"/>
        <v>9.7146682334504575E-2</v>
      </c>
      <c r="M67" s="48">
        <f t="shared" si="35"/>
        <v>0.20311990871749758</v>
      </c>
      <c r="N67" s="99">
        <f t="shared" si="5"/>
        <v>3.1689724735231338E-3</v>
      </c>
      <c r="O67" s="48">
        <f t="shared" si="6"/>
        <v>1.8302830587897768E-2</v>
      </c>
      <c r="P67" s="48">
        <f t="shared" si="7"/>
        <v>2.462997368222003E-2</v>
      </c>
      <c r="Q67" s="48">
        <f t="shared" si="8"/>
        <v>0.14572002350175686</v>
      </c>
      <c r="R67" s="40">
        <f t="shared" si="36"/>
        <v>1.4218393610224831</v>
      </c>
      <c r="S67" s="99">
        <f t="shared" si="9"/>
        <v>4.7534587102847012E-3</v>
      </c>
      <c r="T67" s="48">
        <f t="shared" si="10"/>
        <v>2.7454245881846653E-2</v>
      </c>
      <c r="U67" s="40">
        <v>4.1001840000000014</v>
      </c>
      <c r="V67" s="40">
        <v>1.2</v>
      </c>
      <c r="W67" s="41">
        <v>0.1</v>
      </c>
      <c r="X67" s="40">
        <v>1.1455946680597711</v>
      </c>
      <c r="Y67" s="42">
        <v>0.70229184999632421</v>
      </c>
      <c r="Z67" s="42">
        <v>11.949731434701913</v>
      </c>
      <c r="AA67" s="42">
        <v>87.347976715301769</v>
      </c>
      <c r="AB67" s="42">
        <v>2.225806451612903</v>
      </c>
      <c r="AC67" s="125">
        <v>1</v>
      </c>
      <c r="AD67" s="94">
        <f t="shared" si="37"/>
        <v>7.9658864629476661E-2</v>
      </c>
      <c r="AE67" s="94">
        <f t="shared" si="38"/>
        <v>9.1256770583223554E-2</v>
      </c>
      <c r="AF67" s="96">
        <f t="shared" si="11"/>
        <v>6.4088886237582206E-4</v>
      </c>
      <c r="AG67" s="95">
        <f t="shared" si="52"/>
        <v>1.0904939000677273E-2</v>
      </c>
      <c r="AH67" s="94">
        <f t="shared" si="39"/>
        <v>7.9710942720170458E-2</v>
      </c>
      <c r="AI67" s="94">
        <f t="shared" si="40"/>
        <v>0.20311990871749758</v>
      </c>
      <c r="AJ67" s="96">
        <f t="shared" si="41"/>
        <v>2.2090476380111543E-3</v>
      </c>
      <c r="AK67" s="95">
        <f t="shared" si="13"/>
        <v>1.3415805473811796E-2</v>
      </c>
      <c r="AL67" s="95">
        <f t="shared" si="14"/>
        <v>1.635740850101591E-2</v>
      </c>
      <c r="AM67" s="94">
        <f t="shared" si="15"/>
        <v>0.11956641408025569</v>
      </c>
      <c r="AN67" s="93">
        <f t="shared" si="16"/>
        <v>1.4218393610224831</v>
      </c>
      <c r="AO67" s="96">
        <f t="shared" si="17"/>
        <v>3.3135714570167317E-3</v>
      </c>
      <c r="AP67" s="95">
        <f t="shared" si="18"/>
        <v>2.0123708210717697E-2</v>
      </c>
      <c r="AQ67" s="93">
        <f t="shared" si="19"/>
        <v>0.12652023284698238</v>
      </c>
      <c r="AR67" s="31">
        <v>1.5</v>
      </c>
      <c r="AS67" s="31">
        <v>1.5</v>
      </c>
      <c r="AT67" s="31">
        <v>7</v>
      </c>
      <c r="AU67" s="43">
        <v>7.0999999999999994E-2</v>
      </c>
      <c r="AV67" s="44">
        <v>0.28000000000000003</v>
      </c>
      <c r="AW67" s="43">
        <v>1.7999999999999999E-2</v>
      </c>
      <c r="AX67" s="44">
        <v>0.13</v>
      </c>
      <c r="AY67" s="40">
        <v>5.8652742893442671</v>
      </c>
      <c r="AZ67" s="41">
        <v>0.5</v>
      </c>
      <c r="BA67" s="40">
        <v>0.72</v>
      </c>
      <c r="BB67" s="45">
        <v>1</v>
      </c>
      <c r="BC67" s="41">
        <v>10.469021924497723</v>
      </c>
      <c r="BD67" s="41">
        <v>46.248782587366179</v>
      </c>
      <c r="BE67" s="41">
        <v>43.282195488136111</v>
      </c>
      <c r="BF67" s="125">
        <v>1</v>
      </c>
      <c r="BG67" s="48">
        <f t="shared" si="42"/>
        <v>3.40123140509102E-3</v>
      </c>
      <c r="BH67" s="48">
        <f t="shared" si="43"/>
        <v>3.40123140509102E-3</v>
      </c>
      <c r="BI67" s="99">
        <f t="shared" si="44"/>
        <v>3.5607566150188085E-4</v>
      </c>
      <c r="BJ67" s="99">
        <f t="shared" si="45"/>
        <v>1.5730281178337657E-3</v>
      </c>
      <c r="BK67" s="48">
        <f t="shared" si="46"/>
        <v>1.4721276257553739E-3</v>
      </c>
      <c r="BL67" s="99">
        <f t="shared" si="20"/>
        <v>2.3048745012159433E-4</v>
      </c>
      <c r="BM67" s="48">
        <f t="shared" si="21"/>
        <v>9.5509733464125635E-4</v>
      </c>
      <c r="BN67" s="48">
        <f t="shared" si="22"/>
        <v>2.3595421767506485E-3</v>
      </c>
      <c r="BO67" s="48">
        <f t="shared" si="23"/>
        <v>2.2081914386330608E-3</v>
      </c>
      <c r="BP67" s="99">
        <f t="shared" si="24"/>
        <v>3.4573117518239143E-4</v>
      </c>
      <c r="BQ67" s="48">
        <f t="shared" si="25"/>
        <v>1.4326460019618845E-3</v>
      </c>
      <c r="BR67" s="40">
        <f t="shared" si="26"/>
        <v>0.56717804511863901</v>
      </c>
      <c r="BS67" s="31">
        <v>1.5</v>
      </c>
      <c r="BT67" s="31">
        <v>1.5</v>
      </c>
      <c r="BU67" s="43">
        <v>0.125</v>
      </c>
      <c r="BV67" s="44">
        <v>0.42</v>
      </c>
      <c r="BW67" s="43">
        <v>2.3E-2</v>
      </c>
      <c r="BX67" s="44">
        <v>0.2</v>
      </c>
      <c r="BY67" s="40">
        <v>15.602524598139274</v>
      </c>
      <c r="BZ67" s="40">
        <v>0.52</v>
      </c>
      <c r="CA67" s="40">
        <v>0.65</v>
      </c>
      <c r="CB67" s="45">
        <v>1</v>
      </c>
      <c r="CC67" s="41">
        <v>2.8773184806992838</v>
      </c>
      <c r="CD67" s="41">
        <v>19.233711844556318</v>
      </c>
      <c r="CE67" s="41">
        <v>77.888969674744388</v>
      </c>
      <c r="CF67" s="125">
        <v>1</v>
      </c>
      <c r="CG67" s="40">
        <f t="shared" si="47"/>
        <v>2.0495343634972962E-2</v>
      </c>
      <c r="CH67" s="40">
        <f t="shared" si="48"/>
        <v>2.0495343634972962E-2</v>
      </c>
      <c r="CI67" s="99">
        <f t="shared" si="49"/>
        <v>5.8971631009190138E-4</v>
      </c>
      <c r="CJ67" s="100">
        <f t="shared" si="50"/>
        <v>3.9420153363023142E-3</v>
      </c>
      <c r="CK67" s="100">
        <f t="shared" si="51"/>
        <v>1.5963611988578746E-2</v>
      </c>
      <c r="CL67" s="101">
        <f t="shared" si="27"/>
        <v>7.2943738539038507E-4</v>
      </c>
      <c r="CM67" s="100">
        <f t="shared" si="28"/>
        <v>3.9319277794447145E-3</v>
      </c>
      <c r="CN67" s="100">
        <f t="shared" si="29"/>
        <v>5.9130230044534713E-3</v>
      </c>
      <c r="CO67" s="100">
        <f t="shared" si="30"/>
        <v>2.3945417982868117E-2</v>
      </c>
      <c r="CP67" s="101">
        <f t="shared" si="31"/>
        <v>1.0941560780855777E-3</v>
      </c>
      <c r="CQ67" s="100">
        <f t="shared" si="32"/>
        <v>5.8978916691670713E-3</v>
      </c>
      <c r="CR67" s="99">
        <f t="shared" si="33"/>
        <v>0.22111030325255604</v>
      </c>
      <c r="CS67" s="31">
        <v>1.5</v>
      </c>
      <c r="CT67" s="31">
        <v>1.5</v>
      </c>
      <c r="CU67" s="43">
        <v>0.1</v>
      </c>
      <c r="CV67" s="44">
        <v>0.39</v>
      </c>
      <c r="CW67" s="43">
        <v>2.1000000000000001E-2</v>
      </c>
      <c r="CX67" s="44">
        <v>0.15</v>
      </c>
      <c r="CY67" s="124"/>
    </row>
    <row r="68" spans="1:196" s="23" customFormat="1" x14ac:dyDescent="0.25">
      <c r="A68" s="31">
        <v>54</v>
      </c>
      <c r="B68" s="83">
        <v>3</v>
      </c>
      <c r="C68" s="31">
        <v>60</v>
      </c>
      <c r="D68" s="31" t="s">
        <v>36</v>
      </c>
      <c r="E68" s="31" t="s">
        <v>5</v>
      </c>
      <c r="F68" s="31" t="s">
        <v>64</v>
      </c>
      <c r="G68" s="31" t="str">
        <f t="shared" si="34"/>
        <v>Kommunal 60 M 3 F</v>
      </c>
      <c r="H68" s="48">
        <f t="shared" si="0"/>
        <v>5.2423745827620064E-2</v>
      </c>
      <c r="I68" s="40">
        <f t="shared" si="1"/>
        <v>5.3378287488172138E-2</v>
      </c>
      <c r="J68" s="99">
        <f t="shared" si="2"/>
        <v>1.1435965306900921E-3</v>
      </c>
      <c r="K68" s="48">
        <f t="shared" si="3"/>
        <v>1.0345718786494443E-2</v>
      </c>
      <c r="L68" s="48">
        <f t="shared" si="4"/>
        <v>4.188897217098761E-2</v>
      </c>
      <c r="M68" s="48">
        <f t="shared" si="35"/>
        <v>8.2191440764422766E-2</v>
      </c>
      <c r="N68" s="99">
        <f t="shared" si="5"/>
        <v>1.7434838753312178E-3</v>
      </c>
      <c r="O68" s="48">
        <f t="shared" si="6"/>
        <v>9.4198338511738144E-3</v>
      </c>
      <c r="P68" s="48">
        <f t="shared" si="7"/>
        <v>1.5518578179741664E-2</v>
      </c>
      <c r="Q68" s="48">
        <f t="shared" si="8"/>
        <v>6.2833458256481414E-2</v>
      </c>
      <c r="R68" s="40">
        <f t="shared" si="36"/>
        <v>0.57534008535095937</v>
      </c>
      <c r="S68" s="99">
        <f t="shared" si="9"/>
        <v>2.6152258129968262E-3</v>
      </c>
      <c r="T68" s="48">
        <f t="shared" si="10"/>
        <v>1.4129750776760722E-2</v>
      </c>
      <c r="U68" s="40">
        <v>2.0804255999999999</v>
      </c>
      <c r="V68" s="40">
        <v>1.25</v>
      </c>
      <c r="W68" s="40">
        <v>0.45</v>
      </c>
      <c r="X68" s="40">
        <v>1.0334607896331753</v>
      </c>
      <c r="Y68" s="42">
        <v>0.70845794954218955</v>
      </c>
      <c r="Z68" s="42">
        <v>16.359881718202693</v>
      </c>
      <c r="AA68" s="42">
        <v>82.93166033225512</v>
      </c>
      <c r="AB68" s="42">
        <v>2.787878787878789</v>
      </c>
      <c r="AC68" s="125">
        <v>1</v>
      </c>
      <c r="AD68" s="94">
        <f t="shared" si="37"/>
        <v>2.8527170787556077E-2</v>
      </c>
      <c r="AE68" s="94">
        <f t="shared" si="38"/>
        <v>2.9481712448108155E-2</v>
      </c>
      <c r="AF68" s="96">
        <f t="shared" si="11"/>
        <v>2.0886553549979148E-4</v>
      </c>
      <c r="AG68" s="95">
        <f t="shared" si="52"/>
        <v>4.8231732850111337E-3</v>
      </c>
      <c r="AH68" s="94">
        <f t="shared" si="39"/>
        <v>2.4449673627597233E-2</v>
      </c>
      <c r="AI68" s="94">
        <f t="shared" si="40"/>
        <v>8.2191440764422766E-2</v>
      </c>
      <c r="AJ68" s="96">
        <f t="shared" si="41"/>
        <v>7.8253942853254068E-4</v>
      </c>
      <c r="AK68" s="95">
        <f t="shared" si="13"/>
        <v>4.5289460913907585E-3</v>
      </c>
      <c r="AL68" s="95">
        <f t="shared" si="14"/>
        <v>7.2347599275167009E-3</v>
      </c>
      <c r="AM68" s="94">
        <f t="shared" si="15"/>
        <v>3.6674510441395851E-2</v>
      </c>
      <c r="AN68" s="93">
        <f t="shared" si="16"/>
        <v>0.57534008535095937</v>
      </c>
      <c r="AO68" s="96">
        <f t="shared" si="17"/>
        <v>1.173809142798811E-3</v>
      </c>
      <c r="AP68" s="95">
        <f t="shared" si="18"/>
        <v>6.7934191370861369E-3</v>
      </c>
      <c r="AQ68" s="93">
        <f t="shared" si="19"/>
        <v>0.17068339667744881</v>
      </c>
      <c r="AR68" s="31">
        <v>1.5</v>
      </c>
      <c r="AS68" s="31">
        <v>1.5</v>
      </c>
      <c r="AT68" s="31">
        <v>7</v>
      </c>
      <c r="AU68" s="43">
        <v>7.0999999999999994E-2</v>
      </c>
      <c r="AV68" s="44">
        <v>0.28000000000000003</v>
      </c>
      <c r="AW68" s="43">
        <v>1.7999999999999999E-2</v>
      </c>
      <c r="AX68" s="44">
        <v>0.13</v>
      </c>
      <c r="AY68" s="40">
        <v>5.8652742893442662</v>
      </c>
      <c r="AZ68" s="41">
        <v>0.5</v>
      </c>
      <c r="BA68" s="40">
        <v>0.72</v>
      </c>
      <c r="BB68" s="45">
        <v>1</v>
      </c>
      <c r="BC68" s="41">
        <v>10.143816871206576</v>
      </c>
      <c r="BD68" s="41">
        <v>46.469351153680122</v>
      </c>
      <c r="BE68" s="41">
        <v>43.386831975113296</v>
      </c>
      <c r="BF68" s="125">
        <v>1</v>
      </c>
      <c r="BG68" s="48">
        <f t="shared" si="42"/>
        <v>3.4012314050910195E-3</v>
      </c>
      <c r="BH68" s="48">
        <f t="shared" si="43"/>
        <v>3.4012314050910195E-3</v>
      </c>
      <c r="BI68" s="99">
        <f t="shared" si="44"/>
        <v>3.4501468509839933E-4</v>
      </c>
      <c r="BJ68" s="99">
        <f t="shared" si="45"/>
        <v>1.5805301651809944E-3</v>
      </c>
      <c r="BK68" s="48">
        <f t="shared" si="46"/>
        <v>1.4756865548116258E-3</v>
      </c>
      <c r="BL68" s="99">
        <f t="shared" si="20"/>
        <v>2.3150706140829169E-4</v>
      </c>
      <c r="BM68" s="48">
        <f t="shared" si="21"/>
        <v>9.5895998033834274E-4</v>
      </c>
      <c r="BN68" s="48">
        <f t="shared" si="22"/>
        <v>2.3707952477714919E-3</v>
      </c>
      <c r="BO68" s="48">
        <f t="shared" si="23"/>
        <v>2.2135298322174387E-3</v>
      </c>
      <c r="BP68" s="99">
        <f t="shared" si="24"/>
        <v>3.4726059211243759E-4</v>
      </c>
      <c r="BQ68" s="48">
        <f t="shared" si="25"/>
        <v>1.4384399705075143E-3</v>
      </c>
      <c r="BR68" s="40">
        <f t="shared" si="26"/>
        <v>0.56613168024886695</v>
      </c>
      <c r="BS68" s="31">
        <v>1.5</v>
      </c>
      <c r="BT68" s="31">
        <v>1.5</v>
      </c>
      <c r="BU68" s="43">
        <v>0.125</v>
      </c>
      <c r="BV68" s="44">
        <v>0.42</v>
      </c>
      <c r="BW68" s="43">
        <v>2.3E-2</v>
      </c>
      <c r="BX68" s="44">
        <v>0.2</v>
      </c>
      <c r="BY68" s="40">
        <v>15.602524598139276</v>
      </c>
      <c r="BZ68" s="40">
        <v>0.52</v>
      </c>
      <c r="CA68" s="40">
        <v>0.65</v>
      </c>
      <c r="CB68" s="45">
        <v>1</v>
      </c>
      <c r="CC68" s="41">
        <v>2.8773184806992829</v>
      </c>
      <c r="CD68" s="41">
        <v>19.233711844556318</v>
      </c>
      <c r="CE68" s="41">
        <v>77.888969674744388</v>
      </c>
      <c r="CF68" s="125">
        <v>1</v>
      </c>
      <c r="CG68" s="40">
        <f t="shared" si="47"/>
        <v>2.0495343634972966E-2</v>
      </c>
      <c r="CH68" s="40">
        <f t="shared" si="48"/>
        <v>2.0495343634972966E-2</v>
      </c>
      <c r="CI68" s="99">
        <f t="shared" si="49"/>
        <v>5.8971631009190127E-4</v>
      </c>
      <c r="CJ68" s="100">
        <f t="shared" si="50"/>
        <v>3.9420153363023142E-3</v>
      </c>
      <c r="CK68" s="100">
        <f t="shared" si="51"/>
        <v>1.5963611988578749E-2</v>
      </c>
      <c r="CL68" s="101">
        <f t="shared" si="27"/>
        <v>7.2943738539038518E-4</v>
      </c>
      <c r="CM68" s="100">
        <f t="shared" si="28"/>
        <v>3.9319277794447145E-3</v>
      </c>
      <c r="CN68" s="100">
        <f t="shared" si="29"/>
        <v>5.9130230044534713E-3</v>
      </c>
      <c r="CO68" s="100">
        <f t="shared" si="30"/>
        <v>2.3945417982868124E-2</v>
      </c>
      <c r="CP68" s="101">
        <f t="shared" si="31"/>
        <v>1.0941560780855777E-3</v>
      </c>
      <c r="CQ68" s="100">
        <f t="shared" si="32"/>
        <v>5.8978916691670722E-3</v>
      </c>
      <c r="CR68" s="99">
        <f t="shared" si="33"/>
        <v>0.22111030325255598</v>
      </c>
      <c r="CS68" s="31">
        <v>1.5</v>
      </c>
      <c r="CT68" s="31">
        <v>1.5</v>
      </c>
      <c r="CU68" s="43">
        <v>0.1</v>
      </c>
      <c r="CV68" s="44">
        <v>0.39</v>
      </c>
      <c r="CW68" s="43">
        <v>2.1000000000000001E-2</v>
      </c>
      <c r="CX68" s="44">
        <v>0.15</v>
      </c>
      <c r="CY68" s="124"/>
    </row>
    <row r="69" spans="1:196" s="23" customFormat="1" x14ac:dyDescent="0.25">
      <c r="A69" s="31">
        <v>55</v>
      </c>
      <c r="B69" s="83">
        <v>3</v>
      </c>
      <c r="C69" s="31">
        <v>60</v>
      </c>
      <c r="D69" s="31" t="s">
        <v>36</v>
      </c>
      <c r="E69" s="31" t="s">
        <v>6</v>
      </c>
      <c r="F69" s="31" t="s">
        <v>12</v>
      </c>
      <c r="G69" s="31" t="str">
        <f t="shared" si="34"/>
        <v>Kommunal 60 Y 3 A</v>
      </c>
      <c r="H69" s="48">
        <f t="shared" si="0"/>
        <v>0.10083349019438193</v>
      </c>
      <c r="I69" s="40">
        <f t="shared" si="1"/>
        <v>0.11250783999353743</v>
      </c>
      <c r="J69" s="99">
        <f t="shared" si="2"/>
        <v>1.5791261760125042E-3</v>
      </c>
      <c r="K69" s="48">
        <f t="shared" si="3"/>
        <v>2.398886167312609E-2</v>
      </c>
      <c r="L69" s="48">
        <f t="shared" si="4"/>
        <v>8.6939852144398824E-2</v>
      </c>
      <c r="M69" s="48">
        <f t="shared" si="35"/>
        <v>0.16029678266864303</v>
      </c>
      <c r="N69" s="99">
        <f t="shared" si="5"/>
        <v>3.5226399546014345E-3</v>
      </c>
      <c r="O69" s="48">
        <f t="shared" si="6"/>
        <v>1.9095228844311588E-2</v>
      </c>
      <c r="P69" s="48">
        <f t="shared" si="7"/>
        <v>3.5983292509689138E-2</v>
      </c>
      <c r="Q69" s="48">
        <f t="shared" si="8"/>
        <v>0.13040977821659822</v>
      </c>
      <c r="R69" s="40">
        <f t="shared" si="36"/>
        <v>1.1220774786805012</v>
      </c>
      <c r="S69" s="99">
        <f t="shared" si="9"/>
        <v>5.2839599319021522E-3</v>
      </c>
      <c r="T69" s="48">
        <f t="shared" si="10"/>
        <v>2.8642843266467381E-2</v>
      </c>
      <c r="U69" s="40">
        <v>5.6108448000000015</v>
      </c>
      <c r="V69" s="40">
        <v>1.25</v>
      </c>
      <c r="W69" s="40">
        <v>0.45</v>
      </c>
      <c r="X69" s="40">
        <v>1.1517392499522423</v>
      </c>
      <c r="Y69" s="42">
        <v>0.71473328447716378</v>
      </c>
      <c r="Z69" s="42">
        <v>20.848159913629427</v>
      </c>
      <c r="AA69" s="42">
        <v>78.437106801893407</v>
      </c>
      <c r="AB69" s="42">
        <v>1.8089887640449442</v>
      </c>
      <c r="AC69" s="125">
        <v>1</v>
      </c>
      <c r="AD69" s="94">
        <f t="shared" si="37"/>
        <v>7.6936915154317942E-2</v>
      </c>
      <c r="AE69" s="94">
        <f>X69*AD69</f>
        <v>8.8611264953473448E-2</v>
      </c>
      <c r="AF69" s="96">
        <f>$AE69*Y69/100</f>
        <v>6.3333420441872277E-4</v>
      </c>
      <c r="AG69" s="95">
        <f t="shared" si="52"/>
        <v>1.8473818218990013E-2</v>
      </c>
      <c r="AH69" s="94">
        <f t="shared" si="39"/>
        <v>6.9504112530064707E-2</v>
      </c>
      <c r="AI69" s="94">
        <f t="shared" si="40"/>
        <v>0.16029678266864303</v>
      </c>
      <c r="AJ69" s="96">
        <f t="shared" si="41"/>
        <v>2.5627151190894554E-3</v>
      </c>
      <c r="AK69" s="95">
        <f t="shared" si="13"/>
        <v>1.4208203730225617E-2</v>
      </c>
      <c r="AL69" s="95">
        <f t="shared" si="14"/>
        <v>2.7710727328485021E-2</v>
      </c>
      <c r="AM69" s="94">
        <f t="shared" si="15"/>
        <v>0.10425616879509705</v>
      </c>
      <c r="AN69" s="93">
        <f t="shared" si="16"/>
        <v>1.1220774786805012</v>
      </c>
      <c r="AO69" s="96">
        <f t="shared" si="17"/>
        <v>3.8440726786341832E-3</v>
      </c>
      <c r="AP69" s="95">
        <f t="shared" si="18"/>
        <v>2.1312305595338425E-2</v>
      </c>
      <c r="AQ69" s="93">
        <f t="shared" si="19"/>
        <v>0.21562893198106592</v>
      </c>
      <c r="AR69" s="31">
        <v>1.5</v>
      </c>
      <c r="AS69" s="31">
        <v>1.5</v>
      </c>
      <c r="AT69" s="31">
        <v>7</v>
      </c>
      <c r="AU69" s="43">
        <v>7.0999999999999994E-2</v>
      </c>
      <c r="AV69" s="44">
        <v>0.28000000000000003</v>
      </c>
      <c r="AW69" s="43">
        <v>1.7999999999999999E-2</v>
      </c>
      <c r="AX69" s="44">
        <v>0.13</v>
      </c>
      <c r="AY69" s="40">
        <v>5.8652742893442671</v>
      </c>
      <c r="AZ69" s="41">
        <v>0.5</v>
      </c>
      <c r="BA69" s="40">
        <v>0.72</v>
      </c>
      <c r="BB69" s="45">
        <v>1</v>
      </c>
      <c r="BC69" s="41">
        <v>10.469021924497699</v>
      </c>
      <c r="BD69" s="41">
        <v>46.248782587366165</v>
      </c>
      <c r="BE69" s="41">
        <v>43.282195488136097</v>
      </c>
      <c r="BF69" s="125">
        <v>1</v>
      </c>
      <c r="BG69" s="48">
        <f>BF69*$E$8*AY69/10^6*($B$7)^AZ69*($B$9)^BA69</f>
        <v>3.40123140509102E-3</v>
      </c>
      <c r="BH69" s="48">
        <f>BB69*BG69</f>
        <v>3.40123140509102E-3</v>
      </c>
      <c r="BI69" s="99">
        <f>$BH69*BC69/100</f>
        <v>3.5607566150187999E-4</v>
      </c>
      <c r="BJ69" s="99">
        <f t="shared" si="45"/>
        <v>1.5730281178337651E-3</v>
      </c>
      <c r="BK69" s="48">
        <f t="shared" si="46"/>
        <v>1.4721276257553735E-3</v>
      </c>
      <c r="BL69" s="99">
        <f t="shared" si="20"/>
        <v>2.3048745012159422E-4</v>
      </c>
      <c r="BM69" s="48">
        <f t="shared" si="21"/>
        <v>9.5509733464125602E-4</v>
      </c>
      <c r="BN69" s="48">
        <f t="shared" si="22"/>
        <v>2.3595421767506476E-3</v>
      </c>
      <c r="BO69" s="48">
        <f t="shared" si="23"/>
        <v>2.2081914386330604E-3</v>
      </c>
      <c r="BP69" s="99">
        <f t="shared" si="24"/>
        <v>3.4573117518239133E-4</v>
      </c>
      <c r="BQ69" s="48">
        <f t="shared" si="25"/>
        <v>1.4326460019618841E-3</v>
      </c>
      <c r="BR69" s="40">
        <f t="shared" si="26"/>
        <v>0.56717804511863856</v>
      </c>
      <c r="BS69" s="31">
        <v>1.5</v>
      </c>
      <c r="BT69" s="31">
        <v>1.5</v>
      </c>
      <c r="BU69" s="43">
        <v>0.125</v>
      </c>
      <c r="BV69" s="44">
        <v>0.42</v>
      </c>
      <c r="BW69" s="43">
        <v>2.3E-2</v>
      </c>
      <c r="BX69" s="44">
        <v>0.2</v>
      </c>
      <c r="BY69" s="40">
        <v>15.602524598139274</v>
      </c>
      <c r="BZ69" s="40">
        <v>0.52</v>
      </c>
      <c r="CA69" s="40">
        <v>0.65</v>
      </c>
      <c r="CB69" s="45">
        <v>1</v>
      </c>
      <c r="CC69" s="41">
        <v>2.8773184806992838</v>
      </c>
      <c r="CD69" s="41">
        <v>19.233711844556318</v>
      </c>
      <c r="CE69" s="41">
        <v>77.888969674744388</v>
      </c>
      <c r="CF69" s="125">
        <v>1</v>
      </c>
      <c r="CG69" s="40">
        <f t="shared" si="47"/>
        <v>2.0495343634972962E-2</v>
      </c>
      <c r="CH69" s="40">
        <f t="shared" si="48"/>
        <v>2.0495343634972962E-2</v>
      </c>
      <c r="CI69" s="99">
        <f t="shared" si="49"/>
        <v>5.8971631009190138E-4</v>
      </c>
      <c r="CJ69" s="100">
        <f t="shared" si="50"/>
        <v>3.9420153363023142E-3</v>
      </c>
      <c r="CK69" s="100">
        <f t="shared" si="51"/>
        <v>1.5963611988578746E-2</v>
      </c>
      <c r="CL69" s="101">
        <f t="shared" si="27"/>
        <v>7.2943738539038507E-4</v>
      </c>
      <c r="CM69" s="100">
        <f t="shared" si="28"/>
        <v>3.9319277794447145E-3</v>
      </c>
      <c r="CN69" s="100">
        <f t="shared" si="29"/>
        <v>5.9130230044534713E-3</v>
      </c>
      <c r="CO69" s="100">
        <f t="shared" si="30"/>
        <v>2.3945417982868117E-2</v>
      </c>
      <c r="CP69" s="101">
        <f t="shared" si="31"/>
        <v>1.0941560780855777E-3</v>
      </c>
      <c r="CQ69" s="100">
        <f t="shared" si="32"/>
        <v>5.8978916691670713E-3</v>
      </c>
      <c r="CR69" s="99">
        <f t="shared" si="33"/>
        <v>0.22111030325255604</v>
      </c>
      <c r="CS69" s="31">
        <v>1.5</v>
      </c>
      <c r="CT69" s="31">
        <v>1.5</v>
      </c>
      <c r="CU69" s="43">
        <v>0.1</v>
      </c>
      <c r="CV69" s="44">
        <v>0.39</v>
      </c>
      <c r="CW69" s="43">
        <v>2.1000000000000001E-2</v>
      </c>
      <c r="CX69" s="44">
        <v>0.15</v>
      </c>
      <c r="CY69" s="124"/>
    </row>
    <row r="70" spans="1:196" s="23" customFormat="1" x14ac:dyDescent="0.25">
      <c r="A70" s="31">
        <v>56</v>
      </c>
      <c r="B70" s="83">
        <v>3</v>
      </c>
      <c r="C70" s="31">
        <v>60</v>
      </c>
      <c r="D70" s="31" t="s">
        <v>36</v>
      </c>
      <c r="E70" s="31" t="s">
        <v>6</v>
      </c>
      <c r="F70" s="31" t="s">
        <v>13</v>
      </c>
      <c r="G70" s="31" t="str">
        <f t="shared" si="34"/>
        <v>Kommunal 60 Y 3 B</v>
      </c>
      <c r="H70" s="48">
        <f t="shared" si="0"/>
        <v>0.10083349019438193</v>
      </c>
      <c r="I70" s="40">
        <f t="shared" si="1"/>
        <v>0.11250783999353743</v>
      </c>
      <c r="J70" s="99">
        <f t="shared" si="2"/>
        <v>1.5791261760125051E-3</v>
      </c>
      <c r="K70" s="48">
        <f t="shared" si="3"/>
        <v>2.398886167312609E-2</v>
      </c>
      <c r="L70" s="48">
        <f t="shared" si="4"/>
        <v>8.6939852144398824E-2</v>
      </c>
      <c r="M70" s="48">
        <f t="shared" si="35"/>
        <v>0.16029678266864303</v>
      </c>
      <c r="N70" s="99">
        <f t="shared" si="5"/>
        <v>3.5226399546014345E-3</v>
      </c>
      <c r="O70" s="48">
        <f t="shared" si="6"/>
        <v>1.9095228844311588E-2</v>
      </c>
      <c r="P70" s="48">
        <f t="shared" si="7"/>
        <v>3.5983292509689138E-2</v>
      </c>
      <c r="Q70" s="48">
        <f t="shared" si="8"/>
        <v>0.13040977821659822</v>
      </c>
      <c r="R70" s="40">
        <f t="shared" si="36"/>
        <v>1.1220774786805012</v>
      </c>
      <c r="S70" s="99">
        <f t="shared" si="9"/>
        <v>5.2839599319021522E-3</v>
      </c>
      <c r="T70" s="48">
        <f t="shared" si="10"/>
        <v>2.8642843266467381E-2</v>
      </c>
      <c r="U70" s="40">
        <v>5.6108448000000015</v>
      </c>
      <c r="V70" s="40">
        <v>1.25</v>
      </c>
      <c r="W70" s="40">
        <v>0.45</v>
      </c>
      <c r="X70" s="40">
        <v>1.1517392499522423</v>
      </c>
      <c r="Y70" s="42">
        <v>0.71473328447716378</v>
      </c>
      <c r="Z70" s="42">
        <v>20.848159913629427</v>
      </c>
      <c r="AA70" s="42">
        <v>78.437106801893407</v>
      </c>
      <c r="AB70" s="42">
        <v>1.8089887640449442</v>
      </c>
      <c r="AC70" s="125">
        <v>1</v>
      </c>
      <c r="AD70" s="94">
        <f t="shared" si="37"/>
        <v>7.6936915154317942E-2</v>
      </c>
      <c r="AE70" s="94">
        <f t="shared" si="38"/>
        <v>8.8611264953473448E-2</v>
      </c>
      <c r="AF70" s="96">
        <f t="shared" si="11"/>
        <v>6.3333420441872277E-4</v>
      </c>
      <c r="AG70" s="95">
        <f t="shared" si="52"/>
        <v>1.8473818218990013E-2</v>
      </c>
      <c r="AH70" s="94">
        <f t="shared" si="39"/>
        <v>6.9504112530064707E-2</v>
      </c>
      <c r="AI70" s="94">
        <f t="shared" si="40"/>
        <v>0.16029678266864303</v>
      </c>
      <c r="AJ70" s="96">
        <f t="shared" si="41"/>
        <v>2.5627151190894554E-3</v>
      </c>
      <c r="AK70" s="95">
        <f t="shared" si="13"/>
        <v>1.4208203730225617E-2</v>
      </c>
      <c r="AL70" s="95">
        <f t="shared" si="14"/>
        <v>2.7710727328485021E-2</v>
      </c>
      <c r="AM70" s="94">
        <f t="shared" si="15"/>
        <v>0.10425616879509705</v>
      </c>
      <c r="AN70" s="93">
        <f t="shared" si="16"/>
        <v>1.1220774786805012</v>
      </c>
      <c r="AO70" s="96">
        <f t="shared" si="17"/>
        <v>3.8440726786341832E-3</v>
      </c>
      <c r="AP70" s="95">
        <f t="shared" si="18"/>
        <v>2.1312305595338425E-2</v>
      </c>
      <c r="AQ70" s="93">
        <f t="shared" si="19"/>
        <v>0.21562893198106592</v>
      </c>
      <c r="AR70" s="31">
        <v>1.5</v>
      </c>
      <c r="AS70" s="31">
        <v>1.5</v>
      </c>
      <c r="AT70" s="31">
        <v>7</v>
      </c>
      <c r="AU70" s="43">
        <v>7.0999999999999994E-2</v>
      </c>
      <c r="AV70" s="44">
        <v>0.28000000000000003</v>
      </c>
      <c r="AW70" s="43">
        <v>1.7999999999999999E-2</v>
      </c>
      <c r="AX70" s="44">
        <v>0.13</v>
      </c>
      <c r="AY70" s="40">
        <v>5.8652742893442671</v>
      </c>
      <c r="AZ70" s="41">
        <v>0.5</v>
      </c>
      <c r="BA70" s="40">
        <v>0.72</v>
      </c>
      <c r="BB70" s="45">
        <v>1</v>
      </c>
      <c r="BC70" s="41">
        <v>10.469021924497721</v>
      </c>
      <c r="BD70" s="41">
        <v>46.248782587366165</v>
      </c>
      <c r="BE70" s="41">
        <v>43.282195488136097</v>
      </c>
      <c r="BF70" s="125">
        <v>1</v>
      </c>
      <c r="BG70" s="48">
        <f t="shared" si="42"/>
        <v>3.40123140509102E-3</v>
      </c>
      <c r="BH70" s="48">
        <f t="shared" si="43"/>
        <v>3.40123140509102E-3</v>
      </c>
      <c r="BI70" s="99">
        <f t="shared" si="44"/>
        <v>3.560756615018808E-4</v>
      </c>
      <c r="BJ70" s="99">
        <f t="shared" si="45"/>
        <v>1.5730281178337651E-3</v>
      </c>
      <c r="BK70" s="48">
        <f t="shared" si="46"/>
        <v>1.4721276257553735E-3</v>
      </c>
      <c r="BL70" s="99">
        <f t="shared" si="20"/>
        <v>2.3048745012159422E-4</v>
      </c>
      <c r="BM70" s="48">
        <f t="shared" si="21"/>
        <v>9.5509733464125602E-4</v>
      </c>
      <c r="BN70" s="48">
        <f t="shared" si="22"/>
        <v>2.3595421767506476E-3</v>
      </c>
      <c r="BO70" s="48">
        <f t="shared" si="23"/>
        <v>2.2081914386330604E-3</v>
      </c>
      <c r="BP70" s="99">
        <f t="shared" si="24"/>
        <v>3.4573117518239133E-4</v>
      </c>
      <c r="BQ70" s="48">
        <f t="shared" si="25"/>
        <v>1.4326460019618841E-3</v>
      </c>
      <c r="BR70" s="40">
        <f t="shared" si="26"/>
        <v>0.56717804511863879</v>
      </c>
      <c r="BS70" s="31">
        <v>1.5</v>
      </c>
      <c r="BT70" s="31">
        <v>1.5</v>
      </c>
      <c r="BU70" s="43">
        <v>0.125</v>
      </c>
      <c r="BV70" s="44">
        <v>0.42</v>
      </c>
      <c r="BW70" s="43">
        <v>2.3E-2</v>
      </c>
      <c r="BX70" s="44">
        <v>0.2</v>
      </c>
      <c r="BY70" s="40">
        <v>15.602524598139274</v>
      </c>
      <c r="BZ70" s="40">
        <v>0.52</v>
      </c>
      <c r="CA70" s="40">
        <v>0.65</v>
      </c>
      <c r="CB70" s="45">
        <v>1</v>
      </c>
      <c r="CC70" s="41">
        <v>2.8773184806992838</v>
      </c>
      <c r="CD70" s="41">
        <v>19.233711844556318</v>
      </c>
      <c r="CE70" s="41">
        <v>77.888969674744388</v>
      </c>
      <c r="CF70" s="125">
        <v>1</v>
      </c>
      <c r="CG70" s="40">
        <f t="shared" si="47"/>
        <v>2.0495343634972962E-2</v>
      </c>
      <c r="CH70" s="40">
        <f t="shared" si="48"/>
        <v>2.0495343634972962E-2</v>
      </c>
      <c r="CI70" s="99">
        <f t="shared" si="49"/>
        <v>5.8971631009190138E-4</v>
      </c>
      <c r="CJ70" s="100">
        <f t="shared" si="50"/>
        <v>3.9420153363023142E-3</v>
      </c>
      <c r="CK70" s="100">
        <f t="shared" si="51"/>
        <v>1.5963611988578746E-2</v>
      </c>
      <c r="CL70" s="101">
        <f t="shared" si="27"/>
        <v>7.2943738539038507E-4</v>
      </c>
      <c r="CM70" s="100">
        <f t="shared" si="28"/>
        <v>3.9319277794447145E-3</v>
      </c>
      <c r="CN70" s="100">
        <f t="shared" si="29"/>
        <v>5.9130230044534713E-3</v>
      </c>
      <c r="CO70" s="100">
        <f t="shared" si="30"/>
        <v>2.3945417982868117E-2</v>
      </c>
      <c r="CP70" s="101">
        <f t="shared" si="31"/>
        <v>1.0941560780855777E-3</v>
      </c>
      <c r="CQ70" s="100">
        <f t="shared" si="32"/>
        <v>5.8978916691670713E-3</v>
      </c>
      <c r="CR70" s="99">
        <f t="shared" si="33"/>
        <v>0.22111030325255604</v>
      </c>
      <c r="CS70" s="31">
        <v>1.5</v>
      </c>
      <c r="CT70" s="31">
        <v>1.5</v>
      </c>
      <c r="CU70" s="43">
        <v>0.1</v>
      </c>
      <c r="CV70" s="44">
        <v>0.39</v>
      </c>
      <c r="CW70" s="43">
        <v>2.1000000000000001E-2</v>
      </c>
      <c r="CX70" s="44">
        <v>0.15</v>
      </c>
      <c r="CY70" s="124"/>
    </row>
    <row r="71" spans="1:196" s="23" customFormat="1" x14ac:dyDescent="0.25">
      <c r="A71" s="31">
        <v>57</v>
      </c>
      <c r="B71" s="83">
        <v>3</v>
      </c>
      <c r="C71" s="31">
        <v>60</v>
      </c>
      <c r="D71" s="31" t="s">
        <v>36</v>
      </c>
      <c r="E71" s="31" t="s">
        <v>6</v>
      </c>
      <c r="F71" s="31" t="s">
        <v>70</v>
      </c>
      <c r="G71" s="31" t="str">
        <f t="shared" si="34"/>
        <v>Kommunal 60 Y 3 Ck</v>
      </c>
      <c r="H71" s="48">
        <f t="shared" si="0"/>
        <v>9.3139798678950114E-2</v>
      </c>
      <c r="I71" s="40">
        <f t="shared" si="1"/>
        <v>0.10364671349819007</v>
      </c>
      <c r="J71" s="99">
        <f t="shared" si="2"/>
        <v>1.5157927555706327E-3</v>
      </c>
      <c r="K71" s="48">
        <f t="shared" si="3"/>
        <v>2.2141479851227087E-2</v>
      </c>
      <c r="L71" s="48">
        <f t="shared" si="4"/>
        <v>7.9989440891392344E-2</v>
      </c>
      <c r="M71" s="48">
        <f t="shared" si="35"/>
        <v>0.14426710440177867</v>
      </c>
      <c r="N71" s="99">
        <f t="shared" si="5"/>
        <v>3.266368442692489E-3</v>
      </c>
      <c r="O71" s="48">
        <f t="shared" si="6"/>
        <v>1.7674408471289021E-2</v>
      </c>
      <c r="P71" s="48">
        <f t="shared" si="7"/>
        <v>3.3212219776840628E-2</v>
      </c>
      <c r="Q71" s="48">
        <f t="shared" si="8"/>
        <v>0.11998416133708852</v>
      </c>
      <c r="R71" s="40">
        <f t="shared" si="36"/>
        <v>1.0098697308124507</v>
      </c>
      <c r="S71" s="99">
        <f t="shared" si="9"/>
        <v>4.8995526640387334E-3</v>
      </c>
      <c r="T71" s="48">
        <f t="shared" si="10"/>
        <v>2.6511612706933536E-2</v>
      </c>
      <c r="U71" s="40">
        <v>5.0497603199999999</v>
      </c>
      <c r="V71" s="40">
        <v>1.25</v>
      </c>
      <c r="W71" s="40">
        <v>0.45</v>
      </c>
      <c r="X71" s="40">
        <v>1.1517392499522423</v>
      </c>
      <c r="Y71" s="42">
        <v>0.71473328447716389</v>
      </c>
      <c r="Z71" s="42">
        <v>20.848159913629424</v>
      </c>
      <c r="AA71" s="42">
        <v>78.437106801893407</v>
      </c>
      <c r="AB71" s="42">
        <v>1.808988764044944</v>
      </c>
      <c r="AC71" s="125">
        <v>1</v>
      </c>
      <c r="AD71" s="94">
        <f t="shared" si="37"/>
        <v>6.9243223638886131E-2</v>
      </c>
      <c r="AE71" s="94">
        <f t="shared" si="38"/>
        <v>7.9750138458126091E-2</v>
      </c>
      <c r="AF71" s="96">
        <f t="shared" si="11"/>
        <v>5.7000078397685043E-4</v>
      </c>
      <c r="AG71" s="95">
        <f t="shared" si="52"/>
        <v>1.6626436397091007E-2</v>
      </c>
      <c r="AH71" s="94">
        <f t="shared" si="39"/>
        <v>6.2553701277058227E-2</v>
      </c>
      <c r="AI71" s="94">
        <f t="shared" si="40"/>
        <v>0.14426710440177867</v>
      </c>
      <c r="AJ71" s="96">
        <f t="shared" si="41"/>
        <v>2.3064436071805095E-3</v>
      </c>
      <c r="AK71" s="95">
        <f t="shared" si="13"/>
        <v>1.2787383357203051E-2</v>
      </c>
      <c r="AL71" s="95">
        <f t="shared" si="14"/>
        <v>2.4939654595636511E-2</v>
      </c>
      <c r="AM71" s="94">
        <f t="shared" si="15"/>
        <v>9.383055191558734E-2</v>
      </c>
      <c r="AN71" s="93">
        <f t="shared" si="16"/>
        <v>1.0098697308124507</v>
      </c>
      <c r="AO71" s="96">
        <f t="shared" si="17"/>
        <v>3.4596654107707644E-3</v>
      </c>
      <c r="AP71" s="95">
        <f t="shared" si="18"/>
        <v>1.918107503580458E-2</v>
      </c>
      <c r="AQ71" s="93">
        <f t="shared" si="19"/>
        <v>0.21562893198106589</v>
      </c>
      <c r="AR71" s="31">
        <v>1.5</v>
      </c>
      <c r="AS71" s="31">
        <v>1.5</v>
      </c>
      <c r="AT71" s="31">
        <v>7</v>
      </c>
      <c r="AU71" s="43">
        <v>7.0999999999999994E-2</v>
      </c>
      <c r="AV71" s="44">
        <v>0.28000000000000003</v>
      </c>
      <c r="AW71" s="43">
        <v>1.7999999999999999E-2</v>
      </c>
      <c r="AX71" s="44">
        <v>0.13</v>
      </c>
      <c r="AY71" s="40">
        <v>5.8652742893442671</v>
      </c>
      <c r="AZ71" s="41">
        <v>0.5</v>
      </c>
      <c r="BA71" s="40">
        <v>0.72</v>
      </c>
      <c r="BB71" s="45">
        <v>1</v>
      </c>
      <c r="BC71" s="41">
        <v>10.469021924497721</v>
      </c>
      <c r="BD71" s="41">
        <v>46.248782587366165</v>
      </c>
      <c r="BE71" s="41">
        <v>43.282195488136097</v>
      </c>
      <c r="BF71" s="125">
        <v>1</v>
      </c>
      <c r="BG71" s="48">
        <f t="shared" si="42"/>
        <v>3.40123140509102E-3</v>
      </c>
      <c r="BH71" s="48">
        <f t="shared" si="43"/>
        <v>3.40123140509102E-3</v>
      </c>
      <c r="BI71" s="99">
        <f t="shared" si="44"/>
        <v>3.560756615018808E-4</v>
      </c>
      <c r="BJ71" s="99">
        <f t="shared" si="45"/>
        <v>1.5730281178337651E-3</v>
      </c>
      <c r="BK71" s="48">
        <f t="shared" si="46"/>
        <v>1.4721276257553735E-3</v>
      </c>
      <c r="BL71" s="99">
        <f t="shared" si="20"/>
        <v>2.3048745012159422E-4</v>
      </c>
      <c r="BM71" s="48">
        <f t="shared" si="21"/>
        <v>9.5509733464125602E-4</v>
      </c>
      <c r="BN71" s="48">
        <f t="shared" si="22"/>
        <v>2.3595421767506476E-3</v>
      </c>
      <c r="BO71" s="48">
        <f t="shared" si="23"/>
        <v>2.2081914386330604E-3</v>
      </c>
      <c r="BP71" s="99">
        <f t="shared" si="24"/>
        <v>3.4573117518239133E-4</v>
      </c>
      <c r="BQ71" s="48">
        <f t="shared" si="25"/>
        <v>1.4326460019618841E-3</v>
      </c>
      <c r="BR71" s="40">
        <f t="shared" si="26"/>
        <v>0.56717804511863879</v>
      </c>
      <c r="BS71" s="31">
        <v>1.5</v>
      </c>
      <c r="BT71" s="31">
        <v>1.5</v>
      </c>
      <c r="BU71" s="43">
        <v>0.125</v>
      </c>
      <c r="BV71" s="44">
        <v>0.42</v>
      </c>
      <c r="BW71" s="43">
        <v>2.3E-2</v>
      </c>
      <c r="BX71" s="44">
        <v>0.2</v>
      </c>
      <c r="BY71" s="40">
        <v>15.602524598139274</v>
      </c>
      <c r="BZ71" s="40">
        <v>0.52</v>
      </c>
      <c r="CA71" s="40">
        <v>0.65</v>
      </c>
      <c r="CB71" s="45">
        <v>1</v>
      </c>
      <c r="CC71" s="41">
        <v>2.8773184806992838</v>
      </c>
      <c r="CD71" s="41">
        <v>19.233711844556318</v>
      </c>
      <c r="CE71" s="41">
        <v>77.888969674744388</v>
      </c>
      <c r="CF71" s="125">
        <v>1</v>
      </c>
      <c r="CG71" s="40">
        <f t="shared" si="47"/>
        <v>2.0495343634972962E-2</v>
      </c>
      <c r="CH71" s="40">
        <f t="shared" si="48"/>
        <v>2.0495343634972962E-2</v>
      </c>
      <c r="CI71" s="99">
        <f t="shared" si="49"/>
        <v>5.8971631009190138E-4</v>
      </c>
      <c r="CJ71" s="100">
        <f t="shared" si="50"/>
        <v>3.9420153363023142E-3</v>
      </c>
      <c r="CK71" s="100">
        <f t="shared" si="51"/>
        <v>1.5963611988578746E-2</v>
      </c>
      <c r="CL71" s="101">
        <f t="shared" si="27"/>
        <v>7.2943738539038507E-4</v>
      </c>
      <c r="CM71" s="100">
        <f t="shared" si="28"/>
        <v>3.9319277794447145E-3</v>
      </c>
      <c r="CN71" s="100">
        <f t="shared" si="29"/>
        <v>5.9130230044534713E-3</v>
      </c>
      <c r="CO71" s="100">
        <f t="shared" si="30"/>
        <v>2.3945417982868117E-2</v>
      </c>
      <c r="CP71" s="101">
        <f t="shared" si="31"/>
        <v>1.0941560780855777E-3</v>
      </c>
      <c r="CQ71" s="100">
        <f t="shared" si="32"/>
        <v>5.8978916691670713E-3</v>
      </c>
      <c r="CR71" s="99">
        <f t="shared" si="33"/>
        <v>0.22111030325255604</v>
      </c>
      <c r="CS71" s="31">
        <v>1.5</v>
      </c>
      <c r="CT71" s="31">
        <v>1.5</v>
      </c>
      <c r="CU71" s="43">
        <v>0.1</v>
      </c>
      <c r="CV71" s="44">
        <v>0.39</v>
      </c>
      <c r="CW71" s="43">
        <v>2.1000000000000001E-2</v>
      </c>
      <c r="CX71" s="44">
        <v>0.15</v>
      </c>
      <c r="CY71" s="124"/>
    </row>
    <row r="72" spans="1:196" s="23" customFormat="1" x14ac:dyDescent="0.25">
      <c r="A72" s="31">
        <v>58</v>
      </c>
      <c r="B72" s="83">
        <v>3</v>
      </c>
      <c r="C72" s="31">
        <v>60</v>
      </c>
      <c r="D72" s="31" t="s">
        <v>36</v>
      </c>
      <c r="E72" s="31" t="s">
        <v>6</v>
      </c>
      <c r="F72" s="31" t="s">
        <v>71</v>
      </c>
      <c r="G72" s="31" t="str">
        <f t="shared" si="34"/>
        <v>Kommunal 60 Y 3 Cm</v>
      </c>
      <c r="H72" s="48">
        <f t="shared" si="0"/>
        <v>9.3139798678950114E-2</v>
      </c>
      <c r="I72" s="40">
        <f t="shared" si="1"/>
        <v>0.10364671349819007</v>
      </c>
      <c r="J72" s="99">
        <f t="shared" si="2"/>
        <v>1.5157927555706327E-3</v>
      </c>
      <c r="K72" s="48">
        <f t="shared" si="3"/>
        <v>2.2141479851227087E-2</v>
      </c>
      <c r="L72" s="48">
        <f t="shared" si="4"/>
        <v>7.9989440891392344E-2</v>
      </c>
      <c r="M72" s="48">
        <f t="shared" si="35"/>
        <v>0.14426710440177867</v>
      </c>
      <c r="N72" s="99">
        <f t="shared" si="5"/>
        <v>3.266368442692489E-3</v>
      </c>
      <c r="O72" s="48">
        <f t="shared" si="6"/>
        <v>1.7674408471289021E-2</v>
      </c>
      <c r="P72" s="48">
        <f t="shared" si="7"/>
        <v>3.3212219776840628E-2</v>
      </c>
      <c r="Q72" s="48">
        <f t="shared" si="8"/>
        <v>0.11998416133708852</v>
      </c>
      <c r="R72" s="40">
        <f t="shared" si="36"/>
        <v>1.0098697308124507</v>
      </c>
      <c r="S72" s="99">
        <f t="shared" si="9"/>
        <v>4.8995526640387334E-3</v>
      </c>
      <c r="T72" s="48">
        <f t="shared" si="10"/>
        <v>2.6511612706933536E-2</v>
      </c>
      <c r="U72" s="40">
        <v>5.0497603199999999</v>
      </c>
      <c r="V72" s="40">
        <v>1.25</v>
      </c>
      <c r="W72" s="40">
        <v>0.45</v>
      </c>
      <c r="X72" s="40">
        <v>1.1517392499522423</v>
      </c>
      <c r="Y72" s="42">
        <v>0.71473328447716389</v>
      </c>
      <c r="Z72" s="42">
        <v>20.848159913629424</v>
      </c>
      <c r="AA72" s="42">
        <v>78.437106801893407</v>
      </c>
      <c r="AB72" s="42">
        <v>1.808988764044944</v>
      </c>
      <c r="AC72" s="125">
        <v>1</v>
      </c>
      <c r="AD72" s="94">
        <f t="shared" si="37"/>
        <v>6.9243223638886131E-2</v>
      </c>
      <c r="AE72" s="94">
        <f t="shared" si="38"/>
        <v>7.9750138458126091E-2</v>
      </c>
      <c r="AF72" s="96">
        <f t="shared" si="11"/>
        <v>5.7000078397685043E-4</v>
      </c>
      <c r="AG72" s="95">
        <f t="shared" si="52"/>
        <v>1.6626436397091007E-2</v>
      </c>
      <c r="AH72" s="94">
        <f t="shared" si="39"/>
        <v>6.2553701277058227E-2</v>
      </c>
      <c r="AI72" s="94">
        <f t="shared" si="40"/>
        <v>0.14426710440177867</v>
      </c>
      <c r="AJ72" s="96">
        <f t="shared" si="41"/>
        <v>2.3064436071805095E-3</v>
      </c>
      <c r="AK72" s="95">
        <f t="shared" si="13"/>
        <v>1.2787383357203051E-2</v>
      </c>
      <c r="AL72" s="95">
        <f t="shared" si="14"/>
        <v>2.4939654595636511E-2</v>
      </c>
      <c r="AM72" s="94">
        <f t="shared" si="15"/>
        <v>9.383055191558734E-2</v>
      </c>
      <c r="AN72" s="93">
        <f t="shared" si="16"/>
        <v>1.0098697308124507</v>
      </c>
      <c r="AO72" s="96">
        <f t="shared" si="17"/>
        <v>3.4596654107707644E-3</v>
      </c>
      <c r="AP72" s="95">
        <f t="shared" si="18"/>
        <v>1.918107503580458E-2</v>
      </c>
      <c r="AQ72" s="93">
        <f t="shared" si="19"/>
        <v>0.21562893198106589</v>
      </c>
      <c r="AR72" s="31">
        <v>1.5</v>
      </c>
      <c r="AS72" s="31">
        <v>1.5</v>
      </c>
      <c r="AT72" s="31">
        <v>7</v>
      </c>
      <c r="AU72" s="43">
        <v>7.0999999999999994E-2</v>
      </c>
      <c r="AV72" s="44">
        <v>0.28000000000000003</v>
      </c>
      <c r="AW72" s="43">
        <v>1.7999999999999999E-2</v>
      </c>
      <c r="AX72" s="44">
        <v>0.13</v>
      </c>
      <c r="AY72" s="40">
        <v>5.8652742893442671</v>
      </c>
      <c r="AZ72" s="41">
        <v>0.5</v>
      </c>
      <c r="BA72" s="40">
        <v>0.72</v>
      </c>
      <c r="BB72" s="45">
        <v>1</v>
      </c>
      <c r="BC72" s="41">
        <v>10.469021924497721</v>
      </c>
      <c r="BD72" s="41">
        <v>46.248782587366165</v>
      </c>
      <c r="BE72" s="41">
        <v>43.282195488136097</v>
      </c>
      <c r="BF72" s="125">
        <v>1</v>
      </c>
      <c r="BG72" s="48">
        <f t="shared" si="42"/>
        <v>3.40123140509102E-3</v>
      </c>
      <c r="BH72" s="48">
        <f t="shared" si="43"/>
        <v>3.40123140509102E-3</v>
      </c>
      <c r="BI72" s="99">
        <f t="shared" si="44"/>
        <v>3.560756615018808E-4</v>
      </c>
      <c r="BJ72" s="99">
        <f t="shared" si="45"/>
        <v>1.5730281178337651E-3</v>
      </c>
      <c r="BK72" s="48">
        <f t="shared" si="46"/>
        <v>1.4721276257553735E-3</v>
      </c>
      <c r="BL72" s="99">
        <f t="shared" si="20"/>
        <v>2.3048745012159422E-4</v>
      </c>
      <c r="BM72" s="48">
        <f t="shared" si="21"/>
        <v>9.5509733464125602E-4</v>
      </c>
      <c r="BN72" s="48">
        <f t="shared" si="22"/>
        <v>2.3595421767506476E-3</v>
      </c>
      <c r="BO72" s="48">
        <f t="shared" si="23"/>
        <v>2.2081914386330604E-3</v>
      </c>
      <c r="BP72" s="99">
        <f t="shared" si="24"/>
        <v>3.4573117518239133E-4</v>
      </c>
      <c r="BQ72" s="48">
        <f t="shared" si="25"/>
        <v>1.4326460019618841E-3</v>
      </c>
      <c r="BR72" s="40">
        <f t="shared" si="26"/>
        <v>0.56717804511863879</v>
      </c>
      <c r="BS72" s="31">
        <v>1.5</v>
      </c>
      <c r="BT72" s="31">
        <v>1.5</v>
      </c>
      <c r="BU72" s="43">
        <v>0.125</v>
      </c>
      <c r="BV72" s="44">
        <v>0.42</v>
      </c>
      <c r="BW72" s="43">
        <v>2.3E-2</v>
      </c>
      <c r="BX72" s="44">
        <v>0.2</v>
      </c>
      <c r="BY72" s="40">
        <v>15.602524598139274</v>
      </c>
      <c r="BZ72" s="40">
        <v>0.52</v>
      </c>
      <c r="CA72" s="40">
        <v>0.65</v>
      </c>
      <c r="CB72" s="45">
        <v>1</v>
      </c>
      <c r="CC72" s="41">
        <v>2.8773184806992838</v>
      </c>
      <c r="CD72" s="41">
        <v>19.233711844556318</v>
      </c>
      <c r="CE72" s="41">
        <v>77.888969674744388</v>
      </c>
      <c r="CF72" s="125">
        <v>1</v>
      </c>
      <c r="CG72" s="40">
        <f t="shared" si="47"/>
        <v>2.0495343634972962E-2</v>
      </c>
      <c r="CH72" s="40">
        <f t="shared" si="48"/>
        <v>2.0495343634972962E-2</v>
      </c>
      <c r="CI72" s="99">
        <f t="shared" si="49"/>
        <v>5.8971631009190138E-4</v>
      </c>
      <c r="CJ72" s="100">
        <f t="shared" si="50"/>
        <v>3.9420153363023142E-3</v>
      </c>
      <c r="CK72" s="100">
        <f t="shared" si="51"/>
        <v>1.5963611988578746E-2</v>
      </c>
      <c r="CL72" s="101">
        <f t="shared" si="27"/>
        <v>7.2943738539038507E-4</v>
      </c>
      <c r="CM72" s="100">
        <f t="shared" si="28"/>
        <v>3.9319277794447145E-3</v>
      </c>
      <c r="CN72" s="100">
        <f t="shared" si="29"/>
        <v>5.9130230044534713E-3</v>
      </c>
      <c r="CO72" s="100">
        <f t="shared" si="30"/>
        <v>2.3945417982868117E-2</v>
      </c>
      <c r="CP72" s="101">
        <f t="shared" si="31"/>
        <v>1.0941560780855777E-3</v>
      </c>
      <c r="CQ72" s="100">
        <f t="shared" si="32"/>
        <v>5.8978916691670713E-3</v>
      </c>
      <c r="CR72" s="99">
        <f t="shared" si="33"/>
        <v>0.22111030325255604</v>
      </c>
      <c r="CS72" s="31">
        <v>1.5</v>
      </c>
      <c r="CT72" s="31">
        <v>1.5</v>
      </c>
      <c r="CU72" s="43">
        <v>0.1</v>
      </c>
      <c r="CV72" s="44">
        <v>0.39</v>
      </c>
      <c r="CW72" s="43">
        <v>2.1000000000000001E-2</v>
      </c>
      <c r="CX72" s="44">
        <v>0.15</v>
      </c>
      <c r="CY72" s="124"/>
    </row>
    <row r="73" spans="1:196" s="23" customFormat="1" x14ac:dyDescent="0.25">
      <c r="A73" s="31">
        <v>59</v>
      </c>
      <c r="B73" s="83">
        <v>3</v>
      </c>
      <c r="C73" s="31">
        <v>60</v>
      </c>
      <c r="D73" s="31" t="s">
        <v>36</v>
      </c>
      <c r="E73" s="31" t="s">
        <v>6</v>
      </c>
      <c r="F73" s="31" t="s">
        <v>0</v>
      </c>
      <c r="G73" s="31" t="str">
        <f t="shared" si="34"/>
        <v>Kommunal 60 Y 3 D</v>
      </c>
      <c r="H73" s="48">
        <f t="shared" si="0"/>
        <v>5.6049038082242798E-2</v>
      </c>
      <c r="I73" s="40">
        <f t="shared" si="1"/>
        <v>7.9832140247814459E-2</v>
      </c>
      <c r="J73" s="99">
        <f t="shared" si="2"/>
        <v>9.4579197159378218E-4</v>
      </c>
      <c r="K73" s="48">
        <f t="shared" si="3"/>
        <v>1.2665816258503163E-2</v>
      </c>
      <c r="L73" s="48">
        <f t="shared" si="4"/>
        <v>6.6220532017717521E-2</v>
      </c>
      <c r="M73" s="48">
        <f t="shared" si="35"/>
        <v>0.24806207179089335</v>
      </c>
      <c r="N73" s="99">
        <f t="shared" si="5"/>
        <v>2.3457559678829432E-3</v>
      </c>
      <c r="O73" s="48">
        <f t="shared" si="6"/>
        <v>1.3231264511748594E-2</v>
      </c>
      <c r="P73" s="48">
        <f t="shared" si="7"/>
        <v>1.8998724387754747E-2</v>
      </c>
      <c r="Q73" s="48">
        <f t="shared" si="8"/>
        <v>9.9330798026576267E-2</v>
      </c>
      <c r="R73" s="40">
        <f t="shared" si="36"/>
        <v>1.7364345025362535</v>
      </c>
      <c r="S73" s="99">
        <f t="shared" si="9"/>
        <v>3.518633951824415E-3</v>
      </c>
      <c r="T73" s="48">
        <f t="shared" si="10"/>
        <v>1.9846896767622895E-2</v>
      </c>
      <c r="U73" s="40">
        <v>1.3284928800000004</v>
      </c>
      <c r="V73" s="40">
        <v>1.2</v>
      </c>
      <c r="W73" s="45">
        <v>0</v>
      </c>
      <c r="X73" s="40">
        <v>1.7396976752409947</v>
      </c>
      <c r="Y73" s="42">
        <v>0</v>
      </c>
      <c r="Z73" s="42">
        <v>12.783946631822477</v>
      </c>
      <c r="AA73" s="42">
        <v>87.216053368177526</v>
      </c>
      <c r="AB73" s="42">
        <v>4.4347826086956506</v>
      </c>
      <c r="AC73" s="125">
        <v>1</v>
      </c>
      <c r="AD73" s="94">
        <f t="shared" si="37"/>
        <v>3.2152463042178815E-2</v>
      </c>
      <c r="AE73" s="94">
        <f t="shared" si="38"/>
        <v>5.5935565207750483E-2</v>
      </c>
      <c r="AF73" s="96">
        <f t="shared" si="11"/>
        <v>0</v>
      </c>
      <c r="AG73" s="95">
        <f t="shared" si="52"/>
        <v>7.1507728043670839E-3</v>
      </c>
      <c r="AH73" s="94">
        <f t="shared" si="39"/>
        <v>4.8784792403383397E-2</v>
      </c>
      <c r="AI73" s="94">
        <f t="shared" si="40"/>
        <v>0.24806207179089335</v>
      </c>
      <c r="AJ73" s="96">
        <f t="shared" si="41"/>
        <v>1.3858311323709639E-3</v>
      </c>
      <c r="AK73" s="95">
        <f t="shared" si="13"/>
        <v>8.3442393976626249E-3</v>
      </c>
      <c r="AL73" s="95">
        <f t="shared" si="14"/>
        <v>1.0726159206550626E-2</v>
      </c>
      <c r="AM73" s="94">
        <f t="shared" si="15"/>
        <v>7.3177188605075091E-2</v>
      </c>
      <c r="AN73" s="93">
        <f t="shared" si="16"/>
        <v>1.7364345025362535</v>
      </c>
      <c r="AO73" s="96">
        <f t="shared" si="17"/>
        <v>2.078746698556446E-3</v>
      </c>
      <c r="AP73" s="95">
        <f t="shared" si="18"/>
        <v>1.2516359096493939E-2</v>
      </c>
      <c r="AQ73" s="93">
        <f t="shared" si="19"/>
        <v>0.12783946631822479</v>
      </c>
      <c r="AR73" s="31">
        <v>1.5</v>
      </c>
      <c r="AS73" s="31">
        <v>1.5</v>
      </c>
      <c r="AT73" s="31">
        <v>7</v>
      </c>
      <c r="AU73" s="43">
        <v>7.0999999999999994E-2</v>
      </c>
      <c r="AV73" s="44">
        <v>0.28000000000000003</v>
      </c>
      <c r="AW73" s="43">
        <v>1.7999999999999999E-2</v>
      </c>
      <c r="AX73" s="44">
        <v>0.13</v>
      </c>
      <c r="AY73" s="40">
        <v>5.8652742893442671</v>
      </c>
      <c r="AZ73" s="41">
        <v>0.5</v>
      </c>
      <c r="BA73" s="40">
        <v>0.72</v>
      </c>
      <c r="BB73" s="45">
        <v>1</v>
      </c>
      <c r="BC73" s="41">
        <v>10.469021924497721</v>
      </c>
      <c r="BD73" s="41">
        <v>46.248782587366165</v>
      </c>
      <c r="BE73" s="41">
        <v>43.282195488136097</v>
      </c>
      <c r="BF73" s="125">
        <v>1</v>
      </c>
      <c r="BG73" s="48">
        <f t="shared" si="42"/>
        <v>3.40123140509102E-3</v>
      </c>
      <c r="BH73" s="48">
        <f t="shared" si="43"/>
        <v>3.40123140509102E-3</v>
      </c>
      <c r="BI73" s="99">
        <f t="shared" si="44"/>
        <v>3.560756615018808E-4</v>
      </c>
      <c r="BJ73" s="99">
        <f t="shared" si="45"/>
        <v>1.5730281178337651E-3</v>
      </c>
      <c r="BK73" s="48">
        <f t="shared" si="46"/>
        <v>1.4721276257553735E-3</v>
      </c>
      <c r="BL73" s="99">
        <f t="shared" si="20"/>
        <v>2.3048745012159422E-4</v>
      </c>
      <c r="BM73" s="48">
        <f t="shared" si="21"/>
        <v>9.5509733464125602E-4</v>
      </c>
      <c r="BN73" s="48">
        <f t="shared" si="22"/>
        <v>2.3595421767506476E-3</v>
      </c>
      <c r="BO73" s="48">
        <f t="shared" si="23"/>
        <v>2.2081914386330604E-3</v>
      </c>
      <c r="BP73" s="99">
        <f t="shared" si="24"/>
        <v>3.4573117518239133E-4</v>
      </c>
      <c r="BQ73" s="48">
        <f t="shared" si="25"/>
        <v>1.4326460019618841E-3</v>
      </c>
      <c r="BR73" s="40">
        <f t="shared" si="26"/>
        <v>0.56717804511863879</v>
      </c>
      <c r="BS73" s="31">
        <v>1.5</v>
      </c>
      <c r="BT73" s="31">
        <v>1.5</v>
      </c>
      <c r="BU73" s="43">
        <v>0.125</v>
      </c>
      <c r="BV73" s="44">
        <v>0.42</v>
      </c>
      <c r="BW73" s="43">
        <v>2.3E-2</v>
      </c>
      <c r="BX73" s="44">
        <v>0.2</v>
      </c>
      <c r="BY73" s="40">
        <v>15.602524598139274</v>
      </c>
      <c r="BZ73" s="40">
        <v>0.52</v>
      </c>
      <c r="CA73" s="40">
        <v>0.65</v>
      </c>
      <c r="CB73" s="45">
        <v>1</v>
      </c>
      <c r="CC73" s="41">
        <v>2.8773184806992838</v>
      </c>
      <c r="CD73" s="41">
        <v>19.233711844556318</v>
      </c>
      <c r="CE73" s="41">
        <v>77.888969674744388</v>
      </c>
      <c r="CF73" s="125">
        <v>1</v>
      </c>
      <c r="CG73" s="40">
        <f t="shared" si="47"/>
        <v>2.0495343634972962E-2</v>
      </c>
      <c r="CH73" s="40">
        <f t="shared" si="48"/>
        <v>2.0495343634972962E-2</v>
      </c>
      <c r="CI73" s="99">
        <f t="shared" si="49"/>
        <v>5.8971631009190138E-4</v>
      </c>
      <c r="CJ73" s="100">
        <f t="shared" si="50"/>
        <v>3.9420153363023142E-3</v>
      </c>
      <c r="CK73" s="100">
        <f t="shared" si="51"/>
        <v>1.5963611988578746E-2</v>
      </c>
      <c r="CL73" s="101">
        <f t="shared" si="27"/>
        <v>7.2943738539038507E-4</v>
      </c>
      <c r="CM73" s="100">
        <f t="shared" si="28"/>
        <v>3.9319277794447145E-3</v>
      </c>
      <c r="CN73" s="100">
        <f t="shared" si="29"/>
        <v>5.9130230044534713E-3</v>
      </c>
      <c r="CO73" s="100">
        <f t="shared" si="30"/>
        <v>2.3945417982868117E-2</v>
      </c>
      <c r="CP73" s="101">
        <f t="shared" si="31"/>
        <v>1.0941560780855777E-3</v>
      </c>
      <c r="CQ73" s="100">
        <f t="shared" si="32"/>
        <v>5.8978916691670713E-3</v>
      </c>
      <c r="CR73" s="99">
        <f t="shared" si="33"/>
        <v>0.22111030325255604</v>
      </c>
      <c r="CS73" s="31">
        <v>1.5</v>
      </c>
      <c r="CT73" s="31">
        <v>1.5</v>
      </c>
      <c r="CU73" s="43">
        <v>0.1</v>
      </c>
      <c r="CV73" s="44">
        <v>0.39</v>
      </c>
      <c r="CW73" s="43">
        <v>2.1000000000000001E-2</v>
      </c>
      <c r="CX73" s="44">
        <v>0.15</v>
      </c>
      <c r="CY73" s="124"/>
    </row>
    <row r="74" spans="1:196" s="23" customFormat="1" x14ac:dyDescent="0.25">
      <c r="A74" s="31">
        <v>60</v>
      </c>
      <c r="B74" s="83">
        <v>3</v>
      </c>
      <c r="C74" s="31">
        <v>60</v>
      </c>
      <c r="D74" s="31" t="s">
        <v>36</v>
      </c>
      <c r="E74" s="31" t="s">
        <v>6</v>
      </c>
      <c r="F74" s="31" t="s">
        <v>62</v>
      </c>
      <c r="G74" s="31" t="str">
        <f t="shared" si="34"/>
        <v>Kommunal 60 Y 3 EE</v>
      </c>
      <c r="H74" s="48">
        <f t="shared" si="0"/>
        <v>0.14276477303806145</v>
      </c>
      <c r="I74" s="40">
        <f t="shared" si="1"/>
        <v>0.16080174424545218</v>
      </c>
      <c r="J74" s="99">
        <f t="shared" si="2"/>
        <v>1.9242987840744716E-3</v>
      </c>
      <c r="K74" s="48">
        <f t="shared" si="3"/>
        <v>3.4057252060100365E-2</v>
      </c>
      <c r="L74" s="48">
        <f t="shared" si="4"/>
        <v>0.12482019340127735</v>
      </c>
      <c r="M74" s="48">
        <f t="shared" si="35"/>
        <v>0.24765991283221908</v>
      </c>
      <c r="N74" s="99">
        <f t="shared" si="5"/>
        <v>4.9193418147004215E-3</v>
      </c>
      <c r="O74" s="48">
        <f t="shared" si="6"/>
        <v>2.6838822516058597E-2</v>
      </c>
      <c r="P74" s="48">
        <f t="shared" si="7"/>
        <v>5.1085878090150541E-2</v>
      </c>
      <c r="Q74" s="48">
        <f t="shared" si="8"/>
        <v>0.18723029010191605</v>
      </c>
      <c r="R74" s="40">
        <f t="shared" si="36"/>
        <v>1.7336193898255337</v>
      </c>
      <c r="S74" s="99">
        <f t="shared" si="9"/>
        <v>7.3790127220506327E-3</v>
      </c>
      <c r="T74" s="48">
        <f t="shared" si="10"/>
        <v>4.0258233774087888E-2</v>
      </c>
      <c r="U74" s="40">
        <v>6.1183584000000009</v>
      </c>
      <c r="V74" s="40">
        <v>1.2</v>
      </c>
      <c r="W74" s="41">
        <v>0.1</v>
      </c>
      <c r="X74" s="40">
        <v>1.1517392499522421</v>
      </c>
      <c r="Y74" s="42">
        <v>0.71473328447716378</v>
      </c>
      <c r="Z74" s="42">
        <v>20.848159913629431</v>
      </c>
      <c r="AA74" s="42">
        <v>78.437106801893421</v>
      </c>
      <c r="AB74" s="42">
        <v>1.8089887640449436</v>
      </c>
      <c r="AC74" s="125">
        <v>1</v>
      </c>
      <c r="AD74" s="94">
        <f t="shared" si="37"/>
        <v>0.11886819799799747</v>
      </c>
      <c r="AE74" s="94">
        <f t="shared" si="38"/>
        <v>0.1369051692053882</v>
      </c>
      <c r="AF74" s="96">
        <f t="shared" si="11"/>
        <v>9.7850681248068958E-4</v>
      </c>
      <c r="AG74" s="95">
        <f t="shared" si="52"/>
        <v>2.8542208605964285E-2</v>
      </c>
      <c r="AH74" s="94">
        <f t="shared" si="39"/>
        <v>0.10738445378694324</v>
      </c>
      <c r="AI74" s="94">
        <f t="shared" si="40"/>
        <v>0.24765991283221908</v>
      </c>
      <c r="AJ74" s="96">
        <f t="shared" si="41"/>
        <v>3.9594169791884425E-3</v>
      </c>
      <c r="AK74" s="95">
        <f t="shared" si="13"/>
        <v>2.1951797401972624E-2</v>
      </c>
      <c r="AL74" s="95">
        <f t="shared" si="14"/>
        <v>4.2813312908946424E-2</v>
      </c>
      <c r="AM74" s="94">
        <f t="shared" si="15"/>
        <v>0.16107668068041486</v>
      </c>
      <c r="AN74" s="93">
        <f t="shared" si="16"/>
        <v>1.7336193898255337</v>
      </c>
      <c r="AO74" s="96">
        <f t="shared" si="17"/>
        <v>5.9391254687826637E-3</v>
      </c>
      <c r="AP74" s="95">
        <f t="shared" si="18"/>
        <v>3.2927696102958932E-2</v>
      </c>
      <c r="AQ74" s="93">
        <f t="shared" si="19"/>
        <v>0.21562893198106595</v>
      </c>
      <c r="AR74" s="31">
        <v>1.5</v>
      </c>
      <c r="AS74" s="31">
        <v>1.5</v>
      </c>
      <c r="AT74" s="31">
        <v>7</v>
      </c>
      <c r="AU74" s="43">
        <v>7.0999999999999994E-2</v>
      </c>
      <c r="AV74" s="44">
        <v>0.28000000000000003</v>
      </c>
      <c r="AW74" s="43">
        <v>1.7999999999999999E-2</v>
      </c>
      <c r="AX74" s="44">
        <v>0.13</v>
      </c>
      <c r="AY74" s="40">
        <v>5.8652742893442671</v>
      </c>
      <c r="AZ74" s="41">
        <v>0.5</v>
      </c>
      <c r="BA74" s="40">
        <v>0.72</v>
      </c>
      <c r="BB74" s="45">
        <v>1</v>
      </c>
      <c r="BC74" s="41">
        <v>10.469021924497721</v>
      </c>
      <c r="BD74" s="41">
        <v>46.248782587366165</v>
      </c>
      <c r="BE74" s="41">
        <v>43.282195488136097</v>
      </c>
      <c r="BF74" s="125">
        <v>1</v>
      </c>
      <c r="BG74" s="48">
        <f t="shared" si="42"/>
        <v>3.40123140509102E-3</v>
      </c>
      <c r="BH74" s="48">
        <f t="shared" si="43"/>
        <v>3.40123140509102E-3</v>
      </c>
      <c r="BI74" s="99">
        <f t="shared" si="44"/>
        <v>3.560756615018808E-4</v>
      </c>
      <c r="BJ74" s="99">
        <f t="shared" si="45"/>
        <v>1.5730281178337651E-3</v>
      </c>
      <c r="BK74" s="48">
        <f t="shared" si="46"/>
        <v>1.4721276257553735E-3</v>
      </c>
      <c r="BL74" s="99">
        <f t="shared" si="20"/>
        <v>2.3048745012159422E-4</v>
      </c>
      <c r="BM74" s="48">
        <f t="shared" si="21"/>
        <v>9.5509733464125602E-4</v>
      </c>
      <c r="BN74" s="48">
        <f t="shared" si="22"/>
        <v>2.3595421767506476E-3</v>
      </c>
      <c r="BO74" s="48">
        <f t="shared" si="23"/>
        <v>2.2081914386330604E-3</v>
      </c>
      <c r="BP74" s="99">
        <f t="shared" si="24"/>
        <v>3.4573117518239133E-4</v>
      </c>
      <c r="BQ74" s="48">
        <f t="shared" si="25"/>
        <v>1.4326460019618841E-3</v>
      </c>
      <c r="BR74" s="40">
        <f t="shared" si="26"/>
        <v>0.56717804511863879</v>
      </c>
      <c r="BS74" s="31">
        <v>1.5</v>
      </c>
      <c r="BT74" s="31">
        <v>1.5</v>
      </c>
      <c r="BU74" s="43">
        <v>0.125</v>
      </c>
      <c r="BV74" s="44">
        <v>0.42</v>
      </c>
      <c r="BW74" s="43">
        <v>2.3E-2</v>
      </c>
      <c r="BX74" s="44">
        <v>0.2</v>
      </c>
      <c r="BY74" s="40">
        <v>15.602524598139274</v>
      </c>
      <c r="BZ74" s="40">
        <v>0.52</v>
      </c>
      <c r="CA74" s="40">
        <v>0.65</v>
      </c>
      <c r="CB74" s="45">
        <v>1</v>
      </c>
      <c r="CC74" s="41">
        <v>2.8773184806992838</v>
      </c>
      <c r="CD74" s="41">
        <v>19.233711844556318</v>
      </c>
      <c r="CE74" s="41">
        <v>77.888969674744388</v>
      </c>
      <c r="CF74" s="125">
        <v>1</v>
      </c>
      <c r="CG74" s="40">
        <f t="shared" si="47"/>
        <v>2.0495343634972962E-2</v>
      </c>
      <c r="CH74" s="40">
        <f t="shared" si="48"/>
        <v>2.0495343634972962E-2</v>
      </c>
      <c r="CI74" s="99">
        <f t="shared" si="49"/>
        <v>5.8971631009190138E-4</v>
      </c>
      <c r="CJ74" s="100">
        <f t="shared" si="50"/>
        <v>3.9420153363023142E-3</v>
      </c>
      <c r="CK74" s="100">
        <f t="shared" si="51"/>
        <v>1.5963611988578746E-2</v>
      </c>
      <c r="CL74" s="101">
        <f t="shared" si="27"/>
        <v>7.2943738539038507E-4</v>
      </c>
      <c r="CM74" s="100">
        <f t="shared" si="28"/>
        <v>3.9319277794447145E-3</v>
      </c>
      <c r="CN74" s="100">
        <f t="shared" si="29"/>
        <v>5.9130230044534713E-3</v>
      </c>
      <c r="CO74" s="100">
        <f t="shared" si="30"/>
        <v>2.3945417982868117E-2</v>
      </c>
      <c r="CP74" s="101">
        <f t="shared" si="31"/>
        <v>1.0941560780855777E-3</v>
      </c>
      <c r="CQ74" s="100">
        <f t="shared" si="32"/>
        <v>5.8978916691670713E-3</v>
      </c>
      <c r="CR74" s="99">
        <f t="shared" si="33"/>
        <v>0.22111030325255604</v>
      </c>
      <c r="CS74" s="31">
        <v>1.5</v>
      </c>
      <c r="CT74" s="31">
        <v>1.5</v>
      </c>
      <c r="CU74" s="43">
        <v>0.1</v>
      </c>
      <c r="CV74" s="44">
        <v>0.39</v>
      </c>
      <c r="CW74" s="43">
        <v>2.1000000000000001E-2</v>
      </c>
      <c r="CX74" s="44">
        <v>0.15</v>
      </c>
      <c r="CY74" s="124"/>
    </row>
    <row r="75" spans="1:196" s="23" customFormat="1" x14ac:dyDescent="0.25">
      <c r="A75" s="31">
        <v>61</v>
      </c>
      <c r="B75" s="83">
        <v>3</v>
      </c>
      <c r="C75" s="31">
        <v>60</v>
      </c>
      <c r="D75" s="31" t="s">
        <v>36</v>
      </c>
      <c r="E75" s="31" t="s">
        <v>6</v>
      </c>
      <c r="F75" s="31" t="s">
        <v>63</v>
      </c>
      <c r="G75" s="31" t="str">
        <f t="shared" si="34"/>
        <v>Kommunal 60 Y 3 ES</v>
      </c>
      <c r="H75" s="48">
        <f t="shared" si="0"/>
        <v>0.10355543966954064</v>
      </c>
      <c r="I75" s="40">
        <f t="shared" si="1"/>
        <v>0.11515334562328754</v>
      </c>
      <c r="J75" s="99">
        <f t="shared" si="2"/>
        <v>1.5866808339696043E-3</v>
      </c>
      <c r="K75" s="48">
        <f t="shared" si="3"/>
        <v>1.6419982454813353E-2</v>
      </c>
      <c r="L75" s="48">
        <f t="shared" si="4"/>
        <v>9.7146682334504575E-2</v>
      </c>
      <c r="M75" s="48">
        <f t="shared" si="35"/>
        <v>0.20311990871749758</v>
      </c>
      <c r="N75" s="99">
        <f t="shared" si="5"/>
        <v>3.1689724735231338E-3</v>
      </c>
      <c r="O75" s="48">
        <f t="shared" si="6"/>
        <v>1.8302830587897768E-2</v>
      </c>
      <c r="P75" s="48">
        <f t="shared" si="7"/>
        <v>2.462997368222003E-2</v>
      </c>
      <c r="Q75" s="48">
        <f t="shared" si="8"/>
        <v>0.14572002350175686</v>
      </c>
      <c r="R75" s="40">
        <f t="shared" si="36"/>
        <v>1.4218393610224831</v>
      </c>
      <c r="S75" s="99">
        <f t="shared" si="9"/>
        <v>4.7534587102847012E-3</v>
      </c>
      <c r="T75" s="48">
        <f t="shared" si="10"/>
        <v>2.7454245881846653E-2</v>
      </c>
      <c r="U75" s="40">
        <v>4.1001840000000014</v>
      </c>
      <c r="V75" s="40">
        <v>1.2</v>
      </c>
      <c r="W75" s="41">
        <v>0.1</v>
      </c>
      <c r="X75" s="40">
        <v>1.1455946680597711</v>
      </c>
      <c r="Y75" s="42">
        <v>0.70229184999632421</v>
      </c>
      <c r="Z75" s="42">
        <v>11.949731434701913</v>
      </c>
      <c r="AA75" s="42">
        <v>87.347976715301769</v>
      </c>
      <c r="AB75" s="42">
        <v>2.225806451612903</v>
      </c>
      <c r="AC75" s="125">
        <v>1</v>
      </c>
      <c r="AD75" s="94">
        <f t="shared" si="37"/>
        <v>7.9658864629476661E-2</v>
      </c>
      <c r="AE75" s="94">
        <f t="shared" si="38"/>
        <v>9.1256770583223554E-2</v>
      </c>
      <c r="AF75" s="96">
        <f t="shared" si="11"/>
        <v>6.4088886237582206E-4</v>
      </c>
      <c r="AG75" s="95">
        <f t="shared" si="52"/>
        <v>1.0904939000677273E-2</v>
      </c>
      <c r="AH75" s="94">
        <f t="shared" si="39"/>
        <v>7.9710942720170458E-2</v>
      </c>
      <c r="AI75" s="94">
        <f t="shared" si="40"/>
        <v>0.20311990871749758</v>
      </c>
      <c r="AJ75" s="96">
        <f t="shared" si="41"/>
        <v>2.2090476380111543E-3</v>
      </c>
      <c r="AK75" s="95">
        <f t="shared" si="13"/>
        <v>1.3415805473811796E-2</v>
      </c>
      <c r="AL75" s="95">
        <f t="shared" si="14"/>
        <v>1.635740850101591E-2</v>
      </c>
      <c r="AM75" s="94">
        <f t="shared" si="15"/>
        <v>0.11956641408025569</v>
      </c>
      <c r="AN75" s="93">
        <f t="shared" si="16"/>
        <v>1.4218393610224831</v>
      </c>
      <c r="AO75" s="96">
        <f t="shared" si="17"/>
        <v>3.3135714570167317E-3</v>
      </c>
      <c r="AP75" s="95">
        <f t="shared" si="18"/>
        <v>2.0123708210717697E-2</v>
      </c>
      <c r="AQ75" s="93">
        <f t="shared" si="19"/>
        <v>0.12652023284698238</v>
      </c>
      <c r="AR75" s="31">
        <v>1.5</v>
      </c>
      <c r="AS75" s="31">
        <v>1.5</v>
      </c>
      <c r="AT75" s="31">
        <v>7</v>
      </c>
      <c r="AU75" s="43">
        <v>7.0999999999999994E-2</v>
      </c>
      <c r="AV75" s="44">
        <v>0.28000000000000003</v>
      </c>
      <c r="AW75" s="43">
        <v>1.7999999999999999E-2</v>
      </c>
      <c r="AX75" s="44">
        <v>0.13</v>
      </c>
      <c r="AY75" s="40">
        <v>5.8652742893442671</v>
      </c>
      <c r="AZ75" s="41">
        <v>0.5</v>
      </c>
      <c r="BA75" s="40">
        <v>0.72</v>
      </c>
      <c r="BB75" s="45">
        <v>1</v>
      </c>
      <c r="BC75" s="41">
        <v>10.469021924497723</v>
      </c>
      <c r="BD75" s="41">
        <v>46.248782587366179</v>
      </c>
      <c r="BE75" s="41">
        <v>43.282195488136111</v>
      </c>
      <c r="BF75" s="125">
        <v>1</v>
      </c>
      <c r="BG75" s="48">
        <f t="shared" si="42"/>
        <v>3.40123140509102E-3</v>
      </c>
      <c r="BH75" s="48">
        <f t="shared" si="43"/>
        <v>3.40123140509102E-3</v>
      </c>
      <c r="BI75" s="99">
        <f t="shared" si="44"/>
        <v>3.5607566150188085E-4</v>
      </c>
      <c r="BJ75" s="99">
        <f t="shared" si="45"/>
        <v>1.5730281178337657E-3</v>
      </c>
      <c r="BK75" s="48">
        <f t="shared" si="46"/>
        <v>1.4721276257553739E-3</v>
      </c>
      <c r="BL75" s="99">
        <f t="shared" si="20"/>
        <v>2.3048745012159433E-4</v>
      </c>
      <c r="BM75" s="48">
        <f t="shared" si="21"/>
        <v>9.5509733464125635E-4</v>
      </c>
      <c r="BN75" s="48">
        <f t="shared" si="22"/>
        <v>2.3595421767506485E-3</v>
      </c>
      <c r="BO75" s="48">
        <f t="shared" si="23"/>
        <v>2.2081914386330608E-3</v>
      </c>
      <c r="BP75" s="99">
        <f t="shared" si="24"/>
        <v>3.4573117518239143E-4</v>
      </c>
      <c r="BQ75" s="48">
        <f t="shared" si="25"/>
        <v>1.4326460019618845E-3</v>
      </c>
      <c r="BR75" s="40">
        <f t="shared" si="26"/>
        <v>0.56717804511863901</v>
      </c>
      <c r="BS75" s="31">
        <v>1.5</v>
      </c>
      <c r="BT75" s="31">
        <v>1.5</v>
      </c>
      <c r="BU75" s="43">
        <v>0.125</v>
      </c>
      <c r="BV75" s="44">
        <v>0.42</v>
      </c>
      <c r="BW75" s="43">
        <v>2.3E-2</v>
      </c>
      <c r="BX75" s="44">
        <v>0.2</v>
      </c>
      <c r="BY75" s="40">
        <v>15.602524598139274</v>
      </c>
      <c r="BZ75" s="40">
        <v>0.52</v>
      </c>
      <c r="CA75" s="40">
        <v>0.65</v>
      </c>
      <c r="CB75" s="45">
        <v>1</v>
      </c>
      <c r="CC75" s="41">
        <v>2.8773184806992838</v>
      </c>
      <c r="CD75" s="41">
        <v>19.233711844556318</v>
      </c>
      <c r="CE75" s="41">
        <v>77.888969674744388</v>
      </c>
      <c r="CF75" s="125">
        <v>1</v>
      </c>
      <c r="CG75" s="40">
        <f t="shared" si="47"/>
        <v>2.0495343634972962E-2</v>
      </c>
      <c r="CH75" s="40">
        <f t="shared" si="48"/>
        <v>2.0495343634972962E-2</v>
      </c>
      <c r="CI75" s="99">
        <f t="shared" si="49"/>
        <v>5.8971631009190138E-4</v>
      </c>
      <c r="CJ75" s="100">
        <f t="shared" si="50"/>
        <v>3.9420153363023142E-3</v>
      </c>
      <c r="CK75" s="100">
        <f t="shared" si="51"/>
        <v>1.5963611988578746E-2</v>
      </c>
      <c r="CL75" s="101">
        <f t="shared" si="27"/>
        <v>7.2943738539038507E-4</v>
      </c>
      <c r="CM75" s="100">
        <f t="shared" si="28"/>
        <v>3.9319277794447145E-3</v>
      </c>
      <c r="CN75" s="100">
        <f t="shared" si="29"/>
        <v>5.9130230044534713E-3</v>
      </c>
      <c r="CO75" s="100">
        <f t="shared" si="30"/>
        <v>2.3945417982868117E-2</v>
      </c>
      <c r="CP75" s="101">
        <f t="shared" si="31"/>
        <v>1.0941560780855777E-3</v>
      </c>
      <c r="CQ75" s="100">
        <f t="shared" si="32"/>
        <v>5.8978916691670713E-3</v>
      </c>
      <c r="CR75" s="99">
        <f t="shared" si="33"/>
        <v>0.22111030325255604</v>
      </c>
      <c r="CS75" s="31">
        <v>1.5</v>
      </c>
      <c r="CT75" s="31">
        <v>1.5</v>
      </c>
      <c r="CU75" s="43">
        <v>0.1</v>
      </c>
      <c r="CV75" s="44">
        <v>0.39</v>
      </c>
      <c r="CW75" s="43">
        <v>2.1000000000000001E-2</v>
      </c>
      <c r="CX75" s="44">
        <v>0.15</v>
      </c>
      <c r="CY75" s="124"/>
    </row>
    <row r="76" spans="1:196" s="23" customFormat="1" x14ac:dyDescent="0.25">
      <c r="A76" s="31">
        <v>62</v>
      </c>
      <c r="B76" s="83">
        <v>3</v>
      </c>
      <c r="C76" s="31">
        <v>60</v>
      </c>
      <c r="D76" s="31" t="s">
        <v>36</v>
      </c>
      <c r="E76" s="31" t="s">
        <v>6</v>
      </c>
      <c r="F76" s="31" t="s">
        <v>64</v>
      </c>
      <c r="G76" s="31" t="str">
        <f t="shared" si="34"/>
        <v>Kommunal 60 Y 3 F</v>
      </c>
      <c r="H76" s="48">
        <f t="shared" si="0"/>
        <v>5.2423745827620064E-2</v>
      </c>
      <c r="I76" s="40">
        <f t="shared" si="1"/>
        <v>5.3378287488172138E-2</v>
      </c>
      <c r="J76" s="99">
        <f t="shared" si="2"/>
        <v>1.1435965306900921E-3</v>
      </c>
      <c r="K76" s="48">
        <f t="shared" si="3"/>
        <v>1.0345718786494443E-2</v>
      </c>
      <c r="L76" s="48">
        <f t="shared" si="4"/>
        <v>4.188897217098761E-2</v>
      </c>
      <c r="M76" s="48">
        <f t="shared" si="35"/>
        <v>8.2191440764422766E-2</v>
      </c>
      <c r="N76" s="99">
        <f t="shared" si="5"/>
        <v>1.7434838753312178E-3</v>
      </c>
      <c r="O76" s="48">
        <f t="shared" si="6"/>
        <v>9.4198338511738144E-3</v>
      </c>
      <c r="P76" s="48">
        <f t="shared" si="7"/>
        <v>1.5518578179741664E-2</v>
      </c>
      <c r="Q76" s="48">
        <f t="shared" si="8"/>
        <v>6.2833458256481414E-2</v>
      </c>
      <c r="R76" s="40">
        <f t="shared" si="36"/>
        <v>0.57534008535095937</v>
      </c>
      <c r="S76" s="99">
        <f t="shared" si="9"/>
        <v>2.6152258129968262E-3</v>
      </c>
      <c r="T76" s="48">
        <f t="shared" si="10"/>
        <v>1.4129750776760722E-2</v>
      </c>
      <c r="U76" s="40">
        <v>2.0804255999999999</v>
      </c>
      <c r="V76" s="40">
        <v>1.25</v>
      </c>
      <c r="W76" s="40">
        <v>0.45</v>
      </c>
      <c r="X76" s="40">
        <v>1.0334607896331753</v>
      </c>
      <c r="Y76" s="42">
        <v>0.70845794954218955</v>
      </c>
      <c r="Z76" s="42">
        <v>16.359881718202693</v>
      </c>
      <c r="AA76" s="42">
        <v>82.93166033225512</v>
      </c>
      <c r="AB76" s="42">
        <v>2.787878787878789</v>
      </c>
      <c r="AC76" s="125">
        <v>1</v>
      </c>
      <c r="AD76" s="94">
        <f t="shared" si="37"/>
        <v>2.8527170787556077E-2</v>
      </c>
      <c r="AE76" s="94">
        <f t="shared" si="38"/>
        <v>2.9481712448108155E-2</v>
      </c>
      <c r="AF76" s="96">
        <f t="shared" si="11"/>
        <v>2.0886553549979148E-4</v>
      </c>
      <c r="AG76" s="95">
        <f t="shared" si="52"/>
        <v>4.8231732850111337E-3</v>
      </c>
      <c r="AH76" s="94">
        <f t="shared" si="39"/>
        <v>2.4449673627597233E-2</v>
      </c>
      <c r="AI76" s="94">
        <f t="shared" si="40"/>
        <v>8.2191440764422766E-2</v>
      </c>
      <c r="AJ76" s="96">
        <f t="shared" si="41"/>
        <v>7.8253942853254068E-4</v>
      </c>
      <c r="AK76" s="95">
        <f t="shared" si="13"/>
        <v>4.5289460913907585E-3</v>
      </c>
      <c r="AL76" s="95">
        <f t="shared" si="14"/>
        <v>7.2347599275167009E-3</v>
      </c>
      <c r="AM76" s="94">
        <f t="shared" si="15"/>
        <v>3.6674510441395851E-2</v>
      </c>
      <c r="AN76" s="93">
        <f t="shared" si="16"/>
        <v>0.57534008535095937</v>
      </c>
      <c r="AO76" s="96">
        <f t="shared" si="17"/>
        <v>1.173809142798811E-3</v>
      </c>
      <c r="AP76" s="95">
        <f t="shared" si="18"/>
        <v>6.7934191370861369E-3</v>
      </c>
      <c r="AQ76" s="93">
        <f t="shared" si="19"/>
        <v>0.17068339667744881</v>
      </c>
      <c r="AR76" s="31">
        <v>1.5</v>
      </c>
      <c r="AS76" s="31">
        <v>1.5</v>
      </c>
      <c r="AT76" s="31">
        <v>7</v>
      </c>
      <c r="AU76" s="43">
        <v>7.0999999999999994E-2</v>
      </c>
      <c r="AV76" s="44">
        <v>0.28000000000000003</v>
      </c>
      <c r="AW76" s="43">
        <v>1.7999999999999999E-2</v>
      </c>
      <c r="AX76" s="44">
        <v>0.13</v>
      </c>
      <c r="AY76" s="40">
        <v>5.8652742893442662</v>
      </c>
      <c r="AZ76" s="41">
        <v>0.5</v>
      </c>
      <c r="BA76" s="40">
        <v>0.72</v>
      </c>
      <c r="BB76" s="45">
        <v>1</v>
      </c>
      <c r="BC76" s="41">
        <v>10.143816871206576</v>
      </c>
      <c r="BD76" s="41">
        <v>46.469351153680122</v>
      </c>
      <c r="BE76" s="41">
        <v>43.386831975113296</v>
      </c>
      <c r="BF76" s="125">
        <v>1</v>
      </c>
      <c r="BG76" s="48">
        <f t="shared" si="42"/>
        <v>3.4012314050910195E-3</v>
      </c>
      <c r="BH76" s="48">
        <f t="shared" si="43"/>
        <v>3.4012314050910195E-3</v>
      </c>
      <c r="BI76" s="99">
        <f t="shared" si="44"/>
        <v>3.4501468509839933E-4</v>
      </c>
      <c r="BJ76" s="99">
        <f t="shared" si="45"/>
        <v>1.5805301651809944E-3</v>
      </c>
      <c r="BK76" s="48">
        <f t="shared" si="46"/>
        <v>1.4756865548116258E-3</v>
      </c>
      <c r="BL76" s="99">
        <f t="shared" si="20"/>
        <v>2.3150706140829169E-4</v>
      </c>
      <c r="BM76" s="48">
        <f t="shared" si="21"/>
        <v>9.5895998033834274E-4</v>
      </c>
      <c r="BN76" s="48">
        <f t="shared" si="22"/>
        <v>2.3707952477714919E-3</v>
      </c>
      <c r="BO76" s="48">
        <f t="shared" si="23"/>
        <v>2.2135298322174387E-3</v>
      </c>
      <c r="BP76" s="99">
        <f t="shared" si="24"/>
        <v>3.4726059211243759E-4</v>
      </c>
      <c r="BQ76" s="48">
        <f t="shared" si="25"/>
        <v>1.4384399705075143E-3</v>
      </c>
      <c r="BR76" s="40">
        <f t="shared" si="26"/>
        <v>0.56613168024886695</v>
      </c>
      <c r="BS76" s="31">
        <v>1.5</v>
      </c>
      <c r="BT76" s="31">
        <v>1.5</v>
      </c>
      <c r="BU76" s="43">
        <v>0.125</v>
      </c>
      <c r="BV76" s="44">
        <v>0.42</v>
      </c>
      <c r="BW76" s="43">
        <v>2.3E-2</v>
      </c>
      <c r="BX76" s="44">
        <v>0.2</v>
      </c>
      <c r="BY76" s="40">
        <v>15.602524598139276</v>
      </c>
      <c r="BZ76" s="40">
        <v>0.52</v>
      </c>
      <c r="CA76" s="40">
        <v>0.65</v>
      </c>
      <c r="CB76" s="45">
        <v>1</v>
      </c>
      <c r="CC76" s="41">
        <v>2.8773184806992829</v>
      </c>
      <c r="CD76" s="41">
        <v>19.233711844556318</v>
      </c>
      <c r="CE76" s="41">
        <v>77.888969674744388</v>
      </c>
      <c r="CF76" s="125">
        <v>1</v>
      </c>
      <c r="CG76" s="40">
        <f t="shared" si="47"/>
        <v>2.0495343634972966E-2</v>
      </c>
      <c r="CH76" s="40">
        <f t="shared" si="48"/>
        <v>2.0495343634972966E-2</v>
      </c>
      <c r="CI76" s="99">
        <f t="shared" si="49"/>
        <v>5.8971631009190127E-4</v>
      </c>
      <c r="CJ76" s="100">
        <f t="shared" si="50"/>
        <v>3.9420153363023142E-3</v>
      </c>
      <c r="CK76" s="100">
        <f t="shared" si="51"/>
        <v>1.5963611988578749E-2</v>
      </c>
      <c r="CL76" s="101">
        <f t="shared" si="27"/>
        <v>7.2943738539038518E-4</v>
      </c>
      <c r="CM76" s="100">
        <f t="shared" si="28"/>
        <v>3.9319277794447145E-3</v>
      </c>
      <c r="CN76" s="100">
        <f t="shared" si="29"/>
        <v>5.9130230044534713E-3</v>
      </c>
      <c r="CO76" s="100">
        <f t="shared" si="30"/>
        <v>2.3945417982868124E-2</v>
      </c>
      <c r="CP76" s="101">
        <f t="shared" si="31"/>
        <v>1.0941560780855777E-3</v>
      </c>
      <c r="CQ76" s="100">
        <f t="shared" si="32"/>
        <v>5.8978916691670722E-3</v>
      </c>
      <c r="CR76" s="99">
        <f t="shared" si="33"/>
        <v>0.22111030325255598</v>
      </c>
      <c r="CS76" s="31">
        <v>1.5</v>
      </c>
      <c r="CT76" s="31">
        <v>1.5</v>
      </c>
      <c r="CU76" s="43">
        <v>0.1</v>
      </c>
      <c r="CV76" s="44">
        <v>0.39</v>
      </c>
      <c r="CW76" s="43">
        <v>2.1000000000000001E-2</v>
      </c>
      <c r="CX76" s="44">
        <v>0.15</v>
      </c>
      <c r="CY76" s="124"/>
    </row>
    <row r="77" spans="1:196" s="26" customFormat="1" x14ac:dyDescent="0.25">
      <c r="A77" s="31">
        <v>63</v>
      </c>
      <c r="B77" s="83">
        <v>3</v>
      </c>
      <c r="C77" s="31">
        <v>60</v>
      </c>
      <c r="D77" s="31" t="s">
        <v>26</v>
      </c>
      <c r="E77" s="31" t="s">
        <v>99</v>
      </c>
      <c r="F77" s="31" t="s">
        <v>12</v>
      </c>
      <c r="G77" s="31" t="str">
        <f t="shared" si="34"/>
        <v>Statlig 60 - 3 A</v>
      </c>
      <c r="H77" s="48">
        <f t="shared" si="0"/>
        <v>0.12477492037539668</v>
      </c>
      <c r="I77" s="40">
        <f t="shared" si="1"/>
        <v>0.1616307088255429</v>
      </c>
      <c r="J77" s="99">
        <f t="shared" si="2"/>
        <v>3.0138672637232116E-3</v>
      </c>
      <c r="K77" s="48">
        <f t="shared" si="3"/>
        <v>3.3031545090986589E-2</v>
      </c>
      <c r="L77" s="48">
        <f t="shared" si="4"/>
        <v>0.12558529647083311</v>
      </c>
      <c r="M77" s="48">
        <f t="shared" si="35"/>
        <v>0.28066294326764463</v>
      </c>
      <c r="N77" s="99">
        <f t="shared" si="5"/>
        <v>5.0245241098887212E-3</v>
      </c>
      <c r="O77" s="48">
        <f t="shared" si="6"/>
        <v>2.8376455389946192E-2</v>
      </c>
      <c r="P77" s="48">
        <f t="shared" si="7"/>
        <v>5.6153626654677193E-2</v>
      </c>
      <c r="Q77" s="48">
        <f t="shared" si="8"/>
        <v>0.21349500400041627</v>
      </c>
      <c r="R77" s="40">
        <f t="shared" si="36"/>
        <v>1.9646406028735124</v>
      </c>
      <c r="S77" s="99">
        <f t="shared" si="9"/>
        <v>8.5416909868108251E-3</v>
      </c>
      <c r="T77" s="48">
        <f t="shared" si="10"/>
        <v>4.8239974162908518E-2</v>
      </c>
      <c r="U77" s="40">
        <v>7.3025919999999998</v>
      </c>
      <c r="V77" s="40">
        <v>1.25</v>
      </c>
      <c r="W77" s="40">
        <v>0.45</v>
      </c>
      <c r="X77" s="40">
        <v>1.3680629955786825</v>
      </c>
      <c r="Y77" s="42">
        <v>1.4811020578762146</v>
      </c>
      <c r="Z77" s="42">
        <v>19.962930459308431</v>
      </c>
      <c r="AA77" s="42">
        <v>78.555967482815348</v>
      </c>
      <c r="AB77" s="42">
        <v>2.0487804878048781</v>
      </c>
      <c r="AC77" s="125">
        <v>1</v>
      </c>
      <c r="AD77" s="94">
        <f t="shared" si="37"/>
        <v>0.1001344576685851</v>
      </c>
      <c r="AE77" s="94">
        <f t="shared" si="38"/>
        <v>0.13699024611873131</v>
      </c>
      <c r="AF77" s="96">
        <f>$AE77*Y77/100</f>
        <v>2.0289653543542206E-3</v>
      </c>
      <c r="AG77" s="95">
        <f t="shared" si="52"/>
        <v>2.73472675687178E-2</v>
      </c>
      <c r="AH77" s="94">
        <f t="shared" si="39"/>
        <v>0.10761401319565929</v>
      </c>
      <c r="AI77" s="94">
        <f t="shared" si="40"/>
        <v>0.28066294326764463</v>
      </c>
      <c r="AJ77" s="96">
        <f t="shared" si="41"/>
        <v>4.2906923055108098E-3</v>
      </c>
      <c r="AK77" s="95">
        <f t="shared" si="13"/>
        <v>2.3561365364486938E-2</v>
      </c>
      <c r="AL77" s="95">
        <f t="shared" si="14"/>
        <v>4.6490354866820259E-2</v>
      </c>
      <c r="AM77" s="94">
        <f t="shared" si="15"/>
        <v>0.18294382243262078</v>
      </c>
      <c r="AN77" s="93">
        <f t="shared" si="16"/>
        <v>1.9646406028735124</v>
      </c>
      <c r="AO77" s="96">
        <f t="shared" si="17"/>
        <v>7.2941769193683769E-3</v>
      </c>
      <c r="AP77" s="95">
        <f t="shared" si="18"/>
        <v>4.0054321119627791E-2</v>
      </c>
      <c r="AQ77" s="93">
        <f t="shared" si="19"/>
        <v>0.21444032517184647</v>
      </c>
      <c r="AR77" s="31">
        <v>1.7</v>
      </c>
      <c r="AS77" s="31">
        <v>1.7</v>
      </c>
      <c r="AT77" s="31">
        <v>7</v>
      </c>
      <c r="AU77" s="48">
        <v>0.09</v>
      </c>
      <c r="AV77" s="40">
        <v>0.35</v>
      </c>
      <c r="AW77" s="31">
        <v>1.7000000000000001E-2</v>
      </c>
      <c r="AX77" s="40">
        <v>0.13</v>
      </c>
      <c r="AY77" s="40">
        <v>6.0575670213371309</v>
      </c>
      <c r="AZ77" s="41">
        <v>0.5</v>
      </c>
      <c r="BA77" s="40">
        <v>0.72</v>
      </c>
      <c r="BB77" s="45">
        <v>1</v>
      </c>
      <c r="BC77" s="41">
        <v>10.143816871206576</v>
      </c>
      <c r="BD77" s="41">
        <v>46.469351153680122</v>
      </c>
      <c r="BE77" s="41">
        <v>43.386831975113296</v>
      </c>
      <c r="BF77" s="125">
        <v>1</v>
      </c>
      <c r="BG77" s="48">
        <f t="shared" si="42"/>
        <v>3.5127406110991841E-3</v>
      </c>
      <c r="BH77" s="48">
        <f t="shared" si="43"/>
        <v>3.5127406110991841E-3</v>
      </c>
      <c r="BI77" s="99">
        <f t="shared" si="44"/>
        <v>3.5632597475040404E-4</v>
      </c>
      <c r="BJ77" s="99">
        <f t="shared" si="45"/>
        <v>1.6323477696896088E-3</v>
      </c>
      <c r="BK77" s="48">
        <f t="shared" si="46"/>
        <v>1.5240668666591712E-3</v>
      </c>
      <c r="BL77" s="99">
        <f t="shared" si="20"/>
        <v>2.2636306969593648E-4</v>
      </c>
      <c r="BM77" s="48">
        <f t="shared" si="21"/>
        <v>9.6316652635919961E-4</v>
      </c>
      <c r="BN77" s="48">
        <f t="shared" si="22"/>
        <v>2.774991208472335E-3</v>
      </c>
      <c r="BO77" s="48">
        <f t="shared" si="23"/>
        <v>2.5909136733205909E-3</v>
      </c>
      <c r="BP77" s="99">
        <f t="shared" si="24"/>
        <v>3.84817218483092E-4</v>
      </c>
      <c r="BQ77" s="48">
        <f t="shared" si="25"/>
        <v>1.6373830948106394E-3</v>
      </c>
      <c r="BR77" s="40">
        <f t="shared" si="26"/>
        <v>0.56613168024886695</v>
      </c>
      <c r="BS77" s="31">
        <v>1.7</v>
      </c>
      <c r="BT77" s="31">
        <v>1.7</v>
      </c>
      <c r="BU77" s="48">
        <v>0.12</v>
      </c>
      <c r="BV77" s="40">
        <v>0.45</v>
      </c>
      <c r="BW77" s="31">
        <v>0.02</v>
      </c>
      <c r="BX77" s="40">
        <v>0.15</v>
      </c>
      <c r="BY77" s="40">
        <v>16.083936408780207</v>
      </c>
      <c r="BZ77" s="40">
        <v>0.52</v>
      </c>
      <c r="CA77" s="40">
        <v>0.65</v>
      </c>
      <c r="CB77" s="45">
        <v>1</v>
      </c>
      <c r="CC77" s="41">
        <v>2.975124018439018</v>
      </c>
      <c r="CD77" s="41">
        <v>19.178261311007411</v>
      </c>
      <c r="CE77" s="41">
        <v>77.846614670553578</v>
      </c>
      <c r="CF77" s="125">
        <v>1</v>
      </c>
      <c r="CG77" s="40">
        <f t="shared" si="47"/>
        <v>2.1127722095712398E-2</v>
      </c>
      <c r="CH77" s="40">
        <f t="shared" si="48"/>
        <v>2.1127722095712398E-2</v>
      </c>
      <c r="CI77" s="99">
        <f t="shared" si="49"/>
        <v>6.2857593461858698E-4</v>
      </c>
      <c r="CJ77" s="100">
        <f t="shared" si="50"/>
        <v>4.0519297525791753E-3</v>
      </c>
      <c r="CK77" s="100">
        <f t="shared" si="51"/>
        <v>1.6447216408514639E-2</v>
      </c>
      <c r="CL77" s="101">
        <f t="shared" si="27"/>
        <v>5.074687346819745E-4</v>
      </c>
      <c r="CM77" s="100">
        <f t="shared" si="28"/>
        <v>3.8519234991000535E-3</v>
      </c>
      <c r="CN77" s="100">
        <f t="shared" si="29"/>
        <v>6.8882805793845977E-3</v>
      </c>
      <c r="CO77" s="100">
        <f t="shared" si="30"/>
        <v>2.7960267894474887E-2</v>
      </c>
      <c r="CP77" s="101">
        <f t="shared" si="31"/>
        <v>8.6269684895935663E-4</v>
      </c>
      <c r="CQ77" s="100">
        <f t="shared" si="32"/>
        <v>6.5482699484700913E-3</v>
      </c>
      <c r="CR77" s="99">
        <f t="shared" si="33"/>
        <v>0.22153385329446429</v>
      </c>
      <c r="CS77" s="31">
        <v>1.7</v>
      </c>
      <c r="CT77" s="31">
        <v>1.7</v>
      </c>
      <c r="CU77" s="48">
        <v>0.04</v>
      </c>
      <c r="CV77" s="40">
        <v>0.22</v>
      </c>
      <c r="CW77" s="31">
        <v>2.1000000000000001E-2</v>
      </c>
      <c r="CX77" s="40">
        <v>0.18</v>
      </c>
      <c r="CY77" s="124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</row>
    <row r="78" spans="1:196" s="23" customFormat="1" x14ac:dyDescent="0.25">
      <c r="A78" s="31">
        <v>64</v>
      </c>
      <c r="B78" s="83">
        <v>3</v>
      </c>
      <c r="C78" s="31">
        <v>60</v>
      </c>
      <c r="D78" s="31" t="s">
        <v>26</v>
      </c>
      <c r="E78" s="31" t="s">
        <v>99</v>
      </c>
      <c r="F78" s="31" t="s">
        <v>13</v>
      </c>
      <c r="G78" s="31" t="str">
        <f t="shared" si="34"/>
        <v>Statlig 60 - 3 B</v>
      </c>
      <c r="H78" s="48">
        <f t="shared" si="0"/>
        <v>0.12477492037539668</v>
      </c>
      <c r="I78" s="40">
        <f t="shared" si="1"/>
        <v>0.1616307088255429</v>
      </c>
      <c r="J78" s="99">
        <f t="shared" si="2"/>
        <v>3.0138672637232116E-3</v>
      </c>
      <c r="K78" s="48">
        <f t="shared" si="3"/>
        <v>3.3031545090986589E-2</v>
      </c>
      <c r="L78" s="48">
        <f t="shared" si="4"/>
        <v>0.12558529647083311</v>
      </c>
      <c r="M78" s="48">
        <f t="shared" si="35"/>
        <v>0.28066294326764463</v>
      </c>
      <c r="N78" s="99">
        <f t="shared" si="5"/>
        <v>5.0245241098887212E-3</v>
      </c>
      <c r="O78" s="48">
        <f t="shared" si="6"/>
        <v>2.8376455389946192E-2</v>
      </c>
      <c r="P78" s="48">
        <f t="shared" si="7"/>
        <v>5.6153626654677193E-2</v>
      </c>
      <c r="Q78" s="48">
        <f t="shared" si="8"/>
        <v>0.21349500400041627</v>
      </c>
      <c r="R78" s="40">
        <f t="shared" si="36"/>
        <v>1.9646406028735124</v>
      </c>
      <c r="S78" s="99">
        <f t="shared" si="9"/>
        <v>8.5416909868108251E-3</v>
      </c>
      <c r="T78" s="48">
        <f t="shared" si="10"/>
        <v>4.8239974162908518E-2</v>
      </c>
      <c r="U78" s="40">
        <v>7.3025919999999998</v>
      </c>
      <c r="V78" s="40">
        <v>1.25</v>
      </c>
      <c r="W78" s="40">
        <v>0.45</v>
      </c>
      <c r="X78" s="40">
        <v>1.3680629955786825</v>
      </c>
      <c r="Y78" s="42">
        <v>1.4811020578762146</v>
      </c>
      <c r="Z78" s="42">
        <v>19.962930459308431</v>
      </c>
      <c r="AA78" s="42">
        <v>78.555967482815348</v>
      </c>
      <c r="AB78" s="42">
        <v>2.0487804878048781</v>
      </c>
      <c r="AC78" s="125">
        <v>1</v>
      </c>
      <c r="AD78" s="94">
        <f t="shared" si="37"/>
        <v>0.1001344576685851</v>
      </c>
      <c r="AE78" s="94">
        <f t="shared" si="38"/>
        <v>0.13699024611873131</v>
      </c>
      <c r="AF78" s="96">
        <f t="shared" si="11"/>
        <v>2.0289653543542206E-3</v>
      </c>
      <c r="AG78" s="95">
        <f t="shared" si="52"/>
        <v>2.73472675687178E-2</v>
      </c>
      <c r="AH78" s="94">
        <f t="shared" si="39"/>
        <v>0.10761401319565929</v>
      </c>
      <c r="AI78" s="94">
        <f t="shared" si="40"/>
        <v>0.28066294326764463</v>
      </c>
      <c r="AJ78" s="96">
        <f t="shared" si="41"/>
        <v>4.2906923055108098E-3</v>
      </c>
      <c r="AK78" s="95">
        <f t="shared" si="13"/>
        <v>2.3561365364486938E-2</v>
      </c>
      <c r="AL78" s="95">
        <f t="shared" si="14"/>
        <v>4.6490354866820259E-2</v>
      </c>
      <c r="AM78" s="94">
        <f t="shared" si="15"/>
        <v>0.18294382243262078</v>
      </c>
      <c r="AN78" s="93">
        <f t="shared" si="16"/>
        <v>1.9646406028735124</v>
      </c>
      <c r="AO78" s="96">
        <f t="shared" si="17"/>
        <v>7.2941769193683769E-3</v>
      </c>
      <c r="AP78" s="95">
        <f t="shared" si="18"/>
        <v>4.0054321119627791E-2</v>
      </c>
      <c r="AQ78" s="93">
        <f t="shared" si="19"/>
        <v>0.21444032517184647</v>
      </c>
      <c r="AR78" s="31">
        <v>1.7</v>
      </c>
      <c r="AS78" s="31">
        <v>1.7</v>
      </c>
      <c r="AT78" s="31">
        <v>7</v>
      </c>
      <c r="AU78" s="43">
        <v>0.09</v>
      </c>
      <c r="AV78" s="44">
        <v>0.35</v>
      </c>
      <c r="AW78" s="19">
        <v>1.7000000000000001E-2</v>
      </c>
      <c r="AX78" s="44">
        <v>0.13</v>
      </c>
      <c r="AY78" s="40">
        <v>6.0575670213371309</v>
      </c>
      <c r="AZ78" s="41">
        <v>0.5</v>
      </c>
      <c r="BA78" s="40">
        <v>0.72</v>
      </c>
      <c r="BB78" s="45">
        <v>1</v>
      </c>
      <c r="BC78" s="41">
        <v>10.143816871206576</v>
      </c>
      <c r="BD78" s="41">
        <v>46.469351153680122</v>
      </c>
      <c r="BE78" s="41">
        <v>43.386831975113296</v>
      </c>
      <c r="BF78" s="125">
        <v>1</v>
      </c>
      <c r="BG78" s="48">
        <f t="shared" si="42"/>
        <v>3.5127406110991841E-3</v>
      </c>
      <c r="BH78" s="48">
        <f t="shared" si="43"/>
        <v>3.5127406110991841E-3</v>
      </c>
      <c r="BI78" s="99">
        <f t="shared" si="44"/>
        <v>3.5632597475040404E-4</v>
      </c>
      <c r="BJ78" s="99">
        <f t="shared" si="45"/>
        <v>1.6323477696896088E-3</v>
      </c>
      <c r="BK78" s="48">
        <f t="shared" si="46"/>
        <v>1.5240668666591712E-3</v>
      </c>
      <c r="BL78" s="99">
        <f t="shared" si="20"/>
        <v>2.2636306969593648E-4</v>
      </c>
      <c r="BM78" s="48">
        <f t="shared" si="21"/>
        <v>9.6316652635919961E-4</v>
      </c>
      <c r="BN78" s="48">
        <f t="shared" si="22"/>
        <v>2.774991208472335E-3</v>
      </c>
      <c r="BO78" s="48">
        <f t="shared" si="23"/>
        <v>2.5909136733205909E-3</v>
      </c>
      <c r="BP78" s="99">
        <f t="shared" si="24"/>
        <v>3.84817218483092E-4</v>
      </c>
      <c r="BQ78" s="48">
        <f t="shared" si="25"/>
        <v>1.6373830948106394E-3</v>
      </c>
      <c r="BR78" s="40">
        <f t="shared" si="26"/>
        <v>0.56613168024886695</v>
      </c>
      <c r="BS78" s="31">
        <v>1.7</v>
      </c>
      <c r="BT78" s="31">
        <v>1.7</v>
      </c>
      <c r="BU78" s="43">
        <v>0.12</v>
      </c>
      <c r="BV78" s="44">
        <v>0.45</v>
      </c>
      <c r="BW78" s="19">
        <v>0.02</v>
      </c>
      <c r="BX78" s="44">
        <v>0.15</v>
      </c>
      <c r="BY78" s="40">
        <v>16.083936408780207</v>
      </c>
      <c r="BZ78" s="40">
        <v>0.52</v>
      </c>
      <c r="CA78" s="40">
        <v>0.65</v>
      </c>
      <c r="CB78" s="45">
        <v>1</v>
      </c>
      <c r="CC78" s="41">
        <v>2.975124018439018</v>
      </c>
      <c r="CD78" s="41">
        <v>19.178261311007411</v>
      </c>
      <c r="CE78" s="41">
        <v>77.846614670553578</v>
      </c>
      <c r="CF78" s="125">
        <v>1</v>
      </c>
      <c r="CG78" s="40">
        <f t="shared" si="47"/>
        <v>2.1127722095712398E-2</v>
      </c>
      <c r="CH78" s="40">
        <f t="shared" si="48"/>
        <v>2.1127722095712398E-2</v>
      </c>
      <c r="CI78" s="99">
        <f t="shared" si="49"/>
        <v>6.2857593461858698E-4</v>
      </c>
      <c r="CJ78" s="100">
        <f t="shared" si="50"/>
        <v>4.0519297525791753E-3</v>
      </c>
      <c r="CK78" s="100">
        <f t="shared" si="51"/>
        <v>1.6447216408514639E-2</v>
      </c>
      <c r="CL78" s="101">
        <f t="shared" si="27"/>
        <v>5.074687346819745E-4</v>
      </c>
      <c r="CM78" s="100">
        <f t="shared" si="28"/>
        <v>3.8519234991000535E-3</v>
      </c>
      <c r="CN78" s="100">
        <f t="shared" si="29"/>
        <v>6.8882805793845977E-3</v>
      </c>
      <c r="CO78" s="100">
        <f t="shared" si="30"/>
        <v>2.7960267894474887E-2</v>
      </c>
      <c r="CP78" s="101">
        <f t="shared" si="31"/>
        <v>8.6269684895935663E-4</v>
      </c>
      <c r="CQ78" s="100">
        <f t="shared" si="32"/>
        <v>6.5482699484700913E-3</v>
      </c>
      <c r="CR78" s="99">
        <f t="shared" si="33"/>
        <v>0.22153385329446429</v>
      </c>
      <c r="CS78" s="31">
        <v>1.7</v>
      </c>
      <c r="CT78" s="31">
        <v>1.7</v>
      </c>
      <c r="CU78" s="43">
        <v>0.04</v>
      </c>
      <c r="CV78" s="44">
        <v>0.22</v>
      </c>
      <c r="CW78" s="19">
        <v>2.1000000000000001E-2</v>
      </c>
      <c r="CX78" s="44">
        <v>0.18</v>
      </c>
      <c r="CY78" s="124"/>
    </row>
    <row r="79" spans="1:196" s="23" customFormat="1" x14ac:dyDescent="0.25">
      <c r="A79" s="31">
        <v>65</v>
      </c>
      <c r="B79" s="83">
        <v>3</v>
      </c>
      <c r="C79" s="31">
        <v>60</v>
      </c>
      <c r="D79" s="31" t="s">
        <v>26</v>
      </c>
      <c r="E79" s="31" t="s">
        <v>99</v>
      </c>
      <c r="F79" s="31" t="s">
        <v>70</v>
      </c>
      <c r="G79" s="31" t="str">
        <f t="shared" si="34"/>
        <v>Statlig 60 - 3 Ck</v>
      </c>
      <c r="H79" s="48">
        <f t="shared" ref="H79:H142" si="53">AD79+BG79+CG79</f>
        <v>0.12477492037539668</v>
      </c>
      <c r="I79" s="40">
        <f t="shared" ref="I79:I142" si="54">AE79+BH79+CH79</f>
        <v>0.1616307088255429</v>
      </c>
      <c r="J79" s="99">
        <f t="shared" ref="J79:J142" si="55">AF79+BI79+CI79</f>
        <v>3.0138672637232116E-3</v>
      </c>
      <c r="K79" s="48">
        <f t="shared" ref="K79:K142" si="56">AG79+BJ79+CJ79</f>
        <v>3.3031545090986589E-2</v>
      </c>
      <c r="L79" s="48">
        <f t="shared" ref="L79:L142" si="57">AH79+BK79+CK79</f>
        <v>0.12558529647083311</v>
      </c>
      <c r="M79" s="48">
        <f t="shared" si="35"/>
        <v>0.28066294326764463</v>
      </c>
      <c r="N79" s="99">
        <f t="shared" ref="N79:N142" si="58">AJ79+BL79+CL79</f>
        <v>5.0245241098887212E-3</v>
      </c>
      <c r="O79" s="48">
        <f t="shared" ref="O79:O142" si="59">AK79+BM79+CM79</f>
        <v>2.8376455389946192E-2</v>
      </c>
      <c r="P79" s="48">
        <f t="shared" ref="P79:P142" si="60">AL79+BN79+CN79</f>
        <v>5.6153626654677193E-2</v>
      </c>
      <c r="Q79" s="48">
        <f t="shared" ref="Q79:Q142" si="61">AM79+BO79+CO79</f>
        <v>0.21349500400041627</v>
      </c>
      <c r="R79" s="40">
        <f t="shared" si="36"/>
        <v>1.9646406028735124</v>
      </c>
      <c r="S79" s="99">
        <f t="shared" ref="S79:S142" si="62">AO79++BP79+CP79</f>
        <v>8.5416909868108251E-3</v>
      </c>
      <c r="T79" s="48">
        <f t="shared" ref="T79:T142" si="63">AP79++BQ79+CQ79</f>
        <v>4.8239974162908518E-2</v>
      </c>
      <c r="U79" s="40">
        <v>7.3025919999999998</v>
      </c>
      <c r="V79" s="40">
        <v>1.25</v>
      </c>
      <c r="W79" s="40">
        <v>0.45</v>
      </c>
      <c r="X79" s="40">
        <v>1.3680629955786825</v>
      </c>
      <c r="Y79" s="42">
        <v>1.4811020578762146</v>
      </c>
      <c r="Z79" s="42">
        <v>19.962930459308431</v>
      </c>
      <c r="AA79" s="42">
        <v>78.555967482815348</v>
      </c>
      <c r="AB79" s="42">
        <v>2.0487804878048781</v>
      </c>
      <c r="AC79" s="125">
        <v>1</v>
      </c>
      <c r="AD79" s="94">
        <f t="shared" si="37"/>
        <v>0.1001344576685851</v>
      </c>
      <c r="AE79" s="94">
        <f t="shared" si="38"/>
        <v>0.13699024611873131</v>
      </c>
      <c r="AF79" s="96">
        <f t="shared" ref="AF79:AF142" si="64">$AE79*Y79/100</f>
        <v>2.0289653543542206E-3</v>
      </c>
      <c r="AG79" s="95">
        <f t="shared" si="52"/>
        <v>2.73472675687178E-2</v>
      </c>
      <c r="AH79" s="94">
        <f t="shared" si="39"/>
        <v>0.10761401319565929</v>
      </c>
      <c r="AI79" s="94">
        <f t="shared" si="40"/>
        <v>0.28066294326764463</v>
      </c>
      <c r="AJ79" s="96">
        <f t="shared" ref="AJ79:AJ142" si="65">AG79*AU79+AH79*AW79</f>
        <v>4.2906923055108098E-3</v>
      </c>
      <c r="AK79" s="95">
        <f t="shared" ref="AK79:AK142" si="66">AG79*AV79+AH79*AX79</f>
        <v>2.3561365364486938E-2</v>
      </c>
      <c r="AL79" s="95">
        <f t="shared" ref="AL79:AL142" si="67">AG79*AR79</f>
        <v>4.6490354866820259E-2</v>
      </c>
      <c r="AM79" s="94">
        <f t="shared" ref="AM79:AM142" si="68">AH79*AS79</f>
        <v>0.18294382243262078</v>
      </c>
      <c r="AN79" s="93">
        <f t="shared" ref="AN79:AN142" si="69">AI79*AT79</f>
        <v>1.9646406028735124</v>
      </c>
      <c r="AO79" s="96">
        <f t="shared" ref="AO79:AO142" si="70">AL79*AU79+AM79*AW79</f>
        <v>7.2941769193683769E-3</v>
      </c>
      <c r="AP79" s="95">
        <f t="shared" ref="AP79:AP142" si="71">AL79*AV79+AM79*AX79</f>
        <v>4.0054321119627791E-2</v>
      </c>
      <c r="AQ79" s="93">
        <f t="shared" ref="AQ79:AQ142" si="72">(AF79+AG79)/AE79</f>
        <v>0.21444032517184647</v>
      </c>
      <c r="AR79" s="31">
        <v>1.7</v>
      </c>
      <c r="AS79" s="31">
        <v>1.7</v>
      </c>
      <c r="AT79" s="31">
        <v>7</v>
      </c>
      <c r="AU79" s="43">
        <v>0.09</v>
      </c>
      <c r="AV79" s="44">
        <v>0.35</v>
      </c>
      <c r="AW79" s="19">
        <v>1.7000000000000001E-2</v>
      </c>
      <c r="AX79" s="44">
        <v>0.13</v>
      </c>
      <c r="AY79" s="40">
        <v>6.0575670213371309</v>
      </c>
      <c r="AZ79" s="41">
        <v>0.5</v>
      </c>
      <c r="BA79" s="40">
        <v>0.72</v>
      </c>
      <c r="BB79" s="45">
        <v>1</v>
      </c>
      <c r="BC79" s="41">
        <v>10.143816871206576</v>
      </c>
      <c r="BD79" s="41">
        <v>46.469351153680122</v>
      </c>
      <c r="BE79" s="41">
        <v>43.386831975113296</v>
      </c>
      <c r="BF79" s="125">
        <v>1</v>
      </c>
      <c r="BG79" s="48">
        <f t="shared" si="42"/>
        <v>3.5127406110991841E-3</v>
      </c>
      <c r="BH79" s="48">
        <f t="shared" si="43"/>
        <v>3.5127406110991841E-3</v>
      </c>
      <c r="BI79" s="99">
        <f t="shared" si="44"/>
        <v>3.5632597475040404E-4</v>
      </c>
      <c r="BJ79" s="99">
        <f t="shared" si="45"/>
        <v>1.6323477696896088E-3</v>
      </c>
      <c r="BK79" s="48">
        <f t="shared" si="46"/>
        <v>1.5240668666591712E-3</v>
      </c>
      <c r="BL79" s="99">
        <f t="shared" ref="BL79:BL142" si="73">BJ79*BU79+BK79*BW79</f>
        <v>2.2636306969593648E-4</v>
      </c>
      <c r="BM79" s="48">
        <f t="shared" ref="BM79:BM142" si="74">BJ79*BV79+BK79*BX79</f>
        <v>9.6316652635919961E-4</v>
      </c>
      <c r="BN79" s="48">
        <f t="shared" ref="BN79:BN142" si="75">BJ79*BS79</f>
        <v>2.774991208472335E-3</v>
      </c>
      <c r="BO79" s="48">
        <f t="shared" ref="BO79:BO142" si="76">BK79*BT79</f>
        <v>2.5909136733205909E-3</v>
      </c>
      <c r="BP79" s="99">
        <f t="shared" ref="BP79:BP142" si="77">BN79*BU79+BO79*BW79</f>
        <v>3.84817218483092E-4</v>
      </c>
      <c r="BQ79" s="48">
        <f t="shared" ref="BQ79:BQ142" si="78">BN79*BV79+BO79*BX79</f>
        <v>1.6373830948106394E-3</v>
      </c>
      <c r="BR79" s="40">
        <f t="shared" ref="BR79:BR142" si="79">(BI79+BJ79)/BH79</f>
        <v>0.56613168024886695</v>
      </c>
      <c r="BS79" s="31">
        <v>1.7</v>
      </c>
      <c r="BT79" s="31">
        <v>1.7</v>
      </c>
      <c r="BU79" s="43">
        <v>0.12</v>
      </c>
      <c r="BV79" s="44">
        <v>0.45</v>
      </c>
      <c r="BW79" s="19">
        <v>0.02</v>
      </c>
      <c r="BX79" s="44">
        <v>0.15</v>
      </c>
      <c r="BY79" s="40">
        <v>16.083936408780207</v>
      </c>
      <c r="BZ79" s="40">
        <v>0.52</v>
      </c>
      <c r="CA79" s="40">
        <v>0.65</v>
      </c>
      <c r="CB79" s="45">
        <v>1</v>
      </c>
      <c r="CC79" s="41">
        <v>2.975124018439018</v>
      </c>
      <c r="CD79" s="41">
        <v>19.178261311007411</v>
      </c>
      <c r="CE79" s="41">
        <v>77.846614670553578</v>
      </c>
      <c r="CF79" s="125">
        <v>1</v>
      </c>
      <c r="CG79" s="40">
        <f t="shared" si="47"/>
        <v>2.1127722095712398E-2</v>
      </c>
      <c r="CH79" s="40">
        <f t="shared" si="48"/>
        <v>2.1127722095712398E-2</v>
      </c>
      <c r="CI79" s="99">
        <f t="shared" si="49"/>
        <v>6.2857593461858698E-4</v>
      </c>
      <c r="CJ79" s="100">
        <f t="shared" si="50"/>
        <v>4.0519297525791753E-3</v>
      </c>
      <c r="CK79" s="100">
        <f t="shared" si="51"/>
        <v>1.6447216408514639E-2</v>
      </c>
      <c r="CL79" s="101">
        <f t="shared" ref="CL79:CL142" si="80">CJ79*CU79+CK79*CW79</f>
        <v>5.074687346819745E-4</v>
      </c>
      <c r="CM79" s="100">
        <f t="shared" ref="CM79:CM142" si="81">CJ79*CV79+CK79*CX79</f>
        <v>3.8519234991000535E-3</v>
      </c>
      <c r="CN79" s="100">
        <f t="shared" ref="CN79:CN142" si="82">CJ79*CS79</f>
        <v>6.8882805793845977E-3</v>
      </c>
      <c r="CO79" s="100">
        <f t="shared" ref="CO79:CO142" si="83">CK79*CT79</f>
        <v>2.7960267894474887E-2</v>
      </c>
      <c r="CP79" s="101">
        <f t="shared" ref="CP79:CP142" si="84">CN79*CU79+CO79*CW79</f>
        <v>8.6269684895935663E-4</v>
      </c>
      <c r="CQ79" s="100">
        <f t="shared" ref="CQ79:CQ142" si="85">CN79*CV79+CO79*CX79</f>
        <v>6.5482699484700913E-3</v>
      </c>
      <c r="CR79" s="99">
        <f t="shared" ref="CR79:CR142" si="86">(CI79+CJ79)/CH79</f>
        <v>0.22153385329446429</v>
      </c>
      <c r="CS79" s="31">
        <v>1.7</v>
      </c>
      <c r="CT79" s="31">
        <v>1.7</v>
      </c>
      <c r="CU79" s="43">
        <v>0.04</v>
      </c>
      <c r="CV79" s="44">
        <v>0.22</v>
      </c>
      <c r="CW79" s="19">
        <v>2.1000000000000001E-2</v>
      </c>
      <c r="CX79" s="44">
        <v>0.18</v>
      </c>
      <c r="CY79" s="124"/>
    </row>
    <row r="80" spans="1:196" s="23" customFormat="1" x14ac:dyDescent="0.25">
      <c r="A80" s="31">
        <v>66</v>
      </c>
      <c r="B80" s="83">
        <v>3</v>
      </c>
      <c r="C80" s="31">
        <v>60</v>
      </c>
      <c r="D80" s="31" t="s">
        <v>26</v>
      </c>
      <c r="E80" s="31" t="s">
        <v>99</v>
      </c>
      <c r="F80" s="31" t="s">
        <v>71</v>
      </c>
      <c r="G80" s="31" t="str">
        <f t="shared" ref="G80:G143" si="87">D80&amp;" "&amp;C80&amp;" "&amp;E80&amp;" "&amp;B80&amp;" "&amp;F80</f>
        <v>Statlig 60 - 3 Cm</v>
      </c>
      <c r="H80" s="48">
        <f t="shared" si="53"/>
        <v>0.1097547517251089</v>
      </c>
      <c r="I80" s="40">
        <f t="shared" si="54"/>
        <v>0.1410821719077332</v>
      </c>
      <c r="J80" s="99">
        <f t="shared" si="55"/>
        <v>2.7095224605700784E-3</v>
      </c>
      <c r="K80" s="48">
        <f t="shared" si="56"/>
        <v>2.8929454955678915E-2</v>
      </c>
      <c r="L80" s="48">
        <f t="shared" si="57"/>
        <v>0.10944319449148421</v>
      </c>
      <c r="M80" s="48">
        <f t="shared" ref="M80:M143" si="88">AI80</f>
        <v>0.23856350177749797</v>
      </c>
      <c r="N80" s="99">
        <f t="shared" si="58"/>
        <v>4.3809202640620994E-3</v>
      </c>
      <c r="O80" s="48">
        <f t="shared" si="59"/>
        <v>2.4842250585273153E-2</v>
      </c>
      <c r="P80" s="48">
        <f t="shared" si="60"/>
        <v>4.918007342465415E-2</v>
      </c>
      <c r="Q80" s="48">
        <f t="shared" si="61"/>
        <v>0.18605343063552318</v>
      </c>
      <c r="R80" s="40">
        <f t="shared" ref="R80:R143" si="89">AN80</f>
        <v>1.6699445124424859</v>
      </c>
      <c r="S80" s="99">
        <f t="shared" si="62"/>
        <v>7.4475644489055684E-3</v>
      </c>
      <c r="T80" s="48">
        <f t="shared" si="63"/>
        <v>4.2231825994964355E-2</v>
      </c>
      <c r="U80" s="40">
        <v>6.2072031999999995</v>
      </c>
      <c r="V80" s="40">
        <v>1.25</v>
      </c>
      <c r="W80" s="40">
        <v>0.45</v>
      </c>
      <c r="X80" s="40">
        <v>1.3680629955786827</v>
      </c>
      <c r="Y80" s="42">
        <v>1.4811020578762146</v>
      </c>
      <c r="Z80" s="42">
        <v>19.962930459308431</v>
      </c>
      <c r="AA80" s="42">
        <v>78.555967482815362</v>
      </c>
      <c r="AB80" s="42">
        <v>2.0487804878048785</v>
      </c>
      <c r="AC80" s="125">
        <v>1</v>
      </c>
      <c r="AD80" s="94">
        <f t="shared" ref="AD80:AD143" si="90">AC80*$E$7*U80/10^6*($B$7)^V80*($B$8/$B$7)^W80</f>
        <v>8.5114289018297318E-2</v>
      </c>
      <c r="AE80" s="94">
        <f t="shared" ref="AE80:AE143" si="91">X80*AD80</f>
        <v>0.1164417092009216</v>
      </c>
      <c r="AF80" s="96">
        <f t="shared" si="64"/>
        <v>1.7246205512010872E-3</v>
      </c>
      <c r="AG80" s="95">
        <f t="shared" si="52"/>
        <v>2.324517743341013E-2</v>
      </c>
      <c r="AH80" s="94">
        <f t="shared" ref="AH80:AH143" si="92">$AE80*AA80/100</f>
        <v>9.1471911216310403E-2</v>
      </c>
      <c r="AI80" s="94">
        <f t="shared" ref="AI80:AI143" si="93">$AE80*AB80</f>
        <v>0.23856350177749797</v>
      </c>
      <c r="AJ80" s="96">
        <f t="shared" si="65"/>
        <v>3.6470884596841889E-3</v>
      </c>
      <c r="AK80" s="95">
        <f t="shared" si="66"/>
        <v>2.0027160559813899E-2</v>
      </c>
      <c r="AL80" s="95">
        <f t="shared" si="67"/>
        <v>3.9516801636797216E-2</v>
      </c>
      <c r="AM80" s="94">
        <f t="shared" si="68"/>
        <v>0.15550224906772769</v>
      </c>
      <c r="AN80" s="93">
        <f t="shared" si="69"/>
        <v>1.6699445124424859</v>
      </c>
      <c r="AO80" s="96">
        <f t="shared" si="70"/>
        <v>6.2000503814631201E-3</v>
      </c>
      <c r="AP80" s="95">
        <f t="shared" si="71"/>
        <v>3.4046172951683627E-2</v>
      </c>
      <c r="AQ80" s="93">
        <f t="shared" si="72"/>
        <v>0.2144403251718465</v>
      </c>
      <c r="AR80" s="31">
        <v>1.7</v>
      </c>
      <c r="AS80" s="31">
        <v>1.7</v>
      </c>
      <c r="AT80" s="31">
        <v>7</v>
      </c>
      <c r="AU80" s="43">
        <v>0.09</v>
      </c>
      <c r="AV80" s="44">
        <v>0.35</v>
      </c>
      <c r="AW80" s="19">
        <v>1.7000000000000001E-2</v>
      </c>
      <c r="AX80" s="44">
        <v>0.13</v>
      </c>
      <c r="AY80" s="40">
        <v>6.0575670213371309</v>
      </c>
      <c r="AZ80" s="41">
        <v>0.5</v>
      </c>
      <c r="BA80" s="40">
        <v>0.72</v>
      </c>
      <c r="BB80" s="45">
        <v>1</v>
      </c>
      <c r="BC80" s="41">
        <v>10.143816871206576</v>
      </c>
      <c r="BD80" s="41">
        <v>46.469351153680122</v>
      </c>
      <c r="BE80" s="41">
        <v>43.386831975113296</v>
      </c>
      <c r="BF80" s="125">
        <v>1</v>
      </c>
      <c r="BG80" s="48">
        <f t="shared" ref="BG80:BG143" si="94">BF80*$E$8*AY80/10^6*($B$7)^AZ80*($B$9)^BA80</f>
        <v>3.5127406110991841E-3</v>
      </c>
      <c r="BH80" s="48">
        <f t="shared" ref="BH80:BH143" si="95">BB80*BG80</f>
        <v>3.5127406110991841E-3</v>
      </c>
      <c r="BI80" s="99">
        <f t="shared" ref="BI80:BI143" si="96">$BH80*BC80/100</f>
        <v>3.5632597475040404E-4</v>
      </c>
      <c r="BJ80" s="99">
        <f t="shared" ref="BJ80:BJ143" si="97">$BH80*BD80/100</f>
        <v>1.6323477696896088E-3</v>
      </c>
      <c r="BK80" s="48">
        <f t="shared" ref="BK80:BK143" si="98">$BH80*BE80/100</f>
        <v>1.5240668666591712E-3</v>
      </c>
      <c r="BL80" s="99">
        <f t="shared" si="73"/>
        <v>2.2636306969593648E-4</v>
      </c>
      <c r="BM80" s="48">
        <f t="shared" si="74"/>
        <v>9.6316652635919961E-4</v>
      </c>
      <c r="BN80" s="48">
        <f t="shared" si="75"/>
        <v>2.774991208472335E-3</v>
      </c>
      <c r="BO80" s="48">
        <f t="shared" si="76"/>
        <v>2.5909136733205909E-3</v>
      </c>
      <c r="BP80" s="99">
        <f t="shared" si="77"/>
        <v>3.84817218483092E-4</v>
      </c>
      <c r="BQ80" s="48">
        <f t="shared" si="78"/>
        <v>1.6373830948106394E-3</v>
      </c>
      <c r="BR80" s="40">
        <f t="shared" si="79"/>
        <v>0.56613168024886695</v>
      </c>
      <c r="BS80" s="31">
        <v>1.7</v>
      </c>
      <c r="BT80" s="31">
        <v>1.7</v>
      </c>
      <c r="BU80" s="43">
        <v>0.12</v>
      </c>
      <c r="BV80" s="44">
        <v>0.45</v>
      </c>
      <c r="BW80" s="19">
        <v>0.02</v>
      </c>
      <c r="BX80" s="44">
        <v>0.15</v>
      </c>
      <c r="BY80" s="40">
        <v>16.083936408780207</v>
      </c>
      <c r="BZ80" s="40">
        <v>0.52</v>
      </c>
      <c r="CA80" s="40">
        <v>0.65</v>
      </c>
      <c r="CB80" s="45">
        <v>1</v>
      </c>
      <c r="CC80" s="41">
        <v>2.975124018439018</v>
      </c>
      <c r="CD80" s="41">
        <v>19.178261311007411</v>
      </c>
      <c r="CE80" s="41">
        <v>77.846614670553578</v>
      </c>
      <c r="CF80" s="125">
        <v>1</v>
      </c>
      <c r="CG80" s="40">
        <f t="shared" ref="CG80:CG143" si="99">CF80*$E$9*BY80/10^6*($B$7)^BZ80*($B$10)^CA80</f>
        <v>2.1127722095712398E-2</v>
      </c>
      <c r="CH80" s="40">
        <f t="shared" ref="CH80:CH143" si="100">CB80*CG80</f>
        <v>2.1127722095712398E-2</v>
      </c>
      <c r="CI80" s="99">
        <f t="shared" ref="CI80:CI143" si="101">CC80/100*CH80</f>
        <v>6.2857593461858698E-4</v>
      </c>
      <c r="CJ80" s="100">
        <f t="shared" ref="CJ80:CJ143" si="102">CD80/100*CH80</f>
        <v>4.0519297525791753E-3</v>
      </c>
      <c r="CK80" s="100">
        <f t="shared" ref="CK80:CK143" si="103">CE80/100*CH80</f>
        <v>1.6447216408514639E-2</v>
      </c>
      <c r="CL80" s="101">
        <f t="shared" si="80"/>
        <v>5.074687346819745E-4</v>
      </c>
      <c r="CM80" s="100">
        <f t="shared" si="81"/>
        <v>3.8519234991000535E-3</v>
      </c>
      <c r="CN80" s="100">
        <f t="shared" si="82"/>
        <v>6.8882805793845977E-3</v>
      </c>
      <c r="CO80" s="100">
        <f t="shared" si="83"/>
        <v>2.7960267894474887E-2</v>
      </c>
      <c r="CP80" s="101">
        <f t="shared" si="84"/>
        <v>8.6269684895935663E-4</v>
      </c>
      <c r="CQ80" s="100">
        <f t="shared" si="85"/>
        <v>6.5482699484700913E-3</v>
      </c>
      <c r="CR80" s="99">
        <f t="shared" si="86"/>
        <v>0.22153385329446429</v>
      </c>
      <c r="CS80" s="31">
        <v>1.7</v>
      </c>
      <c r="CT80" s="31">
        <v>1.7</v>
      </c>
      <c r="CU80" s="43">
        <v>0.04</v>
      </c>
      <c r="CV80" s="44">
        <v>0.22</v>
      </c>
      <c r="CW80" s="19">
        <v>2.1000000000000001E-2</v>
      </c>
      <c r="CX80" s="44">
        <v>0.18</v>
      </c>
      <c r="CY80" s="124"/>
    </row>
    <row r="81" spans="1:196" s="23" customFormat="1" x14ac:dyDescent="0.25">
      <c r="A81" s="31">
        <v>67</v>
      </c>
      <c r="B81" s="83">
        <v>3</v>
      </c>
      <c r="C81" s="31">
        <v>60</v>
      </c>
      <c r="D81" s="31" t="s">
        <v>26</v>
      </c>
      <c r="E81" s="31" t="s">
        <v>99</v>
      </c>
      <c r="F81" s="31" t="s">
        <v>0</v>
      </c>
      <c r="G81" s="31" t="str">
        <f t="shared" si="87"/>
        <v>Statlig 60 - 3 D</v>
      </c>
      <c r="H81" s="48">
        <f t="shared" si="53"/>
        <v>6.0147965370782965E-2</v>
      </c>
      <c r="I81" s="40">
        <f t="shared" si="54"/>
        <v>8.8091870642444309E-2</v>
      </c>
      <c r="J81" s="99">
        <f t="shared" si="55"/>
        <v>9.8490190936899097E-4</v>
      </c>
      <c r="K81" s="48">
        <f t="shared" si="56"/>
        <v>1.6573398049817899E-2</v>
      </c>
      <c r="L81" s="48">
        <f t="shared" si="57"/>
        <v>7.0533570683257413E-2</v>
      </c>
      <c r="M81" s="48">
        <f t="shared" si="88"/>
        <v>0.24880945788933143</v>
      </c>
      <c r="N81" s="99">
        <f t="shared" si="58"/>
        <v>2.6074115377947528E-3</v>
      </c>
      <c r="O81" s="48">
        <f t="shared" si="59"/>
        <v>1.5459379573152311E-2</v>
      </c>
      <c r="P81" s="48">
        <f t="shared" si="60"/>
        <v>2.8174776684690428E-2</v>
      </c>
      <c r="Q81" s="48">
        <f t="shared" si="61"/>
        <v>0.11990707016153762</v>
      </c>
      <c r="R81" s="40">
        <f t="shared" si="89"/>
        <v>1.74166620522532</v>
      </c>
      <c r="S81" s="99">
        <f t="shared" si="62"/>
        <v>4.4325996142510794E-3</v>
      </c>
      <c r="T81" s="48">
        <f t="shared" si="63"/>
        <v>2.6280945274358931E-2</v>
      </c>
      <c r="U81" s="40">
        <v>1.4671182240000002</v>
      </c>
      <c r="V81" s="40">
        <v>1.2</v>
      </c>
      <c r="W81" s="45">
        <v>0</v>
      </c>
      <c r="X81" s="40">
        <v>1.7869859374823158</v>
      </c>
      <c r="Y81" s="42">
        <v>0</v>
      </c>
      <c r="Z81" s="42">
        <v>17.161353674918313</v>
      </c>
      <c r="AA81" s="42">
        <v>82.838646325081683</v>
      </c>
      <c r="AB81" s="42">
        <v>3.9212598425196843</v>
      </c>
      <c r="AC81" s="125">
        <v>1</v>
      </c>
      <c r="AD81" s="94">
        <f t="shared" si="90"/>
        <v>3.5507502663971381E-2</v>
      </c>
      <c r="AE81" s="94">
        <f t="shared" si="91"/>
        <v>6.3451407935632725E-2</v>
      </c>
      <c r="AF81" s="96">
        <f t="shared" si="64"/>
        <v>0</v>
      </c>
      <c r="AG81" s="95">
        <f t="shared" si="52"/>
        <v>1.0889120527549116E-2</v>
      </c>
      <c r="AH81" s="94">
        <f t="shared" si="92"/>
        <v>5.2562287408083608E-2</v>
      </c>
      <c r="AI81" s="94">
        <f t="shared" si="93"/>
        <v>0.24880945788933143</v>
      </c>
      <c r="AJ81" s="96">
        <f t="shared" si="65"/>
        <v>1.8735797334168418E-3</v>
      </c>
      <c r="AK81" s="95">
        <f t="shared" si="66"/>
        <v>1.0644289547693059E-2</v>
      </c>
      <c r="AL81" s="95">
        <f t="shared" si="67"/>
        <v>1.8511504896833498E-2</v>
      </c>
      <c r="AM81" s="94">
        <f t="shared" si="68"/>
        <v>8.9355888593742133E-2</v>
      </c>
      <c r="AN81" s="93">
        <f t="shared" si="69"/>
        <v>1.74166620522532</v>
      </c>
      <c r="AO81" s="96">
        <f t="shared" si="70"/>
        <v>3.1850855468086312E-3</v>
      </c>
      <c r="AP81" s="95">
        <f t="shared" si="71"/>
        <v>1.8095292231078204E-2</v>
      </c>
      <c r="AQ81" s="93">
        <f t="shared" si="72"/>
        <v>0.17161353674918312</v>
      </c>
      <c r="AR81" s="31">
        <v>1.7</v>
      </c>
      <c r="AS81" s="31">
        <v>1.7</v>
      </c>
      <c r="AT81" s="31">
        <v>7</v>
      </c>
      <c r="AU81" s="43">
        <v>0.09</v>
      </c>
      <c r="AV81" s="44">
        <v>0.35</v>
      </c>
      <c r="AW81" s="19">
        <v>1.7000000000000001E-2</v>
      </c>
      <c r="AX81" s="44">
        <v>0.13</v>
      </c>
      <c r="AY81" s="40">
        <v>6.0575670213371309</v>
      </c>
      <c r="AZ81" s="41">
        <v>0.5</v>
      </c>
      <c r="BA81" s="40">
        <v>0.72</v>
      </c>
      <c r="BB81" s="45">
        <v>1</v>
      </c>
      <c r="BC81" s="41">
        <v>10.143816871206576</v>
      </c>
      <c r="BD81" s="41">
        <v>46.469351153680122</v>
      </c>
      <c r="BE81" s="41">
        <v>43.386831975113296</v>
      </c>
      <c r="BF81" s="125">
        <v>1</v>
      </c>
      <c r="BG81" s="48">
        <f t="shared" si="94"/>
        <v>3.5127406110991841E-3</v>
      </c>
      <c r="BH81" s="48">
        <f t="shared" si="95"/>
        <v>3.5127406110991841E-3</v>
      </c>
      <c r="BI81" s="99">
        <f t="shared" si="96"/>
        <v>3.5632597475040404E-4</v>
      </c>
      <c r="BJ81" s="99">
        <f t="shared" si="97"/>
        <v>1.6323477696896088E-3</v>
      </c>
      <c r="BK81" s="48">
        <f t="shared" si="98"/>
        <v>1.5240668666591712E-3</v>
      </c>
      <c r="BL81" s="99">
        <f t="shared" si="73"/>
        <v>2.2636306969593648E-4</v>
      </c>
      <c r="BM81" s="48">
        <f t="shared" si="74"/>
        <v>9.6316652635919961E-4</v>
      </c>
      <c r="BN81" s="48">
        <f t="shared" si="75"/>
        <v>2.774991208472335E-3</v>
      </c>
      <c r="BO81" s="48">
        <f t="shared" si="76"/>
        <v>2.5909136733205909E-3</v>
      </c>
      <c r="BP81" s="99">
        <f t="shared" si="77"/>
        <v>3.84817218483092E-4</v>
      </c>
      <c r="BQ81" s="48">
        <f t="shared" si="78"/>
        <v>1.6373830948106394E-3</v>
      </c>
      <c r="BR81" s="40">
        <f t="shared" si="79"/>
        <v>0.56613168024886695</v>
      </c>
      <c r="BS81" s="31">
        <v>1.7</v>
      </c>
      <c r="BT81" s="31">
        <v>1.7</v>
      </c>
      <c r="BU81" s="43">
        <v>0.12</v>
      </c>
      <c r="BV81" s="44">
        <v>0.45</v>
      </c>
      <c r="BW81" s="19">
        <v>0.02</v>
      </c>
      <c r="BX81" s="44">
        <v>0.15</v>
      </c>
      <c r="BY81" s="40">
        <v>16.083936408780207</v>
      </c>
      <c r="BZ81" s="40">
        <v>0.52</v>
      </c>
      <c r="CA81" s="40">
        <v>0.65</v>
      </c>
      <c r="CB81" s="45">
        <v>1</v>
      </c>
      <c r="CC81" s="41">
        <v>2.975124018439018</v>
      </c>
      <c r="CD81" s="41">
        <v>19.178261311007411</v>
      </c>
      <c r="CE81" s="41">
        <v>77.846614670553578</v>
      </c>
      <c r="CF81" s="125">
        <v>1</v>
      </c>
      <c r="CG81" s="40">
        <f t="shared" si="99"/>
        <v>2.1127722095712398E-2</v>
      </c>
      <c r="CH81" s="40">
        <f t="shared" si="100"/>
        <v>2.1127722095712398E-2</v>
      </c>
      <c r="CI81" s="99">
        <f t="shared" si="101"/>
        <v>6.2857593461858698E-4</v>
      </c>
      <c r="CJ81" s="100">
        <f t="shared" si="102"/>
        <v>4.0519297525791753E-3</v>
      </c>
      <c r="CK81" s="100">
        <f t="shared" si="103"/>
        <v>1.6447216408514639E-2</v>
      </c>
      <c r="CL81" s="101">
        <f t="shared" si="80"/>
        <v>5.074687346819745E-4</v>
      </c>
      <c r="CM81" s="100">
        <f t="shared" si="81"/>
        <v>3.8519234991000535E-3</v>
      </c>
      <c r="CN81" s="100">
        <f t="shared" si="82"/>
        <v>6.8882805793845977E-3</v>
      </c>
      <c r="CO81" s="100">
        <f t="shared" si="83"/>
        <v>2.7960267894474887E-2</v>
      </c>
      <c r="CP81" s="101">
        <f t="shared" si="84"/>
        <v>8.6269684895935663E-4</v>
      </c>
      <c r="CQ81" s="100">
        <f t="shared" si="85"/>
        <v>6.5482699484700913E-3</v>
      </c>
      <c r="CR81" s="99">
        <f t="shared" si="86"/>
        <v>0.22153385329446429</v>
      </c>
      <c r="CS81" s="31">
        <v>1.7</v>
      </c>
      <c r="CT81" s="31">
        <v>1.7</v>
      </c>
      <c r="CU81" s="43">
        <v>0.04</v>
      </c>
      <c r="CV81" s="44">
        <v>0.22</v>
      </c>
      <c r="CW81" s="19">
        <v>2.1000000000000001E-2</v>
      </c>
      <c r="CX81" s="44">
        <v>0.18</v>
      </c>
      <c r="CY81" s="124"/>
    </row>
    <row r="82" spans="1:196" s="23" customFormat="1" x14ac:dyDescent="0.25">
      <c r="A82" s="31">
        <v>68</v>
      </c>
      <c r="B82" s="83">
        <v>3</v>
      </c>
      <c r="C82" s="31">
        <v>60</v>
      </c>
      <c r="D82" s="31" t="s">
        <v>26</v>
      </c>
      <c r="E82" s="31" t="s">
        <v>99</v>
      </c>
      <c r="F82" s="31" t="s">
        <v>63</v>
      </c>
      <c r="G82" s="31" t="str">
        <f t="shared" si="87"/>
        <v>Statlig 60 - 3 ES</v>
      </c>
      <c r="H82" s="48">
        <f t="shared" si="53"/>
        <v>0.10892468076638688</v>
      </c>
      <c r="I82" s="40">
        <f t="shared" si="54"/>
        <v>0.15147719452926003</v>
      </c>
      <c r="J82" s="99">
        <f t="shared" si="55"/>
        <v>2.8634833545342106E-3</v>
      </c>
      <c r="K82" s="48">
        <f t="shared" si="56"/>
        <v>3.1004606092843702E-2</v>
      </c>
      <c r="L82" s="48">
        <f t="shared" si="57"/>
        <v>0.11760910508188213</v>
      </c>
      <c r="M82" s="48">
        <f t="shared" si="88"/>
        <v>0.25986062129477244</v>
      </c>
      <c r="N82" s="99">
        <f t="shared" si="58"/>
        <v>4.7065043464436952E-3</v>
      </c>
      <c r="O82" s="48">
        <f t="shared" si="59"/>
        <v>2.6630121860032559E-2</v>
      </c>
      <c r="P82" s="48">
        <f t="shared" si="60"/>
        <v>5.2707830357834294E-2</v>
      </c>
      <c r="Q82" s="48">
        <f t="shared" si="61"/>
        <v>0.19993547863919964</v>
      </c>
      <c r="R82" s="40">
        <f t="shared" si="89"/>
        <v>1.819024349063407</v>
      </c>
      <c r="S82" s="99">
        <f t="shared" si="62"/>
        <v>8.0010573889542826E-3</v>
      </c>
      <c r="T82" s="48">
        <f t="shared" si="63"/>
        <v>4.5271207162055342E-2</v>
      </c>
      <c r="U82" s="40">
        <v>4.3382592000000004</v>
      </c>
      <c r="V82" s="40">
        <v>1.2</v>
      </c>
      <c r="W82" s="41">
        <v>0.1</v>
      </c>
      <c r="X82" s="40">
        <v>1.504869295136551</v>
      </c>
      <c r="Y82" s="42">
        <v>1.4811020578762146</v>
      </c>
      <c r="Z82" s="42">
        <v>19.962930459308435</v>
      </c>
      <c r="AA82" s="42">
        <v>78.555967482815362</v>
      </c>
      <c r="AB82" s="42">
        <v>2.0487804878048781</v>
      </c>
      <c r="AC82" s="125">
        <v>1</v>
      </c>
      <c r="AD82" s="94">
        <f t="shared" si="90"/>
        <v>8.4284218059575297E-2</v>
      </c>
      <c r="AE82" s="94">
        <f t="shared" si="91"/>
        <v>0.12683673182244845</v>
      </c>
      <c r="AF82" s="96">
        <f t="shared" si="64"/>
        <v>1.8785814451652196E-3</v>
      </c>
      <c r="AG82" s="95">
        <f t="shared" si="52"/>
        <v>2.5320328570574917E-2</v>
      </c>
      <c r="AH82" s="94">
        <f t="shared" si="92"/>
        <v>9.9637821806708327E-2</v>
      </c>
      <c r="AI82" s="94">
        <f t="shared" si="93"/>
        <v>0.25986062129477244</v>
      </c>
      <c r="AJ82" s="96">
        <f t="shared" si="65"/>
        <v>3.9726725420657838E-3</v>
      </c>
      <c r="AK82" s="95">
        <f t="shared" si="66"/>
        <v>2.1815031834573305E-2</v>
      </c>
      <c r="AL82" s="95">
        <f t="shared" si="67"/>
        <v>4.3044558569977361E-2</v>
      </c>
      <c r="AM82" s="94">
        <f t="shared" si="68"/>
        <v>0.16938429707140415</v>
      </c>
      <c r="AN82" s="93">
        <f t="shared" si="69"/>
        <v>1.819024349063407</v>
      </c>
      <c r="AO82" s="96">
        <f t="shared" si="70"/>
        <v>6.7535433215118335E-3</v>
      </c>
      <c r="AP82" s="95">
        <f t="shared" si="71"/>
        <v>3.7085554118774615E-2</v>
      </c>
      <c r="AQ82" s="93">
        <f t="shared" si="72"/>
        <v>0.21444032517184652</v>
      </c>
      <c r="AR82" s="31">
        <v>1.7</v>
      </c>
      <c r="AS82" s="31">
        <v>1.7</v>
      </c>
      <c r="AT82" s="31">
        <v>7</v>
      </c>
      <c r="AU82" s="43">
        <v>0.09</v>
      </c>
      <c r="AV82" s="44">
        <v>0.35</v>
      </c>
      <c r="AW82" s="19">
        <v>1.7000000000000001E-2</v>
      </c>
      <c r="AX82" s="44">
        <v>0.13</v>
      </c>
      <c r="AY82" s="40">
        <v>6.0575670213371309</v>
      </c>
      <c r="AZ82" s="41">
        <v>0.5</v>
      </c>
      <c r="BA82" s="40">
        <v>0.72</v>
      </c>
      <c r="BB82" s="45">
        <v>1</v>
      </c>
      <c r="BC82" s="41">
        <v>10.143816871206576</v>
      </c>
      <c r="BD82" s="41">
        <v>46.469351153680122</v>
      </c>
      <c r="BE82" s="41">
        <v>43.386831975113296</v>
      </c>
      <c r="BF82" s="125">
        <v>1</v>
      </c>
      <c r="BG82" s="48">
        <f t="shared" si="94"/>
        <v>3.5127406110991841E-3</v>
      </c>
      <c r="BH82" s="48">
        <f t="shared" si="95"/>
        <v>3.5127406110991841E-3</v>
      </c>
      <c r="BI82" s="99">
        <f t="shared" si="96"/>
        <v>3.5632597475040404E-4</v>
      </c>
      <c r="BJ82" s="99">
        <f t="shared" si="97"/>
        <v>1.6323477696896088E-3</v>
      </c>
      <c r="BK82" s="48">
        <f t="shared" si="98"/>
        <v>1.5240668666591712E-3</v>
      </c>
      <c r="BL82" s="99">
        <f t="shared" si="73"/>
        <v>2.2636306969593648E-4</v>
      </c>
      <c r="BM82" s="48">
        <f t="shared" si="74"/>
        <v>9.6316652635919961E-4</v>
      </c>
      <c r="BN82" s="48">
        <f t="shared" si="75"/>
        <v>2.774991208472335E-3</v>
      </c>
      <c r="BO82" s="48">
        <f t="shared" si="76"/>
        <v>2.5909136733205909E-3</v>
      </c>
      <c r="BP82" s="99">
        <f t="shared" si="77"/>
        <v>3.84817218483092E-4</v>
      </c>
      <c r="BQ82" s="48">
        <f t="shared" si="78"/>
        <v>1.6373830948106394E-3</v>
      </c>
      <c r="BR82" s="40">
        <f t="shared" si="79"/>
        <v>0.56613168024886695</v>
      </c>
      <c r="BS82" s="31">
        <v>1.7</v>
      </c>
      <c r="BT82" s="31">
        <v>1.7</v>
      </c>
      <c r="BU82" s="43">
        <v>0.12</v>
      </c>
      <c r="BV82" s="44">
        <v>0.45</v>
      </c>
      <c r="BW82" s="19">
        <v>0.02</v>
      </c>
      <c r="BX82" s="44">
        <v>0.15</v>
      </c>
      <c r="BY82" s="40">
        <v>16.083936408780207</v>
      </c>
      <c r="BZ82" s="40">
        <v>0.52</v>
      </c>
      <c r="CA82" s="40">
        <v>0.65</v>
      </c>
      <c r="CB82" s="45">
        <v>1</v>
      </c>
      <c r="CC82" s="41">
        <v>2.975124018439018</v>
      </c>
      <c r="CD82" s="41">
        <v>19.178261311007411</v>
      </c>
      <c r="CE82" s="41">
        <v>77.846614670553578</v>
      </c>
      <c r="CF82" s="125">
        <v>1</v>
      </c>
      <c r="CG82" s="40">
        <f t="shared" si="99"/>
        <v>2.1127722095712398E-2</v>
      </c>
      <c r="CH82" s="40">
        <f t="shared" si="100"/>
        <v>2.1127722095712398E-2</v>
      </c>
      <c r="CI82" s="99">
        <f t="shared" si="101"/>
        <v>6.2857593461858698E-4</v>
      </c>
      <c r="CJ82" s="100">
        <f t="shared" si="102"/>
        <v>4.0519297525791753E-3</v>
      </c>
      <c r="CK82" s="100">
        <f t="shared" si="103"/>
        <v>1.6447216408514639E-2</v>
      </c>
      <c r="CL82" s="101">
        <f t="shared" si="80"/>
        <v>5.074687346819745E-4</v>
      </c>
      <c r="CM82" s="100">
        <f t="shared" si="81"/>
        <v>3.8519234991000535E-3</v>
      </c>
      <c r="CN82" s="100">
        <f t="shared" si="82"/>
        <v>6.8882805793845977E-3</v>
      </c>
      <c r="CO82" s="100">
        <f t="shared" si="83"/>
        <v>2.7960267894474887E-2</v>
      </c>
      <c r="CP82" s="101">
        <f t="shared" si="84"/>
        <v>8.6269684895935663E-4</v>
      </c>
      <c r="CQ82" s="100">
        <f t="shared" si="85"/>
        <v>6.5482699484700913E-3</v>
      </c>
      <c r="CR82" s="99">
        <f t="shared" si="86"/>
        <v>0.22153385329446429</v>
      </c>
      <c r="CS82" s="31">
        <v>1.7</v>
      </c>
      <c r="CT82" s="31">
        <v>1.7</v>
      </c>
      <c r="CU82" s="43">
        <v>0.04</v>
      </c>
      <c r="CV82" s="44">
        <v>0.22</v>
      </c>
      <c r="CW82" s="19">
        <v>2.1000000000000001E-2</v>
      </c>
      <c r="CX82" s="44">
        <v>0.18</v>
      </c>
      <c r="CY82" s="124"/>
    </row>
    <row r="83" spans="1:196" s="23" customFormat="1" x14ac:dyDescent="0.25">
      <c r="A83" s="31">
        <v>69</v>
      </c>
      <c r="B83" s="83">
        <v>3</v>
      </c>
      <c r="C83" s="31">
        <v>60</v>
      </c>
      <c r="D83" s="31" t="s">
        <v>26</v>
      </c>
      <c r="E83" s="31" t="s">
        <v>99</v>
      </c>
      <c r="F83" s="31" t="s">
        <v>64</v>
      </c>
      <c r="G83" s="31" t="str">
        <f t="shared" si="87"/>
        <v>Statlig 60 - 3 F</v>
      </c>
      <c r="H83" s="48">
        <f t="shared" si="53"/>
        <v>5.6512527891568541E-2</v>
      </c>
      <c r="I83" s="40">
        <f t="shared" si="54"/>
        <v>6.8234567809897631E-2</v>
      </c>
      <c r="J83" s="99">
        <f t="shared" si="55"/>
        <v>1.3044639526797806E-3</v>
      </c>
      <c r="K83" s="48">
        <f t="shared" si="56"/>
        <v>1.2800512148302523E-2</v>
      </c>
      <c r="L83" s="48">
        <f t="shared" si="57"/>
        <v>5.4129591708915327E-2</v>
      </c>
      <c r="M83" s="48">
        <f t="shared" si="88"/>
        <v>0.14431152034125036</v>
      </c>
      <c r="N83" s="99">
        <f t="shared" si="58"/>
        <v>1.9889841640945531E-3</v>
      </c>
      <c r="O83" s="48">
        <f t="shared" si="59"/>
        <v>1.200635224095746E-2</v>
      </c>
      <c r="P83" s="48">
        <f t="shared" si="60"/>
        <v>2.1760870652114291E-2</v>
      </c>
      <c r="Q83" s="48">
        <f t="shared" si="61"/>
        <v>9.2020305905156058E-2</v>
      </c>
      <c r="R83" s="40">
        <f t="shared" si="89"/>
        <v>1.0101806423887525</v>
      </c>
      <c r="S83" s="99">
        <f t="shared" si="62"/>
        <v>3.3812730789607405E-3</v>
      </c>
      <c r="T83" s="48">
        <f t="shared" si="63"/>
        <v>2.0410798809627678E-2</v>
      </c>
      <c r="U83" s="40">
        <v>2.3243615999999996</v>
      </c>
      <c r="V83" s="40">
        <v>1.25</v>
      </c>
      <c r="W83" s="40">
        <v>0.45</v>
      </c>
      <c r="X83" s="40">
        <v>1.3677841348020097</v>
      </c>
      <c r="Y83" s="42">
        <v>0.73303957623428273</v>
      </c>
      <c r="Z83" s="42">
        <v>16.323846100765532</v>
      </c>
      <c r="AA83" s="42">
        <v>82.943114323000174</v>
      </c>
      <c r="AB83" s="42">
        <v>3.3103448275862069</v>
      </c>
      <c r="AC83" s="125">
        <v>1</v>
      </c>
      <c r="AD83" s="94">
        <f t="shared" si="90"/>
        <v>3.1872065184756958E-2</v>
      </c>
      <c r="AE83" s="94">
        <f t="shared" si="91"/>
        <v>4.3594105103086048E-2</v>
      </c>
      <c r="AF83" s="96">
        <f t="shared" si="64"/>
        <v>3.1956204331078981E-4</v>
      </c>
      <c r="AG83" s="95">
        <f t="shared" si="52"/>
        <v>7.1162346260337395E-3</v>
      </c>
      <c r="AH83" s="94">
        <f t="shared" si="92"/>
        <v>3.6158308433741515E-2</v>
      </c>
      <c r="AI83" s="94">
        <f t="shared" si="93"/>
        <v>0.14431152034125036</v>
      </c>
      <c r="AJ83" s="96">
        <f t="shared" si="65"/>
        <v>1.2551523597166422E-3</v>
      </c>
      <c r="AK83" s="95">
        <f t="shared" si="66"/>
        <v>7.1912622154982064E-3</v>
      </c>
      <c r="AL83" s="95">
        <f t="shared" si="67"/>
        <v>1.2097598864257358E-2</v>
      </c>
      <c r="AM83" s="94">
        <f t="shared" si="68"/>
        <v>6.1469124337360577E-2</v>
      </c>
      <c r="AN83" s="93">
        <f t="shared" si="69"/>
        <v>1.0101806423887525</v>
      </c>
      <c r="AO83" s="96">
        <f t="shared" si="70"/>
        <v>2.1337590115182922E-3</v>
      </c>
      <c r="AP83" s="95">
        <f t="shared" si="71"/>
        <v>1.2225145766346949E-2</v>
      </c>
      <c r="AQ83" s="93">
        <f t="shared" si="72"/>
        <v>0.17056885676999814</v>
      </c>
      <c r="AR83" s="31">
        <v>1.7</v>
      </c>
      <c r="AS83" s="31">
        <v>1.7</v>
      </c>
      <c r="AT83" s="31">
        <v>7</v>
      </c>
      <c r="AU83" s="43">
        <v>0.09</v>
      </c>
      <c r="AV83" s="44">
        <v>0.35</v>
      </c>
      <c r="AW83" s="19">
        <v>1.7000000000000001E-2</v>
      </c>
      <c r="AX83" s="44">
        <v>0.13</v>
      </c>
      <c r="AY83" s="40">
        <v>6.05756702133713</v>
      </c>
      <c r="AZ83" s="41">
        <v>0.5</v>
      </c>
      <c r="BA83" s="40">
        <v>0.72</v>
      </c>
      <c r="BB83" s="45">
        <v>1</v>
      </c>
      <c r="BC83" s="41">
        <v>10.143816871206575</v>
      </c>
      <c r="BD83" s="41">
        <v>46.46935115368013</v>
      </c>
      <c r="BE83" s="41">
        <v>43.38683197511331</v>
      </c>
      <c r="BF83" s="125">
        <v>1</v>
      </c>
      <c r="BG83" s="48">
        <f t="shared" si="94"/>
        <v>3.5127406110991837E-3</v>
      </c>
      <c r="BH83" s="48">
        <f t="shared" si="95"/>
        <v>3.5127406110991837E-3</v>
      </c>
      <c r="BI83" s="99">
        <f t="shared" si="96"/>
        <v>3.5632597475040393E-4</v>
      </c>
      <c r="BJ83" s="99">
        <f t="shared" si="97"/>
        <v>1.6323477696896091E-3</v>
      </c>
      <c r="BK83" s="48">
        <f t="shared" si="98"/>
        <v>1.5240668666591714E-3</v>
      </c>
      <c r="BL83" s="99">
        <f t="shared" si="73"/>
        <v>2.2636306969593651E-4</v>
      </c>
      <c r="BM83" s="48">
        <f t="shared" si="74"/>
        <v>9.6316652635919982E-4</v>
      </c>
      <c r="BN83" s="48">
        <f t="shared" si="75"/>
        <v>2.7749912084723354E-3</v>
      </c>
      <c r="BO83" s="48">
        <f t="shared" si="76"/>
        <v>2.5909136733205914E-3</v>
      </c>
      <c r="BP83" s="99">
        <f t="shared" si="77"/>
        <v>3.8481721848309205E-4</v>
      </c>
      <c r="BQ83" s="48">
        <f t="shared" si="78"/>
        <v>1.6373830948106397E-3</v>
      </c>
      <c r="BR83" s="40">
        <f t="shared" si="79"/>
        <v>0.56613168024886706</v>
      </c>
      <c r="BS83" s="31">
        <v>1.7</v>
      </c>
      <c r="BT83" s="31">
        <v>1.7</v>
      </c>
      <c r="BU83" s="43">
        <v>0.12</v>
      </c>
      <c r="BV83" s="44">
        <v>0.45</v>
      </c>
      <c r="BW83" s="19">
        <v>0.02</v>
      </c>
      <c r="BX83" s="44">
        <v>0.15</v>
      </c>
      <c r="BY83" s="40">
        <v>16.083936408780207</v>
      </c>
      <c r="BZ83" s="40">
        <v>0.52</v>
      </c>
      <c r="CA83" s="40">
        <v>0.65</v>
      </c>
      <c r="CB83" s="45">
        <v>1</v>
      </c>
      <c r="CC83" s="41">
        <v>2.9751240184390171</v>
      </c>
      <c r="CD83" s="41">
        <v>19.178261311007414</v>
      </c>
      <c r="CE83" s="41">
        <v>77.846614670553578</v>
      </c>
      <c r="CF83" s="125">
        <v>1</v>
      </c>
      <c r="CG83" s="40">
        <f t="shared" si="99"/>
        <v>2.1127722095712398E-2</v>
      </c>
      <c r="CH83" s="40">
        <f t="shared" si="100"/>
        <v>2.1127722095712398E-2</v>
      </c>
      <c r="CI83" s="99">
        <f t="shared" si="101"/>
        <v>6.2857593461858687E-4</v>
      </c>
      <c r="CJ83" s="100">
        <f t="shared" si="102"/>
        <v>4.0519297525791753E-3</v>
      </c>
      <c r="CK83" s="100">
        <f t="shared" si="103"/>
        <v>1.6447216408514639E-2</v>
      </c>
      <c r="CL83" s="101">
        <f t="shared" si="80"/>
        <v>5.074687346819745E-4</v>
      </c>
      <c r="CM83" s="100">
        <f t="shared" si="81"/>
        <v>3.8519234991000535E-3</v>
      </c>
      <c r="CN83" s="100">
        <f t="shared" si="82"/>
        <v>6.8882805793845977E-3</v>
      </c>
      <c r="CO83" s="100">
        <f t="shared" si="83"/>
        <v>2.7960267894474887E-2</v>
      </c>
      <c r="CP83" s="101">
        <f t="shared" si="84"/>
        <v>8.6269684895935663E-4</v>
      </c>
      <c r="CQ83" s="100">
        <f t="shared" si="85"/>
        <v>6.5482699484700913E-3</v>
      </c>
      <c r="CR83" s="99">
        <f t="shared" si="86"/>
        <v>0.22153385329446429</v>
      </c>
      <c r="CS83" s="31">
        <v>1.7</v>
      </c>
      <c r="CT83" s="31">
        <v>1.7</v>
      </c>
      <c r="CU83" s="43">
        <v>0.04</v>
      </c>
      <c r="CV83" s="44">
        <v>0.22</v>
      </c>
      <c r="CW83" s="19">
        <v>2.1000000000000001E-2</v>
      </c>
      <c r="CX83" s="44">
        <v>0.18</v>
      </c>
      <c r="CY83" s="124"/>
    </row>
    <row r="84" spans="1:196" s="23" customFormat="1" x14ac:dyDescent="0.25">
      <c r="A84" s="31">
        <v>70</v>
      </c>
      <c r="B84" s="83">
        <v>3</v>
      </c>
      <c r="C84" s="31">
        <v>70</v>
      </c>
      <c r="D84" s="31" t="s">
        <v>36</v>
      </c>
      <c r="E84" s="31" t="s">
        <v>5</v>
      </c>
      <c r="F84" s="31" t="s">
        <v>12</v>
      </c>
      <c r="G84" s="31" t="str">
        <f t="shared" si="87"/>
        <v>Kommunal 70 M 3 A</v>
      </c>
      <c r="H84" s="48">
        <f t="shared" si="53"/>
        <v>9.1674094071364703E-2</v>
      </c>
      <c r="I84" s="40">
        <f t="shared" si="54"/>
        <v>0.12565980768393534</v>
      </c>
      <c r="J84" s="99">
        <f t="shared" si="55"/>
        <v>2.0137271919035914E-3</v>
      </c>
      <c r="K84" s="48">
        <f t="shared" si="56"/>
        <v>2.8351091352166027E-2</v>
      </c>
      <c r="L84" s="48">
        <f t="shared" si="57"/>
        <v>9.5294989139865713E-2</v>
      </c>
      <c r="M84" s="48">
        <f t="shared" si="88"/>
        <v>0.23058044957546225</v>
      </c>
      <c r="N84" s="99">
        <f t="shared" si="58"/>
        <v>4.4417798660564209E-3</v>
      </c>
      <c r="O84" s="48">
        <f t="shared" si="59"/>
        <v>2.2808464301737656E-2</v>
      </c>
      <c r="P84" s="48">
        <f t="shared" si="60"/>
        <v>4.2526637028249041E-2</v>
      </c>
      <c r="Q84" s="48">
        <f t="shared" si="61"/>
        <v>0.14294248370979856</v>
      </c>
      <c r="R84" s="40">
        <f t="shared" si="89"/>
        <v>1.6140631470282358</v>
      </c>
      <c r="S84" s="99">
        <f t="shared" si="62"/>
        <v>6.6626697990846305E-3</v>
      </c>
      <c r="T84" s="48">
        <f t="shared" si="63"/>
        <v>3.4212696452606481E-2</v>
      </c>
      <c r="U84" s="40">
        <v>4.7282400000000022</v>
      </c>
      <c r="V84" s="40">
        <v>1.25</v>
      </c>
      <c r="W84" s="40">
        <v>0.45</v>
      </c>
      <c r="X84" s="40">
        <v>1.5241919747630239</v>
      </c>
      <c r="Y84" s="42">
        <v>0.82304534923805894</v>
      </c>
      <c r="Z84" s="42">
        <v>22.086927970711699</v>
      </c>
      <c r="AA84" s="42">
        <v>77.090026680050244</v>
      </c>
      <c r="AB84" s="42">
        <v>2.333333333333333</v>
      </c>
      <c r="AC84" s="125">
        <v>1</v>
      </c>
      <c r="AD84" s="94">
        <f t="shared" si="90"/>
        <v>6.4834479062627487E-2</v>
      </c>
      <c r="AE84" s="94">
        <f t="shared" si="91"/>
        <v>9.8820192675198121E-2</v>
      </c>
      <c r="AF84" s="96">
        <f t="shared" si="64"/>
        <v>8.1333499992130719E-4</v>
      </c>
      <c r="AG84" s="95">
        <f t="shared" si="52"/>
        <v>2.1826344776689526E-2</v>
      </c>
      <c r="AH84" s="94">
        <f t="shared" si="92"/>
        <v>7.618051289858728E-2</v>
      </c>
      <c r="AI84" s="94">
        <f t="shared" si="93"/>
        <v>0.23058044957546225</v>
      </c>
      <c r="AJ84" s="96">
        <f t="shared" si="65"/>
        <v>3.1935373272083201E-3</v>
      </c>
      <c r="AK84" s="95">
        <f t="shared" si="66"/>
        <v>1.7213175238809077E-2</v>
      </c>
      <c r="AL84" s="95">
        <f t="shared" si="67"/>
        <v>3.2739517165034288E-2</v>
      </c>
      <c r="AM84" s="94">
        <f t="shared" si="68"/>
        <v>0.11427076934788091</v>
      </c>
      <c r="AN84" s="93">
        <f t="shared" si="69"/>
        <v>1.6140631470282358</v>
      </c>
      <c r="AO84" s="96">
        <f t="shared" si="70"/>
        <v>4.7903059908124806E-3</v>
      </c>
      <c r="AP84" s="95">
        <f t="shared" si="71"/>
        <v>2.5819762858213614E-2</v>
      </c>
      <c r="AQ84" s="93">
        <f t="shared" si="72"/>
        <v>0.22909973319949758</v>
      </c>
      <c r="AR84" s="31">
        <v>1.5</v>
      </c>
      <c r="AS84" s="31">
        <v>1.5</v>
      </c>
      <c r="AT84" s="31">
        <v>7</v>
      </c>
      <c r="AU84" s="43">
        <v>0.08</v>
      </c>
      <c r="AV84" s="44">
        <v>0.3</v>
      </c>
      <c r="AW84" s="43">
        <v>1.9E-2</v>
      </c>
      <c r="AX84" s="44">
        <v>0.14000000000000001</v>
      </c>
      <c r="AY84" s="40">
        <v>6.7734314201523551</v>
      </c>
      <c r="AZ84" s="41">
        <v>0.5</v>
      </c>
      <c r="BA84" s="40">
        <v>0.72</v>
      </c>
      <c r="BB84" s="45">
        <v>1</v>
      </c>
      <c r="BC84" s="41">
        <v>11.280218363357537</v>
      </c>
      <c r="BD84" s="41">
        <v>47.541244098024215</v>
      </c>
      <c r="BE84" s="41">
        <v>41.178537538618244</v>
      </c>
      <c r="BF84" s="125">
        <v>1</v>
      </c>
      <c r="BG84" s="48">
        <f t="shared" si="94"/>
        <v>3.9278653529139706E-3</v>
      </c>
      <c r="BH84" s="48">
        <f t="shared" si="95"/>
        <v>3.9278653529139706E-3</v>
      </c>
      <c r="BI84" s="99">
        <f t="shared" si="96"/>
        <v>4.4307178882736005E-4</v>
      </c>
      <c r="BJ84" s="99">
        <f t="shared" si="97"/>
        <v>1.8673560552705513E-3</v>
      </c>
      <c r="BK84" s="48">
        <f t="shared" si="98"/>
        <v>1.6174375088160594E-3</v>
      </c>
      <c r="BL84" s="99">
        <f t="shared" si="73"/>
        <v>2.9863091044064657E-4</v>
      </c>
      <c r="BM84" s="48">
        <f t="shared" si="74"/>
        <v>1.1077770449768433E-3</v>
      </c>
      <c r="BN84" s="48">
        <f t="shared" si="75"/>
        <v>2.8010340829058272E-3</v>
      </c>
      <c r="BO84" s="48">
        <f t="shared" si="76"/>
        <v>2.4261562632240889E-3</v>
      </c>
      <c r="BP84" s="99">
        <f t="shared" si="77"/>
        <v>4.4794636566096988E-4</v>
      </c>
      <c r="BQ84" s="48">
        <f t="shared" si="78"/>
        <v>1.6616655674652652E-3</v>
      </c>
      <c r="BR84" s="40">
        <f t="shared" si="79"/>
        <v>0.58821462461381757</v>
      </c>
      <c r="BS84" s="31">
        <v>1.5</v>
      </c>
      <c r="BT84" s="31">
        <v>1.5</v>
      </c>
      <c r="BU84" s="43">
        <v>0.14000000000000001</v>
      </c>
      <c r="BV84" s="44">
        <v>0.42</v>
      </c>
      <c r="BW84" s="43">
        <v>2.3E-2</v>
      </c>
      <c r="BX84" s="44">
        <v>0.2</v>
      </c>
      <c r="BY84" s="40">
        <v>17.442066059404368</v>
      </c>
      <c r="BZ84" s="40">
        <v>0.52</v>
      </c>
      <c r="CA84" s="40">
        <v>0.65</v>
      </c>
      <c r="CB84" s="45">
        <v>1</v>
      </c>
      <c r="CC84" s="41">
        <v>3.3053800540389702</v>
      </c>
      <c r="CD84" s="41">
        <v>20.327520115960358</v>
      </c>
      <c r="CE84" s="41">
        <v>76.367099830000683</v>
      </c>
      <c r="CF84" s="125">
        <v>1</v>
      </c>
      <c r="CG84" s="40">
        <f t="shared" si="99"/>
        <v>2.2911749655823248E-2</v>
      </c>
      <c r="CH84" s="40">
        <f t="shared" si="100"/>
        <v>2.2911749655823248E-2</v>
      </c>
      <c r="CI84" s="99">
        <f t="shared" si="101"/>
        <v>7.5732040315492396E-4</v>
      </c>
      <c r="CJ84" s="100">
        <f t="shared" si="102"/>
        <v>4.6573905202059486E-3</v>
      </c>
      <c r="CK84" s="100">
        <f t="shared" si="103"/>
        <v>1.7497038732462378E-2</v>
      </c>
      <c r="CL84" s="101">
        <f t="shared" si="80"/>
        <v>9.4961162840745362E-4</v>
      </c>
      <c r="CM84" s="100">
        <f t="shared" si="81"/>
        <v>4.4875120179517364E-3</v>
      </c>
      <c r="CN84" s="100">
        <f t="shared" si="82"/>
        <v>6.9860857803089229E-3</v>
      </c>
      <c r="CO84" s="100">
        <f t="shared" si="83"/>
        <v>2.6245558098693569E-2</v>
      </c>
      <c r="CP84" s="101">
        <f t="shared" si="84"/>
        <v>1.4244174426111802E-3</v>
      </c>
      <c r="CQ84" s="100">
        <f t="shared" si="85"/>
        <v>6.7312680269276046E-3</v>
      </c>
      <c r="CR84" s="99">
        <f t="shared" si="86"/>
        <v>0.23632900169999327</v>
      </c>
      <c r="CS84" s="31">
        <v>1.5</v>
      </c>
      <c r="CT84" s="31">
        <v>1.5</v>
      </c>
      <c r="CU84" s="43">
        <v>0.125</v>
      </c>
      <c r="CV84" s="44">
        <v>0.4</v>
      </c>
      <c r="CW84" s="43">
        <v>2.1000000000000001E-2</v>
      </c>
      <c r="CX84" s="44">
        <v>0.15</v>
      </c>
      <c r="CY84" s="124"/>
    </row>
    <row r="85" spans="1:196" s="23" customFormat="1" x14ac:dyDescent="0.25">
      <c r="A85" s="31">
        <v>71</v>
      </c>
      <c r="B85" s="83">
        <v>3</v>
      </c>
      <c r="C85" s="31">
        <v>70</v>
      </c>
      <c r="D85" s="31" t="s">
        <v>36</v>
      </c>
      <c r="E85" s="31" t="s">
        <v>5</v>
      </c>
      <c r="F85" s="31" t="s">
        <v>13</v>
      </c>
      <c r="G85" s="31" t="str">
        <f t="shared" si="87"/>
        <v>Kommunal 70 M 3 B</v>
      </c>
      <c r="H85" s="48">
        <f t="shared" si="53"/>
        <v>9.1674094071364703E-2</v>
      </c>
      <c r="I85" s="40">
        <f t="shared" si="54"/>
        <v>0.12565980768393534</v>
      </c>
      <c r="J85" s="99">
        <f t="shared" si="55"/>
        <v>2.0137271919035914E-3</v>
      </c>
      <c r="K85" s="48">
        <f t="shared" si="56"/>
        <v>2.8351091352166027E-2</v>
      </c>
      <c r="L85" s="48">
        <f t="shared" si="57"/>
        <v>9.5294989139865713E-2</v>
      </c>
      <c r="M85" s="48">
        <f t="shared" si="88"/>
        <v>0.23058044957546225</v>
      </c>
      <c r="N85" s="99">
        <f t="shared" si="58"/>
        <v>4.4417798660564209E-3</v>
      </c>
      <c r="O85" s="48">
        <f t="shared" si="59"/>
        <v>2.2808464301737656E-2</v>
      </c>
      <c r="P85" s="48">
        <f t="shared" si="60"/>
        <v>4.2526637028249041E-2</v>
      </c>
      <c r="Q85" s="48">
        <f t="shared" si="61"/>
        <v>0.14294248370979856</v>
      </c>
      <c r="R85" s="40">
        <f t="shared" si="89"/>
        <v>1.6140631470282358</v>
      </c>
      <c r="S85" s="99">
        <f t="shared" si="62"/>
        <v>6.6626697990846305E-3</v>
      </c>
      <c r="T85" s="48">
        <f t="shared" si="63"/>
        <v>3.4212696452606481E-2</v>
      </c>
      <c r="U85" s="40">
        <v>4.7282400000000022</v>
      </c>
      <c r="V85" s="40">
        <v>1.25</v>
      </c>
      <c r="W85" s="40">
        <v>0.45</v>
      </c>
      <c r="X85" s="40">
        <v>1.5241919747630239</v>
      </c>
      <c r="Y85" s="42">
        <v>0.82304534923805894</v>
      </c>
      <c r="Z85" s="42">
        <v>22.086927970711699</v>
      </c>
      <c r="AA85" s="42">
        <v>77.090026680050244</v>
      </c>
      <c r="AB85" s="42">
        <v>2.333333333333333</v>
      </c>
      <c r="AC85" s="125">
        <v>1</v>
      </c>
      <c r="AD85" s="94">
        <f t="shared" si="90"/>
        <v>6.4834479062627487E-2</v>
      </c>
      <c r="AE85" s="94">
        <f t="shared" si="91"/>
        <v>9.8820192675198121E-2</v>
      </c>
      <c r="AF85" s="96">
        <f t="shared" si="64"/>
        <v>8.1333499992130719E-4</v>
      </c>
      <c r="AG85" s="95">
        <f t="shared" si="52"/>
        <v>2.1826344776689526E-2</v>
      </c>
      <c r="AH85" s="94">
        <f t="shared" si="92"/>
        <v>7.618051289858728E-2</v>
      </c>
      <c r="AI85" s="94">
        <f t="shared" si="93"/>
        <v>0.23058044957546225</v>
      </c>
      <c r="AJ85" s="96">
        <f t="shared" si="65"/>
        <v>3.1935373272083201E-3</v>
      </c>
      <c r="AK85" s="95">
        <f t="shared" si="66"/>
        <v>1.7213175238809077E-2</v>
      </c>
      <c r="AL85" s="95">
        <f t="shared" si="67"/>
        <v>3.2739517165034288E-2</v>
      </c>
      <c r="AM85" s="94">
        <f t="shared" si="68"/>
        <v>0.11427076934788091</v>
      </c>
      <c r="AN85" s="93">
        <f t="shared" si="69"/>
        <v>1.6140631470282358</v>
      </c>
      <c r="AO85" s="96">
        <f t="shared" si="70"/>
        <v>4.7903059908124806E-3</v>
      </c>
      <c r="AP85" s="95">
        <f t="shared" si="71"/>
        <v>2.5819762858213614E-2</v>
      </c>
      <c r="AQ85" s="93">
        <f t="shared" si="72"/>
        <v>0.22909973319949758</v>
      </c>
      <c r="AR85" s="31">
        <v>1.5</v>
      </c>
      <c r="AS85" s="31">
        <v>1.5</v>
      </c>
      <c r="AT85" s="31">
        <v>7</v>
      </c>
      <c r="AU85" s="43">
        <v>0.08</v>
      </c>
      <c r="AV85" s="44">
        <v>0.3</v>
      </c>
      <c r="AW85" s="43">
        <v>1.9E-2</v>
      </c>
      <c r="AX85" s="44">
        <v>0.14000000000000001</v>
      </c>
      <c r="AY85" s="40">
        <v>6.7734314201523551</v>
      </c>
      <c r="AZ85" s="41">
        <v>0.5</v>
      </c>
      <c r="BA85" s="40">
        <v>0.72</v>
      </c>
      <c r="BB85" s="45">
        <v>1</v>
      </c>
      <c r="BC85" s="41">
        <v>11.280218363357537</v>
      </c>
      <c r="BD85" s="41">
        <v>47.541244098024215</v>
      </c>
      <c r="BE85" s="41">
        <v>41.178537538618244</v>
      </c>
      <c r="BF85" s="125">
        <v>1</v>
      </c>
      <c r="BG85" s="48">
        <f t="shared" si="94"/>
        <v>3.9278653529139706E-3</v>
      </c>
      <c r="BH85" s="48">
        <f t="shared" si="95"/>
        <v>3.9278653529139706E-3</v>
      </c>
      <c r="BI85" s="99">
        <f t="shared" si="96"/>
        <v>4.4307178882736005E-4</v>
      </c>
      <c r="BJ85" s="99">
        <f t="shared" si="97"/>
        <v>1.8673560552705513E-3</v>
      </c>
      <c r="BK85" s="48">
        <f t="shared" si="98"/>
        <v>1.6174375088160594E-3</v>
      </c>
      <c r="BL85" s="99">
        <f t="shared" si="73"/>
        <v>2.9863091044064657E-4</v>
      </c>
      <c r="BM85" s="48">
        <f t="shared" si="74"/>
        <v>1.1077770449768433E-3</v>
      </c>
      <c r="BN85" s="48">
        <f t="shared" si="75"/>
        <v>2.8010340829058272E-3</v>
      </c>
      <c r="BO85" s="48">
        <f t="shared" si="76"/>
        <v>2.4261562632240889E-3</v>
      </c>
      <c r="BP85" s="99">
        <f t="shared" si="77"/>
        <v>4.4794636566096988E-4</v>
      </c>
      <c r="BQ85" s="48">
        <f t="shared" si="78"/>
        <v>1.6616655674652652E-3</v>
      </c>
      <c r="BR85" s="40">
        <f t="shared" si="79"/>
        <v>0.58821462461381757</v>
      </c>
      <c r="BS85" s="31">
        <v>1.5</v>
      </c>
      <c r="BT85" s="31">
        <v>1.5</v>
      </c>
      <c r="BU85" s="43">
        <v>0.14000000000000001</v>
      </c>
      <c r="BV85" s="44">
        <v>0.42</v>
      </c>
      <c r="BW85" s="43">
        <v>2.3E-2</v>
      </c>
      <c r="BX85" s="44">
        <v>0.2</v>
      </c>
      <c r="BY85" s="40">
        <v>17.442066059404368</v>
      </c>
      <c r="BZ85" s="40">
        <v>0.52</v>
      </c>
      <c r="CA85" s="40">
        <v>0.65</v>
      </c>
      <c r="CB85" s="45">
        <v>1</v>
      </c>
      <c r="CC85" s="41">
        <v>3.3053800540389702</v>
      </c>
      <c r="CD85" s="41">
        <v>20.327520115960358</v>
      </c>
      <c r="CE85" s="41">
        <v>76.367099830000683</v>
      </c>
      <c r="CF85" s="125">
        <v>1</v>
      </c>
      <c r="CG85" s="40">
        <f t="shared" si="99"/>
        <v>2.2911749655823248E-2</v>
      </c>
      <c r="CH85" s="40">
        <f t="shared" si="100"/>
        <v>2.2911749655823248E-2</v>
      </c>
      <c r="CI85" s="99">
        <f t="shared" si="101"/>
        <v>7.5732040315492396E-4</v>
      </c>
      <c r="CJ85" s="100">
        <f t="shared" si="102"/>
        <v>4.6573905202059486E-3</v>
      </c>
      <c r="CK85" s="100">
        <f t="shared" si="103"/>
        <v>1.7497038732462378E-2</v>
      </c>
      <c r="CL85" s="101">
        <f t="shared" si="80"/>
        <v>9.4961162840745362E-4</v>
      </c>
      <c r="CM85" s="100">
        <f t="shared" si="81"/>
        <v>4.4875120179517364E-3</v>
      </c>
      <c r="CN85" s="100">
        <f t="shared" si="82"/>
        <v>6.9860857803089229E-3</v>
      </c>
      <c r="CO85" s="100">
        <f t="shared" si="83"/>
        <v>2.6245558098693569E-2</v>
      </c>
      <c r="CP85" s="101">
        <f t="shared" si="84"/>
        <v>1.4244174426111802E-3</v>
      </c>
      <c r="CQ85" s="100">
        <f t="shared" si="85"/>
        <v>6.7312680269276046E-3</v>
      </c>
      <c r="CR85" s="99">
        <f t="shared" si="86"/>
        <v>0.23632900169999327</v>
      </c>
      <c r="CS85" s="31">
        <v>1.5</v>
      </c>
      <c r="CT85" s="31">
        <v>1.5</v>
      </c>
      <c r="CU85" s="43">
        <v>0.125</v>
      </c>
      <c r="CV85" s="44">
        <v>0.4</v>
      </c>
      <c r="CW85" s="43">
        <v>2.1000000000000001E-2</v>
      </c>
      <c r="CX85" s="44">
        <v>0.15</v>
      </c>
      <c r="CY85" s="124"/>
    </row>
    <row r="86" spans="1:196" s="23" customFormat="1" x14ac:dyDescent="0.25">
      <c r="A86" s="31">
        <v>72</v>
      </c>
      <c r="B86" s="83">
        <v>3</v>
      </c>
      <c r="C86" s="31">
        <v>70</v>
      </c>
      <c r="D86" s="31" t="s">
        <v>36</v>
      </c>
      <c r="E86" s="31" t="s">
        <v>5</v>
      </c>
      <c r="F86" s="31" t="s">
        <v>70</v>
      </c>
      <c r="G86" s="31" t="str">
        <f t="shared" si="87"/>
        <v>Kommunal 70 M 3 Ck</v>
      </c>
      <c r="H86" s="48">
        <f t="shared" si="53"/>
        <v>8.5190646165101955E-2</v>
      </c>
      <c r="I86" s="40">
        <f t="shared" si="54"/>
        <v>0.11577778841641551</v>
      </c>
      <c r="J86" s="99">
        <f t="shared" si="55"/>
        <v>1.9323936919114605E-3</v>
      </c>
      <c r="K86" s="48">
        <f t="shared" si="56"/>
        <v>2.6168456874497068E-2</v>
      </c>
      <c r="L86" s="48">
        <f t="shared" si="57"/>
        <v>8.7676937850006978E-2</v>
      </c>
      <c r="M86" s="48">
        <f t="shared" si="88"/>
        <v>0.20752240461791599</v>
      </c>
      <c r="N86" s="99">
        <f t="shared" si="58"/>
        <v>4.1224261333355876E-3</v>
      </c>
      <c r="O86" s="48">
        <f t="shared" si="59"/>
        <v>2.1087146777856745E-2</v>
      </c>
      <c r="P86" s="48">
        <f t="shared" si="60"/>
        <v>3.9252685311745604E-2</v>
      </c>
      <c r="Q86" s="48">
        <f t="shared" si="61"/>
        <v>0.1315154067750105</v>
      </c>
      <c r="R86" s="40">
        <f t="shared" si="89"/>
        <v>1.4526568323254119</v>
      </c>
      <c r="S86" s="99">
        <f t="shared" si="62"/>
        <v>6.1836392000033814E-3</v>
      </c>
      <c r="T86" s="48">
        <f t="shared" si="63"/>
        <v>3.1630720166785121E-2</v>
      </c>
      <c r="U86" s="40">
        <v>4.2554160000000003</v>
      </c>
      <c r="V86" s="40">
        <v>1.25</v>
      </c>
      <c r="W86" s="40">
        <v>0.45</v>
      </c>
      <c r="X86" s="40">
        <v>1.5241919747630239</v>
      </c>
      <c r="Y86" s="42">
        <v>0.82304534923805894</v>
      </c>
      <c r="Z86" s="42">
        <v>22.086927970711695</v>
      </c>
      <c r="AA86" s="42">
        <v>77.090026680050244</v>
      </c>
      <c r="AB86" s="42">
        <v>2.333333333333333</v>
      </c>
      <c r="AC86" s="125">
        <v>1</v>
      </c>
      <c r="AD86" s="94">
        <f t="shared" si="90"/>
        <v>5.8351031156364731E-2</v>
      </c>
      <c r="AE86" s="94">
        <f t="shared" si="91"/>
        <v>8.8938173407678289E-2</v>
      </c>
      <c r="AF86" s="96">
        <f t="shared" si="64"/>
        <v>7.3200149992917632E-4</v>
      </c>
      <c r="AG86" s="95">
        <f t="shared" si="52"/>
        <v>1.9643710299020567E-2</v>
      </c>
      <c r="AH86" s="94">
        <f t="shared" si="92"/>
        <v>6.8562461608728545E-2</v>
      </c>
      <c r="AI86" s="94">
        <f t="shared" si="93"/>
        <v>0.20752240461791599</v>
      </c>
      <c r="AJ86" s="96">
        <f t="shared" si="65"/>
        <v>2.8741835944874877E-3</v>
      </c>
      <c r="AK86" s="95">
        <f t="shared" si="66"/>
        <v>1.5491857714928167E-2</v>
      </c>
      <c r="AL86" s="95">
        <f t="shared" si="67"/>
        <v>2.946556544853085E-2</v>
      </c>
      <c r="AM86" s="94">
        <f t="shared" si="68"/>
        <v>0.10284369241309282</v>
      </c>
      <c r="AN86" s="93">
        <f t="shared" si="69"/>
        <v>1.4526568323254119</v>
      </c>
      <c r="AO86" s="96">
        <f t="shared" si="70"/>
        <v>4.3112753917312315E-3</v>
      </c>
      <c r="AP86" s="95">
        <f t="shared" si="71"/>
        <v>2.3237786572392252E-2</v>
      </c>
      <c r="AQ86" s="93">
        <f t="shared" si="72"/>
        <v>0.22909973319949756</v>
      </c>
      <c r="AR86" s="31">
        <v>1.5</v>
      </c>
      <c r="AS86" s="31">
        <v>1.5</v>
      </c>
      <c r="AT86" s="31">
        <v>7</v>
      </c>
      <c r="AU86" s="43">
        <v>0.08</v>
      </c>
      <c r="AV86" s="44">
        <v>0.3</v>
      </c>
      <c r="AW86" s="43">
        <v>1.9E-2</v>
      </c>
      <c r="AX86" s="44">
        <v>0.14000000000000001</v>
      </c>
      <c r="AY86" s="40">
        <v>6.7734314201523551</v>
      </c>
      <c r="AZ86" s="41">
        <v>0.5</v>
      </c>
      <c r="BA86" s="40">
        <v>0.72</v>
      </c>
      <c r="BB86" s="45">
        <v>1</v>
      </c>
      <c r="BC86" s="41">
        <v>11.280218363357537</v>
      </c>
      <c r="BD86" s="41">
        <v>47.541244098024215</v>
      </c>
      <c r="BE86" s="41">
        <v>41.178537538618244</v>
      </c>
      <c r="BF86" s="125">
        <v>1</v>
      </c>
      <c r="BG86" s="48">
        <f t="shared" si="94"/>
        <v>3.9278653529139706E-3</v>
      </c>
      <c r="BH86" s="48">
        <f t="shared" si="95"/>
        <v>3.9278653529139706E-3</v>
      </c>
      <c r="BI86" s="99">
        <f t="shared" si="96"/>
        <v>4.4307178882736005E-4</v>
      </c>
      <c r="BJ86" s="99">
        <f t="shared" si="97"/>
        <v>1.8673560552705513E-3</v>
      </c>
      <c r="BK86" s="48">
        <f t="shared" si="98"/>
        <v>1.6174375088160594E-3</v>
      </c>
      <c r="BL86" s="99">
        <f t="shared" si="73"/>
        <v>2.9863091044064657E-4</v>
      </c>
      <c r="BM86" s="48">
        <f t="shared" si="74"/>
        <v>1.1077770449768433E-3</v>
      </c>
      <c r="BN86" s="48">
        <f t="shared" si="75"/>
        <v>2.8010340829058272E-3</v>
      </c>
      <c r="BO86" s="48">
        <f t="shared" si="76"/>
        <v>2.4261562632240889E-3</v>
      </c>
      <c r="BP86" s="99">
        <f t="shared" si="77"/>
        <v>4.4794636566096988E-4</v>
      </c>
      <c r="BQ86" s="48">
        <f t="shared" si="78"/>
        <v>1.6616655674652652E-3</v>
      </c>
      <c r="BR86" s="40">
        <f t="shared" si="79"/>
        <v>0.58821462461381757</v>
      </c>
      <c r="BS86" s="31">
        <v>1.5</v>
      </c>
      <c r="BT86" s="31">
        <v>1.5</v>
      </c>
      <c r="BU86" s="43">
        <v>0.14000000000000001</v>
      </c>
      <c r="BV86" s="44">
        <v>0.42</v>
      </c>
      <c r="BW86" s="43">
        <v>2.3E-2</v>
      </c>
      <c r="BX86" s="44">
        <v>0.2</v>
      </c>
      <c r="BY86" s="40">
        <v>17.442066059404368</v>
      </c>
      <c r="BZ86" s="40">
        <v>0.52</v>
      </c>
      <c r="CA86" s="40">
        <v>0.65</v>
      </c>
      <c r="CB86" s="45">
        <v>1</v>
      </c>
      <c r="CC86" s="41">
        <v>3.3053800540389702</v>
      </c>
      <c r="CD86" s="41">
        <v>20.327520115960358</v>
      </c>
      <c r="CE86" s="41">
        <v>76.367099830000683</v>
      </c>
      <c r="CF86" s="125">
        <v>1</v>
      </c>
      <c r="CG86" s="40">
        <f t="shared" si="99"/>
        <v>2.2911749655823248E-2</v>
      </c>
      <c r="CH86" s="40">
        <f t="shared" si="100"/>
        <v>2.2911749655823248E-2</v>
      </c>
      <c r="CI86" s="99">
        <f t="shared" si="101"/>
        <v>7.5732040315492396E-4</v>
      </c>
      <c r="CJ86" s="100">
        <f t="shared" si="102"/>
        <v>4.6573905202059486E-3</v>
      </c>
      <c r="CK86" s="100">
        <f t="shared" si="103"/>
        <v>1.7497038732462378E-2</v>
      </c>
      <c r="CL86" s="101">
        <f t="shared" si="80"/>
        <v>9.4961162840745362E-4</v>
      </c>
      <c r="CM86" s="100">
        <f t="shared" si="81"/>
        <v>4.4875120179517364E-3</v>
      </c>
      <c r="CN86" s="100">
        <f t="shared" si="82"/>
        <v>6.9860857803089229E-3</v>
      </c>
      <c r="CO86" s="100">
        <f t="shared" si="83"/>
        <v>2.6245558098693569E-2</v>
      </c>
      <c r="CP86" s="101">
        <f t="shared" si="84"/>
        <v>1.4244174426111802E-3</v>
      </c>
      <c r="CQ86" s="100">
        <f t="shared" si="85"/>
        <v>6.7312680269276046E-3</v>
      </c>
      <c r="CR86" s="99">
        <f t="shared" si="86"/>
        <v>0.23632900169999327</v>
      </c>
      <c r="CS86" s="31">
        <v>1.5</v>
      </c>
      <c r="CT86" s="31">
        <v>1.5</v>
      </c>
      <c r="CU86" s="43">
        <v>0.125</v>
      </c>
      <c r="CV86" s="44">
        <v>0.4</v>
      </c>
      <c r="CW86" s="43">
        <v>2.1000000000000001E-2</v>
      </c>
      <c r="CX86" s="44">
        <v>0.15</v>
      </c>
      <c r="CY86" s="124"/>
    </row>
    <row r="87" spans="1:196" s="23" customFormat="1" x14ac:dyDescent="0.25">
      <c r="A87" s="31">
        <v>73</v>
      </c>
      <c r="B87" s="83">
        <v>3</v>
      </c>
      <c r="C87" s="31">
        <v>70</v>
      </c>
      <c r="D87" s="31" t="s">
        <v>36</v>
      </c>
      <c r="E87" s="31" t="s">
        <v>5</v>
      </c>
      <c r="F87" s="31" t="s">
        <v>71</v>
      </c>
      <c r="G87" s="31" t="str">
        <f t="shared" si="87"/>
        <v>Kommunal 70 M 3 Cm</v>
      </c>
      <c r="H87" s="48">
        <f t="shared" si="53"/>
        <v>8.5190646165101955E-2</v>
      </c>
      <c r="I87" s="40">
        <f t="shared" si="54"/>
        <v>0.11577778841641551</v>
      </c>
      <c r="J87" s="99">
        <f t="shared" si="55"/>
        <v>1.9323936919114605E-3</v>
      </c>
      <c r="K87" s="48">
        <f t="shared" si="56"/>
        <v>2.6168456874497068E-2</v>
      </c>
      <c r="L87" s="48">
        <f t="shared" si="57"/>
        <v>8.7676937850006978E-2</v>
      </c>
      <c r="M87" s="48">
        <f t="shared" si="88"/>
        <v>0.20752240461791599</v>
      </c>
      <c r="N87" s="99">
        <f t="shared" si="58"/>
        <v>4.1224261333355876E-3</v>
      </c>
      <c r="O87" s="48">
        <f t="shared" si="59"/>
        <v>2.1087146777856745E-2</v>
      </c>
      <c r="P87" s="48">
        <f t="shared" si="60"/>
        <v>3.9252685311745604E-2</v>
      </c>
      <c r="Q87" s="48">
        <f t="shared" si="61"/>
        <v>0.1315154067750105</v>
      </c>
      <c r="R87" s="40">
        <f t="shared" si="89"/>
        <v>1.4526568323254119</v>
      </c>
      <c r="S87" s="99">
        <f t="shared" si="62"/>
        <v>6.1836392000033814E-3</v>
      </c>
      <c r="T87" s="48">
        <f t="shared" si="63"/>
        <v>3.1630720166785121E-2</v>
      </c>
      <c r="U87" s="40">
        <v>4.2554160000000003</v>
      </c>
      <c r="V87" s="40">
        <v>1.25</v>
      </c>
      <c r="W87" s="40">
        <v>0.45</v>
      </c>
      <c r="X87" s="40">
        <v>1.5241919747630239</v>
      </c>
      <c r="Y87" s="42">
        <v>0.82304534923805894</v>
      </c>
      <c r="Z87" s="42">
        <v>22.086927970711695</v>
      </c>
      <c r="AA87" s="42">
        <v>77.090026680050244</v>
      </c>
      <c r="AB87" s="42">
        <v>2.333333333333333</v>
      </c>
      <c r="AC87" s="125">
        <v>1</v>
      </c>
      <c r="AD87" s="94">
        <f t="shared" si="90"/>
        <v>5.8351031156364731E-2</v>
      </c>
      <c r="AE87" s="94">
        <f t="shared" si="91"/>
        <v>8.8938173407678289E-2</v>
      </c>
      <c r="AF87" s="96">
        <f t="shared" si="64"/>
        <v>7.3200149992917632E-4</v>
      </c>
      <c r="AG87" s="95">
        <f t="shared" si="52"/>
        <v>1.9643710299020567E-2</v>
      </c>
      <c r="AH87" s="94">
        <f t="shared" si="92"/>
        <v>6.8562461608728545E-2</v>
      </c>
      <c r="AI87" s="94">
        <f t="shared" si="93"/>
        <v>0.20752240461791599</v>
      </c>
      <c r="AJ87" s="96">
        <f t="shared" si="65"/>
        <v>2.8741835944874877E-3</v>
      </c>
      <c r="AK87" s="95">
        <f t="shared" si="66"/>
        <v>1.5491857714928167E-2</v>
      </c>
      <c r="AL87" s="95">
        <f t="shared" si="67"/>
        <v>2.946556544853085E-2</v>
      </c>
      <c r="AM87" s="94">
        <f t="shared" si="68"/>
        <v>0.10284369241309282</v>
      </c>
      <c r="AN87" s="93">
        <f t="shared" si="69"/>
        <v>1.4526568323254119</v>
      </c>
      <c r="AO87" s="96">
        <f t="shared" si="70"/>
        <v>4.3112753917312315E-3</v>
      </c>
      <c r="AP87" s="95">
        <f t="shared" si="71"/>
        <v>2.3237786572392252E-2</v>
      </c>
      <c r="AQ87" s="93">
        <f t="shared" si="72"/>
        <v>0.22909973319949756</v>
      </c>
      <c r="AR87" s="31">
        <v>1.5</v>
      </c>
      <c r="AS87" s="31">
        <v>1.5</v>
      </c>
      <c r="AT87" s="31">
        <v>7</v>
      </c>
      <c r="AU87" s="43">
        <v>0.08</v>
      </c>
      <c r="AV87" s="44">
        <v>0.3</v>
      </c>
      <c r="AW87" s="43">
        <v>1.9E-2</v>
      </c>
      <c r="AX87" s="44">
        <v>0.14000000000000001</v>
      </c>
      <c r="AY87" s="40">
        <v>6.7734314201523551</v>
      </c>
      <c r="AZ87" s="41">
        <v>0.5</v>
      </c>
      <c r="BA87" s="40">
        <v>0.72</v>
      </c>
      <c r="BB87" s="45">
        <v>1</v>
      </c>
      <c r="BC87" s="41">
        <v>11.280218363357537</v>
      </c>
      <c r="BD87" s="41">
        <v>47.541244098024215</v>
      </c>
      <c r="BE87" s="41">
        <v>41.178537538618244</v>
      </c>
      <c r="BF87" s="125">
        <v>1</v>
      </c>
      <c r="BG87" s="48">
        <f t="shared" si="94"/>
        <v>3.9278653529139706E-3</v>
      </c>
      <c r="BH87" s="48">
        <f t="shared" si="95"/>
        <v>3.9278653529139706E-3</v>
      </c>
      <c r="BI87" s="99">
        <f t="shared" si="96"/>
        <v>4.4307178882736005E-4</v>
      </c>
      <c r="BJ87" s="99">
        <f t="shared" si="97"/>
        <v>1.8673560552705513E-3</v>
      </c>
      <c r="BK87" s="48">
        <f t="shared" si="98"/>
        <v>1.6174375088160594E-3</v>
      </c>
      <c r="BL87" s="99">
        <f t="shared" si="73"/>
        <v>2.9863091044064657E-4</v>
      </c>
      <c r="BM87" s="48">
        <f t="shared" si="74"/>
        <v>1.1077770449768433E-3</v>
      </c>
      <c r="BN87" s="48">
        <f t="shared" si="75"/>
        <v>2.8010340829058272E-3</v>
      </c>
      <c r="BO87" s="48">
        <f t="shared" si="76"/>
        <v>2.4261562632240889E-3</v>
      </c>
      <c r="BP87" s="99">
        <f t="shared" si="77"/>
        <v>4.4794636566096988E-4</v>
      </c>
      <c r="BQ87" s="48">
        <f t="shared" si="78"/>
        <v>1.6616655674652652E-3</v>
      </c>
      <c r="BR87" s="40">
        <f t="shared" si="79"/>
        <v>0.58821462461381757</v>
      </c>
      <c r="BS87" s="31">
        <v>1.5</v>
      </c>
      <c r="BT87" s="31">
        <v>1.5</v>
      </c>
      <c r="BU87" s="43">
        <v>0.14000000000000001</v>
      </c>
      <c r="BV87" s="44">
        <v>0.42</v>
      </c>
      <c r="BW87" s="43">
        <v>2.3E-2</v>
      </c>
      <c r="BX87" s="44">
        <v>0.2</v>
      </c>
      <c r="BY87" s="40">
        <v>17.442066059404368</v>
      </c>
      <c r="BZ87" s="40">
        <v>0.52</v>
      </c>
      <c r="CA87" s="40">
        <v>0.65</v>
      </c>
      <c r="CB87" s="45">
        <v>1</v>
      </c>
      <c r="CC87" s="41">
        <v>3.3053800540389702</v>
      </c>
      <c r="CD87" s="41">
        <v>20.327520115960358</v>
      </c>
      <c r="CE87" s="41">
        <v>76.367099830000683</v>
      </c>
      <c r="CF87" s="125">
        <v>1</v>
      </c>
      <c r="CG87" s="40">
        <f t="shared" si="99"/>
        <v>2.2911749655823248E-2</v>
      </c>
      <c r="CH87" s="40">
        <f t="shared" si="100"/>
        <v>2.2911749655823248E-2</v>
      </c>
      <c r="CI87" s="99">
        <f t="shared" si="101"/>
        <v>7.5732040315492396E-4</v>
      </c>
      <c r="CJ87" s="100">
        <f t="shared" si="102"/>
        <v>4.6573905202059486E-3</v>
      </c>
      <c r="CK87" s="100">
        <f t="shared" si="103"/>
        <v>1.7497038732462378E-2</v>
      </c>
      <c r="CL87" s="101">
        <f t="shared" si="80"/>
        <v>9.4961162840745362E-4</v>
      </c>
      <c r="CM87" s="100">
        <f t="shared" si="81"/>
        <v>4.4875120179517364E-3</v>
      </c>
      <c r="CN87" s="100">
        <f t="shared" si="82"/>
        <v>6.9860857803089229E-3</v>
      </c>
      <c r="CO87" s="100">
        <f t="shared" si="83"/>
        <v>2.6245558098693569E-2</v>
      </c>
      <c r="CP87" s="101">
        <f t="shared" si="84"/>
        <v>1.4244174426111802E-3</v>
      </c>
      <c r="CQ87" s="100">
        <f t="shared" si="85"/>
        <v>6.7312680269276046E-3</v>
      </c>
      <c r="CR87" s="99">
        <f t="shared" si="86"/>
        <v>0.23632900169999327</v>
      </c>
      <c r="CS87" s="31">
        <v>1.5</v>
      </c>
      <c r="CT87" s="31">
        <v>1.5</v>
      </c>
      <c r="CU87" s="43">
        <v>0.125</v>
      </c>
      <c r="CV87" s="44">
        <v>0.4</v>
      </c>
      <c r="CW87" s="43">
        <v>2.1000000000000001E-2</v>
      </c>
      <c r="CX87" s="44">
        <v>0.15</v>
      </c>
      <c r="CY87" s="124"/>
    </row>
    <row r="88" spans="1:196" s="23" customFormat="1" x14ac:dyDescent="0.25">
      <c r="A88" s="31">
        <v>74</v>
      </c>
      <c r="B88" s="83">
        <v>3</v>
      </c>
      <c r="C88" s="31">
        <v>70</v>
      </c>
      <c r="D88" s="31" t="s">
        <v>36</v>
      </c>
      <c r="E88" s="31" t="s">
        <v>5</v>
      </c>
      <c r="F88" s="31" t="s">
        <v>0</v>
      </c>
      <c r="G88" s="31" t="str">
        <f t="shared" si="87"/>
        <v>Kommunal 70 M 3 D</v>
      </c>
      <c r="H88" s="48">
        <f t="shared" si="53"/>
        <v>5.305086205399169E-2</v>
      </c>
      <c r="I88" s="40">
        <f t="shared" si="54"/>
        <v>8.8759014562775462E-2</v>
      </c>
      <c r="J88" s="99">
        <f t="shared" si="55"/>
        <v>1.200392191982284E-3</v>
      </c>
      <c r="K88" s="48">
        <f t="shared" si="56"/>
        <v>1.4973202157195643E-2</v>
      </c>
      <c r="L88" s="48">
        <f t="shared" si="57"/>
        <v>7.258542021359754E-2</v>
      </c>
      <c r="M88" s="48">
        <f t="shared" si="88"/>
        <v>0.35087659747288336</v>
      </c>
      <c r="N88" s="99">
        <f t="shared" si="58"/>
        <v>2.9400669208596948E-3</v>
      </c>
      <c r="O88" s="48">
        <f t="shared" si="59"/>
        <v>1.5615757893568998E-2</v>
      </c>
      <c r="P88" s="48">
        <f t="shared" si="60"/>
        <v>2.2459803235793465E-2</v>
      </c>
      <c r="Q88" s="48">
        <f t="shared" si="61"/>
        <v>0.10887813032039632</v>
      </c>
      <c r="R88" s="40">
        <f t="shared" si="89"/>
        <v>2.4561361823101837</v>
      </c>
      <c r="S88" s="99">
        <f t="shared" si="62"/>
        <v>4.4101003812895417E-3</v>
      </c>
      <c r="T88" s="48">
        <f t="shared" si="63"/>
        <v>2.3423636840353496E-2</v>
      </c>
      <c r="U88" s="40">
        <v>1.0830105000000003</v>
      </c>
      <c r="V88" s="40">
        <v>1.2</v>
      </c>
      <c r="W88" s="45">
        <v>0</v>
      </c>
      <c r="X88" s="40">
        <v>2.3623217715331375</v>
      </c>
      <c r="Y88" s="42">
        <v>0</v>
      </c>
      <c r="Z88" s="42">
        <v>13.644278921577744</v>
      </c>
      <c r="AA88" s="42">
        <v>86.355721078422263</v>
      </c>
      <c r="AB88" s="42">
        <v>5.6666666666666661</v>
      </c>
      <c r="AC88" s="125">
        <v>1</v>
      </c>
      <c r="AD88" s="94">
        <f t="shared" si="90"/>
        <v>2.6211247045254467E-2</v>
      </c>
      <c r="AE88" s="94">
        <f t="shared" si="91"/>
        <v>6.1919399554038246E-2</v>
      </c>
      <c r="AF88" s="96">
        <f t="shared" si="64"/>
        <v>0</v>
      </c>
      <c r="AG88" s="95">
        <f t="shared" si="52"/>
        <v>8.4484555817191439E-3</v>
      </c>
      <c r="AH88" s="94">
        <f t="shared" si="92"/>
        <v>5.3470943972319107E-2</v>
      </c>
      <c r="AI88" s="94">
        <f t="shared" si="93"/>
        <v>0.35087659747288336</v>
      </c>
      <c r="AJ88" s="96">
        <f t="shared" si="65"/>
        <v>1.6918243820115944E-3</v>
      </c>
      <c r="AK88" s="95">
        <f t="shared" si="66"/>
        <v>1.0020468830640419E-2</v>
      </c>
      <c r="AL88" s="95">
        <f t="shared" si="67"/>
        <v>1.2672683372578715E-2</v>
      </c>
      <c r="AM88" s="94">
        <f t="shared" si="68"/>
        <v>8.0206415958478661E-2</v>
      </c>
      <c r="AN88" s="93">
        <f t="shared" si="69"/>
        <v>2.4561361823101837</v>
      </c>
      <c r="AO88" s="96">
        <f t="shared" si="70"/>
        <v>2.5377365730173919E-3</v>
      </c>
      <c r="AP88" s="95">
        <f t="shared" si="71"/>
        <v>1.5030703245960626E-2</v>
      </c>
      <c r="AQ88" s="93">
        <f t="shared" si="72"/>
        <v>0.13644278921577743</v>
      </c>
      <c r="AR88" s="31">
        <v>1.5</v>
      </c>
      <c r="AS88" s="31">
        <v>1.5</v>
      </c>
      <c r="AT88" s="31">
        <v>7</v>
      </c>
      <c r="AU88" s="43">
        <v>0.08</v>
      </c>
      <c r="AV88" s="44">
        <v>0.3</v>
      </c>
      <c r="AW88" s="43">
        <v>1.9E-2</v>
      </c>
      <c r="AX88" s="44">
        <v>0.14000000000000001</v>
      </c>
      <c r="AY88" s="40">
        <v>6.7734314201523551</v>
      </c>
      <c r="AZ88" s="41">
        <v>0.5</v>
      </c>
      <c r="BA88" s="40">
        <v>0.72</v>
      </c>
      <c r="BB88" s="45">
        <v>1</v>
      </c>
      <c r="BC88" s="41">
        <v>11.280218363357537</v>
      </c>
      <c r="BD88" s="41">
        <v>47.541244098024215</v>
      </c>
      <c r="BE88" s="41">
        <v>41.178537538618244</v>
      </c>
      <c r="BF88" s="125">
        <v>1</v>
      </c>
      <c r="BG88" s="48">
        <f t="shared" si="94"/>
        <v>3.9278653529139706E-3</v>
      </c>
      <c r="BH88" s="48">
        <f t="shared" si="95"/>
        <v>3.9278653529139706E-3</v>
      </c>
      <c r="BI88" s="99">
        <f t="shared" si="96"/>
        <v>4.4307178882736005E-4</v>
      </c>
      <c r="BJ88" s="99">
        <f t="shared" si="97"/>
        <v>1.8673560552705513E-3</v>
      </c>
      <c r="BK88" s="48">
        <f t="shared" si="98"/>
        <v>1.6174375088160594E-3</v>
      </c>
      <c r="BL88" s="99">
        <f t="shared" si="73"/>
        <v>2.9863091044064657E-4</v>
      </c>
      <c r="BM88" s="48">
        <f t="shared" si="74"/>
        <v>1.1077770449768433E-3</v>
      </c>
      <c r="BN88" s="48">
        <f t="shared" si="75"/>
        <v>2.8010340829058272E-3</v>
      </c>
      <c r="BO88" s="48">
        <f t="shared" si="76"/>
        <v>2.4261562632240889E-3</v>
      </c>
      <c r="BP88" s="99">
        <f t="shared" si="77"/>
        <v>4.4794636566096988E-4</v>
      </c>
      <c r="BQ88" s="48">
        <f t="shared" si="78"/>
        <v>1.6616655674652652E-3</v>
      </c>
      <c r="BR88" s="40">
        <f t="shared" si="79"/>
        <v>0.58821462461381757</v>
      </c>
      <c r="BS88" s="31">
        <v>1.5</v>
      </c>
      <c r="BT88" s="31">
        <v>1.5</v>
      </c>
      <c r="BU88" s="43">
        <v>0.14000000000000001</v>
      </c>
      <c r="BV88" s="44">
        <v>0.42</v>
      </c>
      <c r="BW88" s="43">
        <v>2.3E-2</v>
      </c>
      <c r="BX88" s="44">
        <v>0.2</v>
      </c>
      <c r="BY88" s="40">
        <v>17.442066059404368</v>
      </c>
      <c r="BZ88" s="40">
        <v>0.52</v>
      </c>
      <c r="CA88" s="40">
        <v>0.65</v>
      </c>
      <c r="CB88" s="45">
        <v>1</v>
      </c>
      <c r="CC88" s="41">
        <v>3.3053800540389702</v>
      </c>
      <c r="CD88" s="41">
        <v>20.327520115960358</v>
      </c>
      <c r="CE88" s="41">
        <v>76.367099830000683</v>
      </c>
      <c r="CF88" s="125">
        <v>1</v>
      </c>
      <c r="CG88" s="40">
        <f t="shared" si="99"/>
        <v>2.2911749655823248E-2</v>
      </c>
      <c r="CH88" s="40">
        <f t="shared" si="100"/>
        <v>2.2911749655823248E-2</v>
      </c>
      <c r="CI88" s="99">
        <f t="shared" si="101"/>
        <v>7.5732040315492396E-4</v>
      </c>
      <c r="CJ88" s="100">
        <f t="shared" si="102"/>
        <v>4.6573905202059486E-3</v>
      </c>
      <c r="CK88" s="100">
        <f t="shared" si="103"/>
        <v>1.7497038732462378E-2</v>
      </c>
      <c r="CL88" s="101">
        <f t="shared" si="80"/>
        <v>9.4961162840745362E-4</v>
      </c>
      <c r="CM88" s="100">
        <f t="shared" si="81"/>
        <v>4.4875120179517364E-3</v>
      </c>
      <c r="CN88" s="100">
        <f t="shared" si="82"/>
        <v>6.9860857803089229E-3</v>
      </c>
      <c r="CO88" s="100">
        <f t="shared" si="83"/>
        <v>2.6245558098693569E-2</v>
      </c>
      <c r="CP88" s="101">
        <f t="shared" si="84"/>
        <v>1.4244174426111802E-3</v>
      </c>
      <c r="CQ88" s="100">
        <f t="shared" si="85"/>
        <v>6.7312680269276046E-3</v>
      </c>
      <c r="CR88" s="99">
        <f t="shared" si="86"/>
        <v>0.23632900169999327</v>
      </c>
      <c r="CS88" s="31">
        <v>1.5</v>
      </c>
      <c r="CT88" s="31">
        <v>1.5</v>
      </c>
      <c r="CU88" s="43">
        <v>0.125</v>
      </c>
      <c r="CV88" s="44">
        <v>0.4</v>
      </c>
      <c r="CW88" s="43">
        <v>2.1000000000000001E-2</v>
      </c>
      <c r="CX88" s="44">
        <v>0.15</v>
      </c>
      <c r="CY88" s="124"/>
    </row>
    <row r="89" spans="1:196" s="23" customFormat="1" x14ac:dyDescent="0.25">
      <c r="A89" s="31">
        <v>75</v>
      </c>
      <c r="B89" s="83">
        <v>3</v>
      </c>
      <c r="C89" s="31">
        <v>70</v>
      </c>
      <c r="D89" s="31" t="s">
        <v>36</v>
      </c>
      <c r="E89" s="31" t="s">
        <v>5</v>
      </c>
      <c r="F89" s="31" t="s">
        <v>62</v>
      </c>
      <c r="G89" s="31" t="str">
        <f t="shared" si="87"/>
        <v>Kommunal 70 M 3 EE</v>
      </c>
      <c r="H89" s="48">
        <f t="shared" si="53"/>
        <v>0.12700944478233062</v>
      </c>
      <c r="I89" s="40">
        <f t="shared" si="54"/>
        <v>0.17951766566302652</v>
      </c>
      <c r="J89" s="99">
        <f t="shared" si="55"/>
        <v>2.4570017871997397E-3</v>
      </c>
      <c r="K89" s="48">
        <f t="shared" si="56"/>
        <v>4.0246637650576095E-2</v>
      </c>
      <c r="L89" s="48">
        <f t="shared" si="57"/>
        <v>0.13681402622525068</v>
      </c>
      <c r="M89" s="48">
        <f t="shared" si="88"/>
        <v>0.35624878486000827</v>
      </c>
      <c r="N89" s="99">
        <f t="shared" si="58"/>
        <v>6.1822852745515404E-3</v>
      </c>
      <c r="O89" s="48">
        <f t="shared" si="59"/>
        <v>3.2189793383214566E-2</v>
      </c>
      <c r="P89" s="48">
        <f t="shared" si="60"/>
        <v>6.0369956475864135E-2</v>
      </c>
      <c r="Q89" s="48">
        <f t="shared" si="61"/>
        <v>0.20522103933787605</v>
      </c>
      <c r="R89" s="40">
        <f t="shared" si="89"/>
        <v>2.4937414940200577</v>
      </c>
      <c r="S89" s="99">
        <f t="shared" si="62"/>
        <v>9.2734279118273089E-3</v>
      </c>
      <c r="T89" s="48">
        <f t="shared" si="63"/>
        <v>4.8284690074821855E-2</v>
      </c>
      <c r="U89" s="40">
        <v>5.1559200000000018</v>
      </c>
      <c r="V89" s="40">
        <v>1.2</v>
      </c>
      <c r="W89" s="41">
        <v>0.1</v>
      </c>
      <c r="X89" s="40">
        <v>1.5241919747630239</v>
      </c>
      <c r="Y89" s="42">
        <v>0.82304534923805861</v>
      </c>
      <c r="Z89" s="42">
        <v>22.086927970711692</v>
      </c>
      <c r="AA89" s="42">
        <v>77.090026680050244</v>
      </c>
      <c r="AB89" s="42">
        <v>2.3333333333333326</v>
      </c>
      <c r="AC89" s="125">
        <v>1</v>
      </c>
      <c r="AD89" s="94">
        <f t="shared" si="90"/>
        <v>0.10016982977359341</v>
      </c>
      <c r="AE89" s="94">
        <f t="shared" si="91"/>
        <v>0.1526780506542893</v>
      </c>
      <c r="AF89" s="96">
        <f t="shared" si="64"/>
        <v>1.2566095952174555E-3</v>
      </c>
      <c r="AG89" s="95">
        <f t="shared" si="52"/>
        <v>3.372189107509959E-2</v>
      </c>
      <c r="AH89" s="94">
        <f t="shared" si="92"/>
        <v>0.11769954998397225</v>
      </c>
      <c r="AI89" s="94">
        <f t="shared" si="93"/>
        <v>0.35624878486000827</v>
      </c>
      <c r="AJ89" s="96">
        <f t="shared" si="65"/>
        <v>4.9340427357034405E-3</v>
      </c>
      <c r="AK89" s="95">
        <f t="shared" si="66"/>
        <v>2.659450432028599E-2</v>
      </c>
      <c r="AL89" s="95">
        <f t="shared" si="67"/>
        <v>5.0582836612649382E-2</v>
      </c>
      <c r="AM89" s="94">
        <f t="shared" si="68"/>
        <v>0.17654932497595838</v>
      </c>
      <c r="AN89" s="93">
        <f t="shared" si="69"/>
        <v>2.4937414940200577</v>
      </c>
      <c r="AO89" s="96">
        <f t="shared" si="70"/>
        <v>7.4010641035551598E-3</v>
      </c>
      <c r="AP89" s="95">
        <f t="shared" si="71"/>
        <v>3.9891756480428989E-2</v>
      </c>
      <c r="AQ89" s="93">
        <f t="shared" si="72"/>
        <v>0.22909973319949753</v>
      </c>
      <c r="AR89" s="31">
        <v>1.5</v>
      </c>
      <c r="AS89" s="31">
        <v>1.5</v>
      </c>
      <c r="AT89" s="31">
        <v>7</v>
      </c>
      <c r="AU89" s="43">
        <v>0.08</v>
      </c>
      <c r="AV89" s="44">
        <v>0.3</v>
      </c>
      <c r="AW89" s="43">
        <v>1.9E-2</v>
      </c>
      <c r="AX89" s="44">
        <v>0.14000000000000001</v>
      </c>
      <c r="AY89" s="40">
        <v>6.7734314201523551</v>
      </c>
      <c r="AZ89" s="41">
        <v>0.5</v>
      </c>
      <c r="BA89" s="40">
        <v>0.72</v>
      </c>
      <c r="BB89" s="45">
        <v>1</v>
      </c>
      <c r="BC89" s="41">
        <v>11.280218363357537</v>
      </c>
      <c r="BD89" s="41">
        <v>47.541244098024215</v>
      </c>
      <c r="BE89" s="41">
        <v>41.178537538618244</v>
      </c>
      <c r="BF89" s="125">
        <v>1</v>
      </c>
      <c r="BG89" s="48">
        <f t="shared" si="94"/>
        <v>3.9278653529139706E-3</v>
      </c>
      <c r="BH89" s="48">
        <f t="shared" si="95"/>
        <v>3.9278653529139706E-3</v>
      </c>
      <c r="BI89" s="99">
        <f t="shared" si="96"/>
        <v>4.4307178882736005E-4</v>
      </c>
      <c r="BJ89" s="99">
        <f t="shared" si="97"/>
        <v>1.8673560552705513E-3</v>
      </c>
      <c r="BK89" s="48">
        <f t="shared" si="98"/>
        <v>1.6174375088160594E-3</v>
      </c>
      <c r="BL89" s="99">
        <f t="shared" si="73"/>
        <v>2.9863091044064657E-4</v>
      </c>
      <c r="BM89" s="48">
        <f t="shared" si="74"/>
        <v>1.1077770449768433E-3</v>
      </c>
      <c r="BN89" s="48">
        <f t="shared" si="75"/>
        <v>2.8010340829058272E-3</v>
      </c>
      <c r="BO89" s="48">
        <f t="shared" si="76"/>
        <v>2.4261562632240889E-3</v>
      </c>
      <c r="BP89" s="99">
        <f t="shared" si="77"/>
        <v>4.4794636566096988E-4</v>
      </c>
      <c r="BQ89" s="48">
        <f t="shared" si="78"/>
        <v>1.6616655674652652E-3</v>
      </c>
      <c r="BR89" s="40">
        <f t="shared" si="79"/>
        <v>0.58821462461381757</v>
      </c>
      <c r="BS89" s="31">
        <v>1.5</v>
      </c>
      <c r="BT89" s="31">
        <v>1.5</v>
      </c>
      <c r="BU89" s="43">
        <v>0.14000000000000001</v>
      </c>
      <c r="BV89" s="44">
        <v>0.42</v>
      </c>
      <c r="BW89" s="43">
        <v>2.3E-2</v>
      </c>
      <c r="BX89" s="44">
        <v>0.2</v>
      </c>
      <c r="BY89" s="40">
        <v>17.442066059404368</v>
      </c>
      <c r="BZ89" s="40">
        <v>0.52</v>
      </c>
      <c r="CA89" s="40">
        <v>0.65</v>
      </c>
      <c r="CB89" s="45">
        <v>1</v>
      </c>
      <c r="CC89" s="41">
        <v>3.3053800540389702</v>
      </c>
      <c r="CD89" s="41">
        <v>20.327520115960358</v>
      </c>
      <c r="CE89" s="41">
        <v>76.367099830000683</v>
      </c>
      <c r="CF89" s="125">
        <v>1</v>
      </c>
      <c r="CG89" s="40">
        <f t="shared" si="99"/>
        <v>2.2911749655823248E-2</v>
      </c>
      <c r="CH89" s="40">
        <f t="shared" si="100"/>
        <v>2.2911749655823248E-2</v>
      </c>
      <c r="CI89" s="99">
        <f t="shared" si="101"/>
        <v>7.5732040315492396E-4</v>
      </c>
      <c r="CJ89" s="100">
        <f t="shared" si="102"/>
        <v>4.6573905202059486E-3</v>
      </c>
      <c r="CK89" s="100">
        <f t="shared" si="103"/>
        <v>1.7497038732462378E-2</v>
      </c>
      <c r="CL89" s="101">
        <f t="shared" si="80"/>
        <v>9.4961162840745362E-4</v>
      </c>
      <c r="CM89" s="100">
        <f t="shared" si="81"/>
        <v>4.4875120179517364E-3</v>
      </c>
      <c r="CN89" s="100">
        <f t="shared" si="82"/>
        <v>6.9860857803089229E-3</v>
      </c>
      <c r="CO89" s="100">
        <f t="shared" si="83"/>
        <v>2.6245558098693569E-2</v>
      </c>
      <c r="CP89" s="101">
        <f t="shared" si="84"/>
        <v>1.4244174426111802E-3</v>
      </c>
      <c r="CQ89" s="100">
        <f t="shared" si="85"/>
        <v>6.7312680269276046E-3</v>
      </c>
      <c r="CR89" s="99">
        <f t="shared" si="86"/>
        <v>0.23632900169999327</v>
      </c>
      <c r="CS89" s="31">
        <v>1.5</v>
      </c>
      <c r="CT89" s="31">
        <v>1.5</v>
      </c>
      <c r="CU89" s="43">
        <v>0.125</v>
      </c>
      <c r="CV89" s="44">
        <v>0.4</v>
      </c>
      <c r="CW89" s="43">
        <v>2.1000000000000001E-2</v>
      </c>
      <c r="CX89" s="44">
        <v>0.15</v>
      </c>
      <c r="CY89" s="124"/>
    </row>
    <row r="90" spans="1:196" s="23" customFormat="1" x14ac:dyDescent="0.25">
      <c r="A90" s="31">
        <v>76</v>
      </c>
      <c r="B90" s="83">
        <v>3</v>
      </c>
      <c r="C90" s="31">
        <v>70</v>
      </c>
      <c r="D90" s="31" t="s">
        <v>36</v>
      </c>
      <c r="E90" s="31" t="s">
        <v>5</v>
      </c>
      <c r="F90" s="31" t="s">
        <v>63</v>
      </c>
      <c r="G90" s="31" t="str">
        <f t="shared" si="87"/>
        <v>Kommunal 70 M 3 ES</v>
      </c>
      <c r="H90" s="48">
        <f t="shared" si="53"/>
        <v>9.1080634871218383E-2</v>
      </c>
      <c r="I90" s="40">
        <f t="shared" si="54"/>
        <v>0.1279143459363461</v>
      </c>
      <c r="J90" s="99">
        <f t="shared" si="55"/>
        <v>2.0234289697107478E-3</v>
      </c>
      <c r="K90" s="48">
        <f t="shared" si="56"/>
        <v>1.940865371238254E-2</v>
      </c>
      <c r="L90" s="48">
        <f t="shared" si="57"/>
        <v>0.10648226325425281</v>
      </c>
      <c r="M90" s="48">
        <f t="shared" si="88"/>
        <v>0.30322419278282664</v>
      </c>
      <c r="N90" s="99">
        <f t="shared" si="58"/>
        <v>3.9389430630470965E-3</v>
      </c>
      <c r="O90" s="48">
        <f t="shared" si="59"/>
        <v>2.1691951385816803E-2</v>
      </c>
      <c r="P90" s="48">
        <f t="shared" si="60"/>
        <v>2.911298056857381E-2</v>
      </c>
      <c r="Q90" s="48">
        <f t="shared" si="61"/>
        <v>0.15972339488137921</v>
      </c>
      <c r="R90" s="40">
        <f t="shared" si="89"/>
        <v>2.1225693494797864</v>
      </c>
      <c r="S90" s="99">
        <f t="shared" si="62"/>
        <v>5.9084145945706443E-3</v>
      </c>
      <c r="T90" s="48">
        <f t="shared" si="63"/>
        <v>3.2537927078725208E-2</v>
      </c>
      <c r="U90" s="40">
        <v>3.3066000000000009</v>
      </c>
      <c r="V90" s="40">
        <v>1.2</v>
      </c>
      <c r="W90" s="41">
        <v>0.1</v>
      </c>
      <c r="X90" s="40">
        <v>1.5733674705659491</v>
      </c>
      <c r="Y90" s="42">
        <v>0.81428540068826316</v>
      </c>
      <c r="Z90" s="42">
        <v>12.746912129930548</v>
      </c>
      <c r="AA90" s="42">
        <v>86.438802469381187</v>
      </c>
      <c r="AB90" s="42">
        <v>3</v>
      </c>
      <c r="AC90" s="125">
        <v>1</v>
      </c>
      <c r="AD90" s="94">
        <f t="shared" si="90"/>
        <v>6.4241019862481166E-2</v>
      </c>
      <c r="AE90" s="94">
        <f t="shared" si="91"/>
        <v>0.10107473092760888</v>
      </c>
      <c r="AF90" s="96">
        <f t="shared" si="64"/>
        <v>8.2303677772846374E-4</v>
      </c>
      <c r="AG90" s="95">
        <f t="shared" si="52"/>
        <v>1.2883907136906039E-2</v>
      </c>
      <c r="AH90" s="94">
        <f t="shared" si="92"/>
        <v>8.7367787012974374E-2</v>
      </c>
      <c r="AI90" s="94">
        <f t="shared" si="93"/>
        <v>0.30322419278282664</v>
      </c>
      <c r="AJ90" s="96">
        <f t="shared" si="65"/>
        <v>2.6907005241989961E-3</v>
      </c>
      <c r="AK90" s="95">
        <f t="shared" si="66"/>
        <v>1.6096662322888224E-2</v>
      </c>
      <c r="AL90" s="95">
        <f t="shared" si="67"/>
        <v>1.9325860705359056E-2</v>
      </c>
      <c r="AM90" s="94">
        <f t="shared" si="68"/>
        <v>0.13105168051946156</v>
      </c>
      <c r="AN90" s="93">
        <f t="shared" si="69"/>
        <v>2.1225693494797864</v>
      </c>
      <c r="AO90" s="96">
        <f t="shared" si="70"/>
        <v>4.0360507862984944E-3</v>
      </c>
      <c r="AP90" s="95">
        <f t="shared" si="71"/>
        <v>2.4144993484332338E-2</v>
      </c>
      <c r="AQ90" s="93">
        <f t="shared" si="72"/>
        <v>0.1356119753061881</v>
      </c>
      <c r="AR90" s="31">
        <v>1.5</v>
      </c>
      <c r="AS90" s="31">
        <v>1.5</v>
      </c>
      <c r="AT90" s="31">
        <v>7</v>
      </c>
      <c r="AU90" s="43">
        <v>0.08</v>
      </c>
      <c r="AV90" s="44">
        <v>0.3</v>
      </c>
      <c r="AW90" s="43">
        <v>1.9E-2</v>
      </c>
      <c r="AX90" s="44">
        <v>0.14000000000000001</v>
      </c>
      <c r="AY90" s="40">
        <v>6.7734314201523551</v>
      </c>
      <c r="AZ90" s="41">
        <v>0.5</v>
      </c>
      <c r="BA90" s="40">
        <v>0.72</v>
      </c>
      <c r="BB90" s="45">
        <v>1</v>
      </c>
      <c r="BC90" s="41">
        <v>11.280218363357537</v>
      </c>
      <c r="BD90" s="41">
        <v>47.541244098024215</v>
      </c>
      <c r="BE90" s="41">
        <v>41.178537538618251</v>
      </c>
      <c r="BF90" s="125">
        <v>1</v>
      </c>
      <c r="BG90" s="48">
        <f t="shared" si="94"/>
        <v>3.9278653529139706E-3</v>
      </c>
      <c r="BH90" s="48">
        <f t="shared" si="95"/>
        <v>3.9278653529139706E-3</v>
      </c>
      <c r="BI90" s="99">
        <f t="shared" si="96"/>
        <v>4.4307178882736005E-4</v>
      </c>
      <c r="BJ90" s="99">
        <f t="shared" si="97"/>
        <v>1.8673560552705513E-3</v>
      </c>
      <c r="BK90" s="48">
        <f t="shared" si="98"/>
        <v>1.6174375088160598E-3</v>
      </c>
      <c r="BL90" s="99">
        <f t="shared" si="73"/>
        <v>2.9863091044064657E-4</v>
      </c>
      <c r="BM90" s="48">
        <f t="shared" si="74"/>
        <v>1.1077770449768435E-3</v>
      </c>
      <c r="BN90" s="48">
        <f t="shared" si="75"/>
        <v>2.8010340829058272E-3</v>
      </c>
      <c r="BO90" s="48">
        <f t="shared" si="76"/>
        <v>2.4261562632240897E-3</v>
      </c>
      <c r="BP90" s="99">
        <f t="shared" si="77"/>
        <v>4.4794636566096994E-4</v>
      </c>
      <c r="BQ90" s="48">
        <f t="shared" si="78"/>
        <v>1.6616655674652654E-3</v>
      </c>
      <c r="BR90" s="40">
        <f t="shared" si="79"/>
        <v>0.58821462461381757</v>
      </c>
      <c r="BS90" s="31">
        <v>1.5</v>
      </c>
      <c r="BT90" s="31">
        <v>1.5</v>
      </c>
      <c r="BU90" s="43">
        <v>0.14000000000000001</v>
      </c>
      <c r="BV90" s="44">
        <v>0.42</v>
      </c>
      <c r="BW90" s="43">
        <v>2.3E-2</v>
      </c>
      <c r="BX90" s="44">
        <v>0.2</v>
      </c>
      <c r="BY90" s="40">
        <v>17.442066059404368</v>
      </c>
      <c r="BZ90" s="40">
        <v>0.52</v>
      </c>
      <c r="CA90" s="40">
        <v>0.65</v>
      </c>
      <c r="CB90" s="45">
        <v>1</v>
      </c>
      <c r="CC90" s="41">
        <v>3.3053800540389702</v>
      </c>
      <c r="CD90" s="41">
        <v>20.327520115960358</v>
      </c>
      <c r="CE90" s="41">
        <v>76.367099830000683</v>
      </c>
      <c r="CF90" s="125">
        <v>1</v>
      </c>
      <c r="CG90" s="40">
        <f t="shared" si="99"/>
        <v>2.2911749655823248E-2</v>
      </c>
      <c r="CH90" s="40">
        <f t="shared" si="100"/>
        <v>2.2911749655823248E-2</v>
      </c>
      <c r="CI90" s="99">
        <f t="shared" si="101"/>
        <v>7.5732040315492396E-4</v>
      </c>
      <c r="CJ90" s="100">
        <f t="shared" si="102"/>
        <v>4.6573905202059486E-3</v>
      </c>
      <c r="CK90" s="100">
        <f t="shared" si="103"/>
        <v>1.7497038732462378E-2</v>
      </c>
      <c r="CL90" s="101">
        <f t="shared" si="80"/>
        <v>9.4961162840745362E-4</v>
      </c>
      <c r="CM90" s="100">
        <f t="shared" si="81"/>
        <v>4.4875120179517364E-3</v>
      </c>
      <c r="CN90" s="100">
        <f t="shared" si="82"/>
        <v>6.9860857803089229E-3</v>
      </c>
      <c r="CO90" s="100">
        <f t="shared" si="83"/>
        <v>2.6245558098693569E-2</v>
      </c>
      <c r="CP90" s="101">
        <f t="shared" si="84"/>
        <v>1.4244174426111802E-3</v>
      </c>
      <c r="CQ90" s="100">
        <f t="shared" si="85"/>
        <v>6.7312680269276046E-3</v>
      </c>
      <c r="CR90" s="99">
        <f t="shared" si="86"/>
        <v>0.23632900169999327</v>
      </c>
      <c r="CS90" s="31">
        <v>1.5</v>
      </c>
      <c r="CT90" s="31">
        <v>1.5</v>
      </c>
      <c r="CU90" s="43">
        <v>0.125</v>
      </c>
      <c r="CV90" s="44">
        <v>0.4</v>
      </c>
      <c r="CW90" s="43">
        <v>2.1000000000000001E-2</v>
      </c>
      <c r="CX90" s="44">
        <v>0.15</v>
      </c>
      <c r="CY90" s="124"/>
    </row>
    <row r="91" spans="1:196" s="23" customFormat="1" x14ac:dyDescent="0.25">
      <c r="A91" s="31">
        <v>77</v>
      </c>
      <c r="B91" s="83">
        <v>3</v>
      </c>
      <c r="C91" s="31">
        <v>70</v>
      </c>
      <c r="D91" s="31" t="s">
        <v>36</v>
      </c>
      <c r="E91" s="31" t="s">
        <v>5</v>
      </c>
      <c r="F91" s="31" t="s">
        <v>64</v>
      </c>
      <c r="G91" s="31" t="str">
        <f t="shared" si="87"/>
        <v>Kommunal 70 M 3 F</v>
      </c>
      <c r="H91" s="48">
        <f t="shared" si="53"/>
        <v>4.8451108029613041E-2</v>
      </c>
      <c r="I91" s="40">
        <f t="shared" si="54"/>
        <v>5.9604550004185117E-2</v>
      </c>
      <c r="J91" s="99">
        <f t="shared" si="55"/>
        <v>1.4686196919563321E-3</v>
      </c>
      <c r="K91" s="48">
        <f t="shared" si="56"/>
        <v>1.2223202725064324E-2</v>
      </c>
      <c r="L91" s="48">
        <f t="shared" si="57"/>
        <v>4.5912727587164463E-2</v>
      </c>
      <c r="M91" s="48">
        <f t="shared" si="88"/>
        <v>0.13105973998179163</v>
      </c>
      <c r="N91" s="99">
        <f t="shared" si="58"/>
        <v>2.2132858063869604E-3</v>
      </c>
      <c r="O91" s="48">
        <f t="shared" si="59"/>
        <v>1.1056581096228972E-2</v>
      </c>
      <c r="P91" s="48">
        <f t="shared" si="60"/>
        <v>1.8334804087596482E-2</v>
      </c>
      <c r="Q91" s="48">
        <f t="shared" si="61"/>
        <v>6.8869091380746705E-2</v>
      </c>
      <c r="R91" s="40">
        <f t="shared" si="89"/>
        <v>0.91741817987254137</v>
      </c>
      <c r="S91" s="99">
        <f t="shared" si="62"/>
        <v>3.3199287095804406E-3</v>
      </c>
      <c r="T91" s="48">
        <f t="shared" si="63"/>
        <v>1.6584871644343458E-2</v>
      </c>
      <c r="U91" s="40">
        <v>1.5760800000000001</v>
      </c>
      <c r="V91" s="40">
        <v>1.25</v>
      </c>
      <c r="W91" s="40">
        <v>0.45</v>
      </c>
      <c r="X91" s="40">
        <v>1.5160884518158142</v>
      </c>
      <c r="Y91" s="42">
        <v>0.81864194148809843</v>
      </c>
      <c r="Z91" s="42">
        <v>17.391934854683893</v>
      </c>
      <c r="AA91" s="42">
        <v>81.789423203828008</v>
      </c>
      <c r="AB91" s="42">
        <v>4.0000000000000009</v>
      </c>
      <c r="AC91" s="125">
        <v>1</v>
      </c>
      <c r="AD91" s="94">
        <f t="shared" si="90"/>
        <v>2.1611493020875824E-2</v>
      </c>
      <c r="AE91" s="94">
        <f t="shared" si="91"/>
        <v>3.27649349954479E-2</v>
      </c>
      <c r="AF91" s="96">
        <f t="shared" si="64"/>
        <v>2.6822749997404806E-4</v>
      </c>
      <c r="AG91" s="95">
        <f t="shared" si="52"/>
        <v>5.6984561495878241E-3</v>
      </c>
      <c r="AH91" s="94">
        <f t="shared" si="92"/>
        <v>2.6798251345886027E-2</v>
      </c>
      <c r="AI91" s="94">
        <f t="shared" si="93"/>
        <v>0.13105973998179163</v>
      </c>
      <c r="AJ91" s="96">
        <f t="shared" si="65"/>
        <v>9.6504326753886049E-4</v>
      </c>
      <c r="AK91" s="95">
        <f t="shared" si="66"/>
        <v>5.4612920333003915E-3</v>
      </c>
      <c r="AL91" s="95">
        <f t="shared" si="67"/>
        <v>8.5476842243817353E-3</v>
      </c>
      <c r="AM91" s="94">
        <f t="shared" si="68"/>
        <v>4.0197377018829042E-2</v>
      </c>
      <c r="AN91" s="93">
        <f t="shared" si="69"/>
        <v>0.91741817987254137</v>
      </c>
      <c r="AO91" s="96">
        <f t="shared" si="70"/>
        <v>1.4475649013082907E-3</v>
      </c>
      <c r="AP91" s="95">
        <f t="shared" si="71"/>
        <v>8.1919380499505881E-3</v>
      </c>
      <c r="AQ91" s="93">
        <f t="shared" si="72"/>
        <v>0.1821057679617199</v>
      </c>
      <c r="AR91" s="31">
        <v>1.5</v>
      </c>
      <c r="AS91" s="31">
        <v>1.5</v>
      </c>
      <c r="AT91" s="31">
        <v>7</v>
      </c>
      <c r="AU91" s="43">
        <v>0.08</v>
      </c>
      <c r="AV91" s="44">
        <v>0.3</v>
      </c>
      <c r="AW91" s="43">
        <v>1.9E-2</v>
      </c>
      <c r="AX91" s="44">
        <v>0.14000000000000001</v>
      </c>
      <c r="AY91" s="40">
        <v>6.7734314201523542</v>
      </c>
      <c r="AZ91" s="41">
        <v>0.5</v>
      </c>
      <c r="BA91" s="40">
        <v>0.72</v>
      </c>
      <c r="BB91" s="45">
        <v>1</v>
      </c>
      <c r="BC91" s="41">
        <v>11.280218363357539</v>
      </c>
      <c r="BD91" s="41">
        <v>47.541244098024222</v>
      </c>
      <c r="BE91" s="41">
        <v>41.178537538618244</v>
      </c>
      <c r="BF91" s="125">
        <v>1</v>
      </c>
      <c r="BG91" s="48">
        <f t="shared" si="94"/>
        <v>3.9278653529139698E-3</v>
      </c>
      <c r="BH91" s="48">
        <f t="shared" si="95"/>
        <v>3.9278653529139698E-3</v>
      </c>
      <c r="BI91" s="99">
        <f t="shared" si="96"/>
        <v>4.4307178882736005E-4</v>
      </c>
      <c r="BJ91" s="99">
        <f t="shared" si="97"/>
        <v>1.8673560552705509E-3</v>
      </c>
      <c r="BK91" s="48">
        <f t="shared" si="98"/>
        <v>1.6174375088160589E-3</v>
      </c>
      <c r="BL91" s="99">
        <f t="shared" si="73"/>
        <v>2.9863091044064652E-4</v>
      </c>
      <c r="BM91" s="48">
        <f t="shared" si="74"/>
        <v>1.1077770449768433E-3</v>
      </c>
      <c r="BN91" s="48">
        <f t="shared" si="75"/>
        <v>2.8010340829058263E-3</v>
      </c>
      <c r="BO91" s="48">
        <f t="shared" si="76"/>
        <v>2.4261562632240884E-3</v>
      </c>
      <c r="BP91" s="99">
        <f t="shared" si="77"/>
        <v>4.4794636566096972E-4</v>
      </c>
      <c r="BQ91" s="48">
        <f t="shared" si="78"/>
        <v>1.6616655674652646E-3</v>
      </c>
      <c r="BR91" s="40">
        <f t="shared" si="79"/>
        <v>0.58821462461381757</v>
      </c>
      <c r="BS91" s="31">
        <v>1.5</v>
      </c>
      <c r="BT91" s="31">
        <v>1.5</v>
      </c>
      <c r="BU91" s="43">
        <v>0.14000000000000001</v>
      </c>
      <c r="BV91" s="44">
        <v>0.42</v>
      </c>
      <c r="BW91" s="43">
        <v>2.3E-2</v>
      </c>
      <c r="BX91" s="44">
        <v>0.2</v>
      </c>
      <c r="BY91" s="40">
        <v>17.442066059404368</v>
      </c>
      <c r="BZ91" s="40">
        <v>0.52</v>
      </c>
      <c r="CA91" s="40">
        <v>0.65</v>
      </c>
      <c r="CB91" s="45">
        <v>1</v>
      </c>
      <c r="CC91" s="41">
        <v>3.3053800540389693</v>
      </c>
      <c r="CD91" s="41">
        <v>20.327520115960354</v>
      </c>
      <c r="CE91" s="41">
        <v>76.367099830000683</v>
      </c>
      <c r="CF91" s="125">
        <v>1</v>
      </c>
      <c r="CG91" s="40">
        <f t="shared" si="99"/>
        <v>2.2911749655823248E-2</v>
      </c>
      <c r="CH91" s="40">
        <f t="shared" si="100"/>
        <v>2.2911749655823248E-2</v>
      </c>
      <c r="CI91" s="99">
        <f t="shared" si="101"/>
        <v>7.5732040315492385E-4</v>
      </c>
      <c r="CJ91" s="100">
        <f t="shared" si="102"/>
        <v>4.6573905202059477E-3</v>
      </c>
      <c r="CK91" s="100">
        <f t="shared" si="103"/>
        <v>1.7497038732462378E-2</v>
      </c>
      <c r="CL91" s="101">
        <f t="shared" si="80"/>
        <v>9.4961162840745341E-4</v>
      </c>
      <c r="CM91" s="100">
        <f t="shared" si="81"/>
        <v>4.4875120179517364E-3</v>
      </c>
      <c r="CN91" s="100">
        <f t="shared" si="82"/>
        <v>6.9860857803089212E-3</v>
      </c>
      <c r="CO91" s="100">
        <f t="shared" si="83"/>
        <v>2.6245558098693569E-2</v>
      </c>
      <c r="CP91" s="101">
        <f t="shared" si="84"/>
        <v>1.4244174426111802E-3</v>
      </c>
      <c r="CQ91" s="100">
        <f t="shared" si="85"/>
        <v>6.7312680269276037E-3</v>
      </c>
      <c r="CR91" s="99">
        <f t="shared" si="86"/>
        <v>0.23632900169999324</v>
      </c>
      <c r="CS91" s="31">
        <v>1.5</v>
      </c>
      <c r="CT91" s="31">
        <v>1.5</v>
      </c>
      <c r="CU91" s="43">
        <v>0.125</v>
      </c>
      <c r="CV91" s="44">
        <v>0.4</v>
      </c>
      <c r="CW91" s="43">
        <v>2.1000000000000001E-2</v>
      </c>
      <c r="CX91" s="44">
        <v>0.15</v>
      </c>
      <c r="CY91" s="124"/>
    </row>
    <row r="92" spans="1:196" s="26" customFormat="1" x14ac:dyDescent="0.25">
      <c r="A92" s="31">
        <v>78</v>
      </c>
      <c r="B92" s="83">
        <v>3</v>
      </c>
      <c r="C92" s="31">
        <v>70</v>
      </c>
      <c r="D92" s="31" t="s">
        <v>36</v>
      </c>
      <c r="E92" s="31" t="s">
        <v>6</v>
      </c>
      <c r="F92" s="31" t="s">
        <v>12</v>
      </c>
      <c r="G92" s="31" t="str">
        <f t="shared" si="87"/>
        <v>Kommunal 70 Y 3 A</v>
      </c>
      <c r="H92" s="48">
        <f t="shared" si="53"/>
        <v>9.1674094071364703E-2</v>
      </c>
      <c r="I92" s="40">
        <f t="shared" si="54"/>
        <v>0.12565980768393534</v>
      </c>
      <c r="J92" s="99">
        <f t="shared" si="55"/>
        <v>2.0137271919035914E-3</v>
      </c>
      <c r="K92" s="48">
        <f t="shared" si="56"/>
        <v>2.8351091352166027E-2</v>
      </c>
      <c r="L92" s="48">
        <f t="shared" si="57"/>
        <v>9.5294989139865713E-2</v>
      </c>
      <c r="M92" s="48">
        <f t="shared" si="88"/>
        <v>0.23058044957546225</v>
      </c>
      <c r="N92" s="99">
        <f t="shared" si="58"/>
        <v>4.4417798660564209E-3</v>
      </c>
      <c r="O92" s="48">
        <f t="shared" si="59"/>
        <v>2.2808464301737656E-2</v>
      </c>
      <c r="P92" s="48">
        <f t="shared" si="60"/>
        <v>4.2526637028249041E-2</v>
      </c>
      <c r="Q92" s="48">
        <f t="shared" si="61"/>
        <v>0.14294248370979856</v>
      </c>
      <c r="R92" s="40">
        <f t="shared" si="89"/>
        <v>1.6140631470282358</v>
      </c>
      <c r="S92" s="99">
        <f t="shared" si="62"/>
        <v>6.6626697990846305E-3</v>
      </c>
      <c r="T92" s="48">
        <f t="shared" si="63"/>
        <v>3.4212696452606481E-2</v>
      </c>
      <c r="U92" s="40">
        <v>4.7282400000000022</v>
      </c>
      <c r="V92" s="40">
        <v>1.25</v>
      </c>
      <c r="W92" s="40">
        <v>0.45</v>
      </c>
      <c r="X92" s="40">
        <v>1.5241919747630239</v>
      </c>
      <c r="Y92" s="42">
        <v>0.82304534923805894</v>
      </c>
      <c r="Z92" s="42">
        <v>22.086927970711699</v>
      </c>
      <c r="AA92" s="42">
        <v>77.090026680050244</v>
      </c>
      <c r="AB92" s="42">
        <v>2.333333333333333</v>
      </c>
      <c r="AC92" s="125">
        <v>1</v>
      </c>
      <c r="AD92" s="94">
        <f t="shared" si="90"/>
        <v>6.4834479062627487E-2</v>
      </c>
      <c r="AE92" s="94">
        <f t="shared" si="91"/>
        <v>9.8820192675198121E-2</v>
      </c>
      <c r="AF92" s="96">
        <f t="shared" si="64"/>
        <v>8.1333499992130719E-4</v>
      </c>
      <c r="AG92" s="95">
        <f t="shared" si="52"/>
        <v>2.1826344776689526E-2</v>
      </c>
      <c r="AH92" s="94">
        <f t="shared" si="92"/>
        <v>7.618051289858728E-2</v>
      </c>
      <c r="AI92" s="94">
        <f t="shared" si="93"/>
        <v>0.23058044957546225</v>
      </c>
      <c r="AJ92" s="96">
        <f t="shared" si="65"/>
        <v>3.1935373272083201E-3</v>
      </c>
      <c r="AK92" s="95">
        <f t="shared" si="66"/>
        <v>1.7213175238809077E-2</v>
      </c>
      <c r="AL92" s="95">
        <f t="shared" si="67"/>
        <v>3.2739517165034288E-2</v>
      </c>
      <c r="AM92" s="94">
        <f t="shared" si="68"/>
        <v>0.11427076934788091</v>
      </c>
      <c r="AN92" s="93">
        <f t="shared" si="69"/>
        <v>1.6140631470282358</v>
      </c>
      <c r="AO92" s="96">
        <f t="shared" si="70"/>
        <v>4.7903059908124806E-3</v>
      </c>
      <c r="AP92" s="95">
        <f t="shared" si="71"/>
        <v>2.5819762858213614E-2</v>
      </c>
      <c r="AQ92" s="93">
        <f t="shared" si="72"/>
        <v>0.22909973319949758</v>
      </c>
      <c r="AR92" s="31">
        <v>1.5</v>
      </c>
      <c r="AS92" s="31">
        <v>1.5</v>
      </c>
      <c r="AT92" s="31">
        <v>7</v>
      </c>
      <c r="AU92" s="43">
        <v>0.08</v>
      </c>
      <c r="AV92" s="44">
        <v>0.3</v>
      </c>
      <c r="AW92" s="43">
        <v>1.9E-2</v>
      </c>
      <c r="AX92" s="44">
        <v>0.14000000000000001</v>
      </c>
      <c r="AY92" s="40">
        <v>6.7734314201523551</v>
      </c>
      <c r="AZ92" s="41">
        <v>0.5</v>
      </c>
      <c r="BA92" s="40">
        <v>0.72</v>
      </c>
      <c r="BB92" s="45">
        <v>1</v>
      </c>
      <c r="BC92" s="41">
        <v>11.280218363357537</v>
      </c>
      <c r="BD92" s="41">
        <v>47.541244098024215</v>
      </c>
      <c r="BE92" s="41">
        <v>41.178537538618244</v>
      </c>
      <c r="BF92" s="125">
        <v>1</v>
      </c>
      <c r="BG92" s="48">
        <f t="shared" si="94"/>
        <v>3.9278653529139706E-3</v>
      </c>
      <c r="BH92" s="48">
        <f t="shared" si="95"/>
        <v>3.9278653529139706E-3</v>
      </c>
      <c r="BI92" s="99">
        <f t="shared" si="96"/>
        <v>4.4307178882736005E-4</v>
      </c>
      <c r="BJ92" s="99">
        <f t="shared" si="97"/>
        <v>1.8673560552705513E-3</v>
      </c>
      <c r="BK92" s="48">
        <f t="shared" si="98"/>
        <v>1.6174375088160594E-3</v>
      </c>
      <c r="BL92" s="99">
        <f t="shared" si="73"/>
        <v>2.9863091044064657E-4</v>
      </c>
      <c r="BM92" s="48">
        <f t="shared" si="74"/>
        <v>1.1077770449768433E-3</v>
      </c>
      <c r="BN92" s="48">
        <f t="shared" si="75"/>
        <v>2.8010340829058272E-3</v>
      </c>
      <c r="BO92" s="48">
        <f t="shared" si="76"/>
        <v>2.4261562632240889E-3</v>
      </c>
      <c r="BP92" s="99">
        <f t="shared" si="77"/>
        <v>4.4794636566096988E-4</v>
      </c>
      <c r="BQ92" s="48">
        <f t="shared" si="78"/>
        <v>1.6616655674652652E-3</v>
      </c>
      <c r="BR92" s="40">
        <f t="shared" si="79"/>
        <v>0.58821462461381757</v>
      </c>
      <c r="BS92" s="31">
        <v>1.5</v>
      </c>
      <c r="BT92" s="31">
        <v>1.5</v>
      </c>
      <c r="BU92" s="43">
        <v>0.14000000000000001</v>
      </c>
      <c r="BV92" s="44">
        <v>0.42</v>
      </c>
      <c r="BW92" s="43">
        <v>2.3E-2</v>
      </c>
      <c r="BX92" s="44">
        <v>0.2</v>
      </c>
      <c r="BY92" s="40">
        <v>17.442066059404368</v>
      </c>
      <c r="BZ92" s="40">
        <v>0.52</v>
      </c>
      <c r="CA92" s="40">
        <v>0.65</v>
      </c>
      <c r="CB92" s="45">
        <v>1</v>
      </c>
      <c r="CC92" s="41">
        <v>3.3053800540389702</v>
      </c>
      <c r="CD92" s="41">
        <v>20.327520115960358</v>
      </c>
      <c r="CE92" s="41">
        <v>76.367099830000683</v>
      </c>
      <c r="CF92" s="125">
        <v>1</v>
      </c>
      <c r="CG92" s="40">
        <f t="shared" si="99"/>
        <v>2.2911749655823248E-2</v>
      </c>
      <c r="CH92" s="40">
        <f t="shared" si="100"/>
        <v>2.2911749655823248E-2</v>
      </c>
      <c r="CI92" s="99">
        <f t="shared" si="101"/>
        <v>7.5732040315492396E-4</v>
      </c>
      <c r="CJ92" s="100">
        <f t="shared" si="102"/>
        <v>4.6573905202059486E-3</v>
      </c>
      <c r="CK92" s="100">
        <f t="shared" si="103"/>
        <v>1.7497038732462378E-2</v>
      </c>
      <c r="CL92" s="101">
        <f t="shared" si="80"/>
        <v>9.4961162840745362E-4</v>
      </c>
      <c r="CM92" s="100">
        <f t="shared" si="81"/>
        <v>4.4875120179517364E-3</v>
      </c>
      <c r="CN92" s="100">
        <f t="shared" si="82"/>
        <v>6.9860857803089229E-3</v>
      </c>
      <c r="CO92" s="100">
        <f t="shared" si="83"/>
        <v>2.6245558098693569E-2</v>
      </c>
      <c r="CP92" s="101">
        <f t="shared" si="84"/>
        <v>1.4244174426111802E-3</v>
      </c>
      <c r="CQ92" s="100">
        <f t="shared" si="85"/>
        <v>6.7312680269276046E-3</v>
      </c>
      <c r="CR92" s="99">
        <f t="shared" si="86"/>
        <v>0.23632900169999327</v>
      </c>
      <c r="CS92" s="31">
        <v>1.5</v>
      </c>
      <c r="CT92" s="31">
        <v>1.5</v>
      </c>
      <c r="CU92" s="43">
        <v>0.125</v>
      </c>
      <c r="CV92" s="44">
        <v>0.4</v>
      </c>
      <c r="CW92" s="43">
        <v>2.1000000000000001E-2</v>
      </c>
      <c r="CX92" s="44">
        <v>0.15</v>
      </c>
      <c r="CY92" s="124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</row>
    <row r="93" spans="1:196" s="23" customFormat="1" x14ac:dyDescent="0.25">
      <c r="A93" s="31">
        <v>79</v>
      </c>
      <c r="B93" s="83">
        <v>3</v>
      </c>
      <c r="C93" s="31">
        <v>70</v>
      </c>
      <c r="D93" s="31" t="s">
        <v>36</v>
      </c>
      <c r="E93" s="31" t="s">
        <v>6</v>
      </c>
      <c r="F93" s="31" t="s">
        <v>13</v>
      </c>
      <c r="G93" s="31" t="str">
        <f t="shared" si="87"/>
        <v>Kommunal 70 Y 3 B</v>
      </c>
      <c r="H93" s="48">
        <f t="shared" si="53"/>
        <v>9.1674094071364703E-2</v>
      </c>
      <c r="I93" s="40">
        <f t="shared" si="54"/>
        <v>0.12565980768393534</v>
      </c>
      <c r="J93" s="99">
        <f t="shared" si="55"/>
        <v>2.0137271919035914E-3</v>
      </c>
      <c r="K93" s="48">
        <f t="shared" si="56"/>
        <v>2.8351091352166027E-2</v>
      </c>
      <c r="L93" s="48">
        <f t="shared" si="57"/>
        <v>9.5294989139865713E-2</v>
      </c>
      <c r="M93" s="48">
        <f t="shared" si="88"/>
        <v>0.23058044957546225</v>
      </c>
      <c r="N93" s="99">
        <f t="shared" si="58"/>
        <v>4.4417798660564209E-3</v>
      </c>
      <c r="O93" s="48">
        <f t="shared" si="59"/>
        <v>2.2808464301737656E-2</v>
      </c>
      <c r="P93" s="48">
        <f t="shared" si="60"/>
        <v>4.2526637028249041E-2</v>
      </c>
      <c r="Q93" s="48">
        <f t="shared" si="61"/>
        <v>0.14294248370979856</v>
      </c>
      <c r="R93" s="40">
        <f t="shared" si="89"/>
        <v>1.6140631470282358</v>
      </c>
      <c r="S93" s="99">
        <f t="shared" si="62"/>
        <v>6.6626697990846305E-3</v>
      </c>
      <c r="T93" s="48">
        <f t="shared" si="63"/>
        <v>3.4212696452606481E-2</v>
      </c>
      <c r="U93" s="40">
        <v>4.7282400000000022</v>
      </c>
      <c r="V93" s="40">
        <v>1.25</v>
      </c>
      <c r="W93" s="40">
        <v>0.45</v>
      </c>
      <c r="X93" s="40">
        <v>1.5241919747630239</v>
      </c>
      <c r="Y93" s="42">
        <v>0.82304534923805894</v>
      </c>
      <c r="Z93" s="42">
        <v>22.086927970711699</v>
      </c>
      <c r="AA93" s="42">
        <v>77.090026680050244</v>
      </c>
      <c r="AB93" s="42">
        <v>2.333333333333333</v>
      </c>
      <c r="AC93" s="125">
        <v>1</v>
      </c>
      <c r="AD93" s="94">
        <f t="shared" si="90"/>
        <v>6.4834479062627487E-2</v>
      </c>
      <c r="AE93" s="94">
        <f t="shared" si="91"/>
        <v>9.8820192675198121E-2</v>
      </c>
      <c r="AF93" s="96">
        <f t="shared" si="64"/>
        <v>8.1333499992130719E-4</v>
      </c>
      <c r="AG93" s="95">
        <f t="shared" si="52"/>
        <v>2.1826344776689526E-2</v>
      </c>
      <c r="AH93" s="94">
        <f t="shared" si="92"/>
        <v>7.618051289858728E-2</v>
      </c>
      <c r="AI93" s="94">
        <f t="shared" si="93"/>
        <v>0.23058044957546225</v>
      </c>
      <c r="AJ93" s="96">
        <f t="shared" si="65"/>
        <v>3.1935373272083201E-3</v>
      </c>
      <c r="AK93" s="95">
        <f t="shared" si="66"/>
        <v>1.7213175238809077E-2</v>
      </c>
      <c r="AL93" s="95">
        <f t="shared" si="67"/>
        <v>3.2739517165034288E-2</v>
      </c>
      <c r="AM93" s="94">
        <f t="shared" si="68"/>
        <v>0.11427076934788091</v>
      </c>
      <c r="AN93" s="93">
        <f t="shared" si="69"/>
        <v>1.6140631470282358</v>
      </c>
      <c r="AO93" s="96">
        <f t="shared" si="70"/>
        <v>4.7903059908124806E-3</v>
      </c>
      <c r="AP93" s="95">
        <f t="shared" si="71"/>
        <v>2.5819762858213614E-2</v>
      </c>
      <c r="AQ93" s="93">
        <f t="shared" si="72"/>
        <v>0.22909973319949758</v>
      </c>
      <c r="AR93" s="31">
        <v>1.5</v>
      </c>
      <c r="AS93" s="31">
        <v>1.5</v>
      </c>
      <c r="AT93" s="31">
        <v>7</v>
      </c>
      <c r="AU93" s="43">
        <v>0.08</v>
      </c>
      <c r="AV93" s="44">
        <v>0.3</v>
      </c>
      <c r="AW93" s="43">
        <v>1.9E-2</v>
      </c>
      <c r="AX93" s="44">
        <v>0.14000000000000001</v>
      </c>
      <c r="AY93" s="40">
        <v>6.7734314201523551</v>
      </c>
      <c r="AZ93" s="41">
        <v>0.5</v>
      </c>
      <c r="BA93" s="40">
        <v>0.72</v>
      </c>
      <c r="BB93" s="45">
        <v>1</v>
      </c>
      <c r="BC93" s="41">
        <v>11.280218363357537</v>
      </c>
      <c r="BD93" s="41">
        <v>47.541244098024215</v>
      </c>
      <c r="BE93" s="41">
        <v>41.178537538618244</v>
      </c>
      <c r="BF93" s="125">
        <v>1</v>
      </c>
      <c r="BG93" s="48">
        <f t="shared" si="94"/>
        <v>3.9278653529139706E-3</v>
      </c>
      <c r="BH93" s="48">
        <f t="shared" si="95"/>
        <v>3.9278653529139706E-3</v>
      </c>
      <c r="BI93" s="99">
        <f t="shared" si="96"/>
        <v>4.4307178882736005E-4</v>
      </c>
      <c r="BJ93" s="99">
        <f t="shared" si="97"/>
        <v>1.8673560552705513E-3</v>
      </c>
      <c r="BK93" s="48">
        <f t="shared" si="98"/>
        <v>1.6174375088160594E-3</v>
      </c>
      <c r="BL93" s="99">
        <f t="shared" si="73"/>
        <v>2.9863091044064657E-4</v>
      </c>
      <c r="BM93" s="48">
        <f t="shared" si="74"/>
        <v>1.1077770449768433E-3</v>
      </c>
      <c r="BN93" s="48">
        <f t="shared" si="75"/>
        <v>2.8010340829058272E-3</v>
      </c>
      <c r="BO93" s="48">
        <f t="shared" si="76"/>
        <v>2.4261562632240889E-3</v>
      </c>
      <c r="BP93" s="99">
        <f t="shared" si="77"/>
        <v>4.4794636566096988E-4</v>
      </c>
      <c r="BQ93" s="48">
        <f t="shared" si="78"/>
        <v>1.6616655674652652E-3</v>
      </c>
      <c r="BR93" s="40">
        <f t="shared" si="79"/>
        <v>0.58821462461381757</v>
      </c>
      <c r="BS93" s="31">
        <v>1.5</v>
      </c>
      <c r="BT93" s="31">
        <v>1.5</v>
      </c>
      <c r="BU93" s="43">
        <v>0.14000000000000001</v>
      </c>
      <c r="BV93" s="44">
        <v>0.42</v>
      </c>
      <c r="BW93" s="43">
        <v>2.3E-2</v>
      </c>
      <c r="BX93" s="44">
        <v>0.2</v>
      </c>
      <c r="BY93" s="40">
        <v>17.442066059404368</v>
      </c>
      <c r="BZ93" s="40">
        <v>0.52</v>
      </c>
      <c r="CA93" s="40">
        <v>0.65</v>
      </c>
      <c r="CB93" s="45">
        <v>1</v>
      </c>
      <c r="CC93" s="41">
        <v>3.3053800540389702</v>
      </c>
      <c r="CD93" s="41">
        <v>20.327520115960358</v>
      </c>
      <c r="CE93" s="41">
        <v>76.367099830000683</v>
      </c>
      <c r="CF93" s="125">
        <v>1</v>
      </c>
      <c r="CG93" s="40">
        <f t="shared" si="99"/>
        <v>2.2911749655823248E-2</v>
      </c>
      <c r="CH93" s="40">
        <f t="shared" si="100"/>
        <v>2.2911749655823248E-2</v>
      </c>
      <c r="CI93" s="99">
        <f t="shared" si="101"/>
        <v>7.5732040315492396E-4</v>
      </c>
      <c r="CJ93" s="100">
        <f t="shared" si="102"/>
        <v>4.6573905202059486E-3</v>
      </c>
      <c r="CK93" s="100">
        <f t="shared" si="103"/>
        <v>1.7497038732462378E-2</v>
      </c>
      <c r="CL93" s="101">
        <f t="shared" si="80"/>
        <v>9.4961162840745362E-4</v>
      </c>
      <c r="CM93" s="100">
        <f t="shared" si="81"/>
        <v>4.4875120179517364E-3</v>
      </c>
      <c r="CN93" s="100">
        <f t="shared" si="82"/>
        <v>6.9860857803089229E-3</v>
      </c>
      <c r="CO93" s="100">
        <f t="shared" si="83"/>
        <v>2.6245558098693569E-2</v>
      </c>
      <c r="CP93" s="101">
        <f t="shared" si="84"/>
        <v>1.4244174426111802E-3</v>
      </c>
      <c r="CQ93" s="100">
        <f t="shared" si="85"/>
        <v>6.7312680269276046E-3</v>
      </c>
      <c r="CR93" s="99">
        <f t="shared" si="86"/>
        <v>0.23632900169999327</v>
      </c>
      <c r="CS93" s="31">
        <v>1.5</v>
      </c>
      <c r="CT93" s="31">
        <v>1.5</v>
      </c>
      <c r="CU93" s="43">
        <v>0.125</v>
      </c>
      <c r="CV93" s="44">
        <v>0.4</v>
      </c>
      <c r="CW93" s="43">
        <v>2.1000000000000001E-2</v>
      </c>
      <c r="CX93" s="44">
        <v>0.15</v>
      </c>
      <c r="CY93" s="124"/>
    </row>
    <row r="94" spans="1:196" s="23" customFormat="1" x14ac:dyDescent="0.25">
      <c r="A94" s="31">
        <v>80</v>
      </c>
      <c r="B94" s="83">
        <v>3</v>
      </c>
      <c r="C94" s="31">
        <v>70</v>
      </c>
      <c r="D94" s="31" t="s">
        <v>36</v>
      </c>
      <c r="E94" s="31" t="s">
        <v>6</v>
      </c>
      <c r="F94" s="31" t="s">
        <v>70</v>
      </c>
      <c r="G94" s="31" t="str">
        <f t="shared" si="87"/>
        <v>Kommunal 70 Y 3 Ck</v>
      </c>
      <c r="H94" s="48">
        <f t="shared" si="53"/>
        <v>8.5190646165101955E-2</v>
      </c>
      <c r="I94" s="40">
        <f t="shared" si="54"/>
        <v>0.11577778841641551</v>
      </c>
      <c r="J94" s="99">
        <f t="shared" si="55"/>
        <v>1.9323936919114605E-3</v>
      </c>
      <c r="K94" s="48">
        <f t="shared" si="56"/>
        <v>2.6168456874497068E-2</v>
      </c>
      <c r="L94" s="48">
        <f t="shared" si="57"/>
        <v>8.7676937850006978E-2</v>
      </c>
      <c r="M94" s="48">
        <f t="shared" si="88"/>
        <v>0.20752240461791599</v>
      </c>
      <c r="N94" s="99">
        <f t="shared" si="58"/>
        <v>4.1224261333355876E-3</v>
      </c>
      <c r="O94" s="48">
        <f t="shared" si="59"/>
        <v>2.1087146777856745E-2</v>
      </c>
      <c r="P94" s="48">
        <f t="shared" si="60"/>
        <v>3.9252685311745604E-2</v>
      </c>
      <c r="Q94" s="48">
        <f t="shared" si="61"/>
        <v>0.1315154067750105</v>
      </c>
      <c r="R94" s="40">
        <f t="shared" si="89"/>
        <v>1.4526568323254119</v>
      </c>
      <c r="S94" s="99">
        <f t="shared" si="62"/>
        <v>6.1836392000033814E-3</v>
      </c>
      <c r="T94" s="48">
        <f t="shared" si="63"/>
        <v>3.1630720166785121E-2</v>
      </c>
      <c r="U94" s="40">
        <v>4.2554160000000003</v>
      </c>
      <c r="V94" s="40">
        <v>1.25</v>
      </c>
      <c r="W94" s="40">
        <v>0.45</v>
      </c>
      <c r="X94" s="40">
        <v>1.5241919747630239</v>
      </c>
      <c r="Y94" s="42">
        <v>0.82304534923805894</v>
      </c>
      <c r="Z94" s="42">
        <v>22.086927970711695</v>
      </c>
      <c r="AA94" s="42">
        <v>77.090026680050244</v>
      </c>
      <c r="AB94" s="42">
        <v>2.333333333333333</v>
      </c>
      <c r="AC94" s="125">
        <v>1</v>
      </c>
      <c r="AD94" s="94">
        <f t="shared" si="90"/>
        <v>5.8351031156364731E-2</v>
      </c>
      <c r="AE94" s="94">
        <f t="shared" si="91"/>
        <v>8.8938173407678289E-2</v>
      </c>
      <c r="AF94" s="96">
        <f t="shared" si="64"/>
        <v>7.3200149992917632E-4</v>
      </c>
      <c r="AG94" s="95">
        <f t="shared" si="52"/>
        <v>1.9643710299020567E-2</v>
      </c>
      <c r="AH94" s="94">
        <f t="shared" si="92"/>
        <v>6.8562461608728545E-2</v>
      </c>
      <c r="AI94" s="94">
        <f t="shared" si="93"/>
        <v>0.20752240461791599</v>
      </c>
      <c r="AJ94" s="96">
        <f t="shared" si="65"/>
        <v>2.8741835944874877E-3</v>
      </c>
      <c r="AK94" s="95">
        <f t="shared" si="66"/>
        <v>1.5491857714928167E-2</v>
      </c>
      <c r="AL94" s="95">
        <f t="shared" si="67"/>
        <v>2.946556544853085E-2</v>
      </c>
      <c r="AM94" s="94">
        <f t="shared" si="68"/>
        <v>0.10284369241309282</v>
      </c>
      <c r="AN94" s="93">
        <f t="shared" si="69"/>
        <v>1.4526568323254119</v>
      </c>
      <c r="AO94" s="96">
        <f t="shared" si="70"/>
        <v>4.3112753917312315E-3</v>
      </c>
      <c r="AP94" s="95">
        <f t="shared" si="71"/>
        <v>2.3237786572392252E-2</v>
      </c>
      <c r="AQ94" s="93">
        <f t="shared" si="72"/>
        <v>0.22909973319949756</v>
      </c>
      <c r="AR94" s="31">
        <v>1.5</v>
      </c>
      <c r="AS94" s="31">
        <v>1.5</v>
      </c>
      <c r="AT94" s="31">
        <v>7</v>
      </c>
      <c r="AU94" s="43">
        <v>0.08</v>
      </c>
      <c r="AV94" s="44">
        <v>0.3</v>
      </c>
      <c r="AW94" s="43">
        <v>1.9E-2</v>
      </c>
      <c r="AX94" s="44">
        <v>0.14000000000000001</v>
      </c>
      <c r="AY94" s="40">
        <v>6.7734314201523551</v>
      </c>
      <c r="AZ94" s="41">
        <v>0.5</v>
      </c>
      <c r="BA94" s="40">
        <v>0.72</v>
      </c>
      <c r="BB94" s="45">
        <v>1</v>
      </c>
      <c r="BC94" s="41">
        <v>11.280218363357537</v>
      </c>
      <c r="BD94" s="41">
        <v>47.541244098024215</v>
      </c>
      <c r="BE94" s="41">
        <v>41.178537538618244</v>
      </c>
      <c r="BF94" s="125">
        <v>1</v>
      </c>
      <c r="BG94" s="48">
        <f t="shared" si="94"/>
        <v>3.9278653529139706E-3</v>
      </c>
      <c r="BH94" s="48">
        <f t="shared" si="95"/>
        <v>3.9278653529139706E-3</v>
      </c>
      <c r="BI94" s="99">
        <f t="shared" si="96"/>
        <v>4.4307178882736005E-4</v>
      </c>
      <c r="BJ94" s="99">
        <f t="shared" si="97"/>
        <v>1.8673560552705513E-3</v>
      </c>
      <c r="BK94" s="48">
        <f t="shared" si="98"/>
        <v>1.6174375088160594E-3</v>
      </c>
      <c r="BL94" s="99">
        <f t="shared" si="73"/>
        <v>2.9863091044064657E-4</v>
      </c>
      <c r="BM94" s="48">
        <f t="shared" si="74"/>
        <v>1.1077770449768433E-3</v>
      </c>
      <c r="BN94" s="48">
        <f t="shared" si="75"/>
        <v>2.8010340829058272E-3</v>
      </c>
      <c r="BO94" s="48">
        <f t="shared" si="76"/>
        <v>2.4261562632240889E-3</v>
      </c>
      <c r="BP94" s="99">
        <f t="shared" si="77"/>
        <v>4.4794636566096988E-4</v>
      </c>
      <c r="BQ94" s="48">
        <f t="shared" si="78"/>
        <v>1.6616655674652652E-3</v>
      </c>
      <c r="BR94" s="40">
        <f t="shared" si="79"/>
        <v>0.58821462461381757</v>
      </c>
      <c r="BS94" s="31">
        <v>1.5</v>
      </c>
      <c r="BT94" s="31">
        <v>1.5</v>
      </c>
      <c r="BU94" s="43">
        <v>0.14000000000000001</v>
      </c>
      <c r="BV94" s="44">
        <v>0.42</v>
      </c>
      <c r="BW94" s="43">
        <v>2.3E-2</v>
      </c>
      <c r="BX94" s="44">
        <v>0.2</v>
      </c>
      <c r="BY94" s="40">
        <v>17.442066059404368</v>
      </c>
      <c r="BZ94" s="40">
        <v>0.52</v>
      </c>
      <c r="CA94" s="40">
        <v>0.65</v>
      </c>
      <c r="CB94" s="45">
        <v>1</v>
      </c>
      <c r="CC94" s="41">
        <v>3.3053800540389702</v>
      </c>
      <c r="CD94" s="41">
        <v>20.327520115960358</v>
      </c>
      <c r="CE94" s="41">
        <v>76.367099830000683</v>
      </c>
      <c r="CF94" s="125">
        <v>1</v>
      </c>
      <c r="CG94" s="40">
        <f t="shared" si="99"/>
        <v>2.2911749655823248E-2</v>
      </c>
      <c r="CH94" s="40">
        <f t="shared" si="100"/>
        <v>2.2911749655823248E-2</v>
      </c>
      <c r="CI94" s="99">
        <f t="shared" si="101"/>
        <v>7.5732040315492396E-4</v>
      </c>
      <c r="CJ94" s="100">
        <f t="shared" si="102"/>
        <v>4.6573905202059486E-3</v>
      </c>
      <c r="CK94" s="100">
        <f t="shared" si="103"/>
        <v>1.7497038732462378E-2</v>
      </c>
      <c r="CL94" s="101">
        <f t="shared" si="80"/>
        <v>9.4961162840745362E-4</v>
      </c>
      <c r="CM94" s="100">
        <f t="shared" si="81"/>
        <v>4.4875120179517364E-3</v>
      </c>
      <c r="CN94" s="100">
        <f t="shared" si="82"/>
        <v>6.9860857803089229E-3</v>
      </c>
      <c r="CO94" s="100">
        <f t="shared" si="83"/>
        <v>2.6245558098693569E-2</v>
      </c>
      <c r="CP94" s="101">
        <f t="shared" si="84"/>
        <v>1.4244174426111802E-3</v>
      </c>
      <c r="CQ94" s="100">
        <f t="shared" si="85"/>
        <v>6.7312680269276046E-3</v>
      </c>
      <c r="CR94" s="99">
        <f t="shared" si="86"/>
        <v>0.23632900169999327</v>
      </c>
      <c r="CS94" s="31">
        <v>1.5</v>
      </c>
      <c r="CT94" s="31">
        <v>1.5</v>
      </c>
      <c r="CU94" s="43">
        <v>0.125</v>
      </c>
      <c r="CV94" s="44">
        <v>0.4</v>
      </c>
      <c r="CW94" s="43">
        <v>2.1000000000000001E-2</v>
      </c>
      <c r="CX94" s="44">
        <v>0.15</v>
      </c>
      <c r="CY94" s="124"/>
    </row>
    <row r="95" spans="1:196" s="23" customFormat="1" x14ac:dyDescent="0.25">
      <c r="A95" s="31">
        <v>81</v>
      </c>
      <c r="B95" s="83">
        <v>3</v>
      </c>
      <c r="C95" s="31">
        <v>70</v>
      </c>
      <c r="D95" s="31" t="s">
        <v>36</v>
      </c>
      <c r="E95" s="31" t="s">
        <v>6</v>
      </c>
      <c r="F95" s="31" t="s">
        <v>71</v>
      </c>
      <c r="G95" s="31" t="str">
        <f t="shared" si="87"/>
        <v>Kommunal 70 Y 3 Cm</v>
      </c>
      <c r="H95" s="48">
        <f t="shared" si="53"/>
        <v>8.5190646165101955E-2</v>
      </c>
      <c r="I95" s="40">
        <f t="shared" si="54"/>
        <v>0.11577778841641551</v>
      </c>
      <c r="J95" s="99">
        <f t="shared" si="55"/>
        <v>1.9323936919114605E-3</v>
      </c>
      <c r="K95" s="48">
        <f t="shared" si="56"/>
        <v>2.6168456874497068E-2</v>
      </c>
      <c r="L95" s="48">
        <f t="shared" si="57"/>
        <v>8.7676937850006978E-2</v>
      </c>
      <c r="M95" s="48">
        <f t="shared" si="88"/>
        <v>0.20752240461791599</v>
      </c>
      <c r="N95" s="99">
        <f t="shared" si="58"/>
        <v>4.1224261333355876E-3</v>
      </c>
      <c r="O95" s="48">
        <f t="shared" si="59"/>
        <v>2.1087146777856745E-2</v>
      </c>
      <c r="P95" s="48">
        <f t="shared" si="60"/>
        <v>3.9252685311745604E-2</v>
      </c>
      <c r="Q95" s="48">
        <f t="shared" si="61"/>
        <v>0.1315154067750105</v>
      </c>
      <c r="R95" s="40">
        <f t="shared" si="89"/>
        <v>1.4526568323254119</v>
      </c>
      <c r="S95" s="99">
        <f t="shared" si="62"/>
        <v>6.1836392000033814E-3</v>
      </c>
      <c r="T95" s="48">
        <f t="shared" si="63"/>
        <v>3.1630720166785121E-2</v>
      </c>
      <c r="U95" s="40">
        <v>4.2554160000000003</v>
      </c>
      <c r="V95" s="40">
        <v>1.25</v>
      </c>
      <c r="W95" s="40">
        <v>0.45</v>
      </c>
      <c r="X95" s="40">
        <v>1.5241919747630239</v>
      </c>
      <c r="Y95" s="42">
        <v>0.82304534923805894</v>
      </c>
      <c r="Z95" s="42">
        <v>22.086927970711695</v>
      </c>
      <c r="AA95" s="42">
        <v>77.090026680050244</v>
      </c>
      <c r="AB95" s="42">
        <v>2.333333333333333</v>
      </c>
      <c r="AC95" s="125">
        <v>1</v>
      </c>
      <c r="AD95" s="94">
        <f t="shared" si="90"/>
        <v>5.8351031156364731E-2</v>
      </c>
      <c r="AE95" s="94">
        <f t="shared" si="91"/>
        <v>8.8938173407678289E-2</v>
      </c>
      <c r="AF95" s="96">
        <f t="shared" si="64"/>
        <v>7.3200149992917632E-4</v>
      </c>
      <c r="AG95" s="95">
        <f t="shared" ref="AG95:AG158" si="104">$AE95*Z95/100</f>
        <v>1.9643710299020567E-2</v>
      </c>
      <c r="AH95" s="94">
        <f t="shared" si="92"/>
        <v>6.8562461608728545E-2</v>
      </c>
      <c r="AI95" s="94">
        <f t="shared" si="93"/>
        <v>0.20752240461791599</v>
      </c>
      <c r="AJ95" s="96">
        <f t="shared" si="65"/>
        <v>2.8741835944874877E-3</v>
      </c>
      <c r="AK95" s="95">
        <f t="shared" si="66"/>
        <v>1.5491857714928167E-2</v>
      </c>
      <c r="AL95" s="95">
        <f t="shared" si="67"/>
        <v>2.946556544853085E-2</v>
      </c>
      <c r="AM95" s="94">
        <f t="shared" si="68"/>
        <v>0.10284369241309282</v>
      </c>
      <c r="AN95" s="93">
        <f t="shared" si="69"/>
        <v>1.4526568323254119</v>
      </c>
      <c r="AO95" s="96">
        <f t="shared" si="70"/>
        <v>4.3112753917312315E-3</v>
      </c>
      <c r="AP95" s="95">
        <f t="shared" si="71"/>
        <v>2.3237786572392252E-2</v>
      </c>
      <c r="AQ95" s="93">
        <f t="shared" si="72"/>
        <v>0.22909973319949756</v>
      </c>
      <c r="AR95" s="31">
        <v>1.5</v>
      </c>
      <c r="AS95" s="31">
        <v>1.5</v>
      </c>
      <c r="AT95" s="31">
        <v>7</v>
      </c>
      <c r="AU95" s="43">
        <v>0.08</v>
      </c>
      <c r="AV95" s="44">
        <v>0.3</v>
      </c>
      <c r="AW95" s="43">
        <v>1.9E-2</v>
      </c>
      <c r="AX95" s="44">
        <v>0.14000000000000001</v>
      </c>
      <c r="AY95" s="40">
        <v>6.7734314201523551</v>
      </c>
      <c r="AZ95" s="41">
        <v>0.5</v>
      </c>
      <c r="BA95" s="40">
        <v>0.72</v>
      </c>
      <c r="BB95" s="45">
        <v>1</v>
      </c>
      <c r="BC95" s="41">
        <v>11.280218363357537</v>
      </c>
      <c r="BD95" s="41">
        <v>47.541244098024215</v>
      </c>
      <c r="BE95" s="41">
        <v>41.178537538618244</v>
      </c>
      <c r="BF95" s="125">
        <v>1</v>
      </c>
      <c r="BG95" s="48">
        <f t="shared" si="94"/>
        <v>3.9278653529139706E-3</v>
      </c>
      <c r="BH95" s="48">
        <f t="shared" si="95"/>
        <v>3.9278653529139706E-3</v>
      </c>
      <c r="BI95" s="99">
        <f t="shared" si="96"/>
        <v>4.4307178882736005E-4</v>
      </c>
      <c r="BJ95" s="99">
        <f t="shared" si="97"/>
        <v>1.8673560552705513E-3</v>
      </c>
      <c r="BK95" s="48">
        <f t="shared" si="98"/>
        <v>1.6174375088160594E-3</v>
      </c>
      <c r="BL95" s="99">
        <f t="shared" si="73"/>
        <v>2.9863091044064657E-4</v>
      </c>
      <c r="BM95" s="48">
        <f t="shared" si="74"/>
        <v>1.1077770449768433E-3</v>
      </c>
      <c r="BN95" s="48">
        <f t="shared" si="75"/>
        <v>2.8010340829058272E-3</v>
      </c>
      <c r="BO95" s="48">
        <f t="shared" si="76"/>
        <v>2.4261562632240889E-3</v>
      </c>
      <c r="BP95" s="99">
        <f t="shared" si="77"/>
        <v>4.4794636566096988E-4</v>
      </c>
      <c r="BQ95" s="48">
        <f t="shared" si="78"/>
        <v>1.6616655674652652E-3</v>
      </c>
      <c r="BR95" s="40">
        <f t="shared" si="79"/>
        <v>0.58821462461381757</v>
      </c>
      <c r="BS95" s="31">
        <v>1.5</v>
      </c>
      <c r="BT95" s="31">
        <v>1.5</v>
      </c>
      <c r="BU95" s="43">
        <v>0.14000000000000001</v>
      </c>
      <c r="BV95" s="44">
        <v>0.42</v>
      </c>
      <c r="BW95" s="43">
        <v>2.3E-2</v>
      </c>
      <c r="BX95" s="44">
        <v>0.2</v>
      </c>
      <c r="BY95" s="40">
        <v>17.442066059404368</v>
      </c>
      <c r="BZ95" s="40">
        <v>0.52</v>
      </c>
      <c r="CA95" s="40">
        <v>0.65</v>
      </c>
      <c r="CB95" s="45">
        <v>1</v>
      </c>
      <c r="CC95" s="41">
        <v>3.3053800540389702</v>
      </c>
      <c r="CD95" s="41">
        <v>20.327520115960358</v>
      </c>
      <c r="CE95" s="41">
        <v>76.367099830000683</v>
      </c>
      <c r="CF95" s="125">
        <v>1</v>
      </c>
      <c r="CG95" s="40">
        <f t="shared" si="99"/>
        <v>2.2911749655823248E-2</v>
      </c>
      <c r="CH95" s="40">
        <f t="shared" si="100"/>
        <v>2.2911749655823248E-2</v>
      </c>
      <c r="CI95" s="99">
        <f t="shared" si="101"/>
        <v>7.5732040315492396E-4</v>
      </c>
      <c r="CJ95" s="100">
        <f t="shared" si="102"/>
        <v>4.6573905202059486E-3</v>
      </c>
      <c r="CK95" s="100">
        <f t="shared" si="103"/>
        <v>1.7497038732462378E-2</v>
      </c>
      <c r="CL95" s="101">
        <f t="shared" si="80"/>
        <v>9.4961162840745362E-4</v>
      </c>
      <c r="CM95" s="100">
        <f t="shared" si="81"/>
        <v>4.4875120179517364E-3</v>
      </c>
      <c r="CN95" s="100">
        <f t="shared" si="82"/>
        <v>6.9860857803089229E-3</v>
      </c>
      <c r="CO95" s="100">
        <f t="shared" si="83"/>
        <v>2.6245558098693569E-2</v>
      </c>
      <c r="CP95" s="101">
        <f t="shared" si="84"/>
        <v>1.4244174426111802E-3</v>
      </c>
      <c r="CQ95" s="100">
        <f t="shared" si="85"/>
        <v>6.7312680269276046E-3</v>
      </c>
      <c r="CR95" s="99">
        <f t="shared" si="86"/>
        <v>0.23632900169999327</v>
      </c>
      <c r="CS95" s="31">
        <v>1.5</v>
      </c>
      <c r="CT95" s="31">
        <v>1.5</v>
      </c>
      <c r="CU95" s="43">
        <v>0.125</v>
      </c>
      <c r="CV95" s="44">
        <v>0.4</v>
      </c>
      <c r="CW95" s="43">
        <v>2.1000000000000001E-2</v>
      </c>
      <c r="CX95" s="44">
        <v>0.15</v>
      </c>
      <c r="CY95" s="124"/>
    </row>
    <row r="96" spans="1:196" s="23" customFormat="1" x14ac:dyDescent="0.25">
      <c r="A96" s="31">
        <v>82</v>
      </c>
      <c r="B96" s="83">
        <v>3</v>
      </c>
      <c r="C96" s="31">
        <v>70</v>
      </c>
      <c r="D96" s="31" t="s">
        <v>36</v>
      </c>
      <c r="E96" s="31" t="s">
        <v>6</v>
      </c>
      <c r="F96" s="31" t="s">
        <v>0</v>
      </c>
      <c r="G96" s="31" t="str">
        <f t="shared" si="87"/>
        <v>Kommunal 70 Y 3 D</v>
      </c>
      <c r="H96" s="48">
        <f t="shared" si="53"/>
        <v>5.305086205399169E-2</v>
      </c>
      <c r="I96" s="40">
        <f t="shared" si="54"/>
        <v>8.8759014562775462E-2</v>
      </c>
      <c r="J96" s="99">
        <f t="shared" si="55"/>
        <v>1.200392191982284E-3</v>
      </c>
      <c r="K96" s="48">
        <f t="shared" si="56"/>
        <v>1.4973202157195643E-2</v>
      </c>
      <c r="L96" s="48">
        <f t="shared" si="57"/>
        <v>7.258542021359754E-2</v>
      </c>
      <c r="M96" s="48">
        <f t="shared" si="88"/>
        <v>0.35087659747288336</v>
      </c>
      <c r="N96" s="99">
        <f t="shared" si="58"/>
        <v>2.9400669208596948E-3</v>
      </c>
      <c r="O96" s="48">
        <f t="shared" si="59"/>
        <v>1.5615757893568998E-2</v>
      </c>
      <c r="P96" s="48">
        <f t="shared" si="60"/>
        <v>2.2459803235793465E-2</v>
      </c>
      <c r="Q96" s="48">
        <f t="shared" si="61"/>
        <v>0.10887813032039632</v>
      </c>
      <c r="R96" s="40">
        <f t="shared" si="89"/>
        <v>2.4561361823101837</v>
      </c>
      <c r="S96" s="99">
        <f t="shared" si="62"/>
        <v>4.4101003812895417E-3</v>
      </c>
      <c r="T96" s="48">
        <f t="shared" si="63"/>
        <v>2.3423636840353496E-2</v>
      </c>
      <c r="U96" s="40">
        <v>1.0830105000000003</v>
      </c>
      <c r="V96" s="40">
        <v>1.2</v>
      </c>
      <c r="W96" s="45">
        <v>0</v>
      </c>
      <c r="X96" s="40">
        <v>2.3623217715331375</v>
      </c>
      <c r="Y96" s="42">
        <v>0</v>
      </c>
      <c r="Z96" s="42">
        <v>13.644278921577744</v>
      </c>
      <c r="AA96" s="42">
        <v>86.355721078422263</v>
      </c>
      <c r="AB96" s="42">
        <v>5.6666666666666661</v>
      </c>
      <c r="AC96" s="125">
        <v>1</v>
      </c>
      <c r="AD96" s="94">
        <f t="shared" si="90"/>
        <v>2.6211247045254467E-2</v>
      </c>
      <c r="AE96" s="94">
        <f t="shared" si="91"/>
        <v>6.1919399554038246E-2</v>
      </c>
      <c r="AF96" s="96">
        <f t="shared" si="64"/>
        <v>0</v>
      </c>
      <c r="AG96" s="95">
        <f t="shared" si="104"/>
        <v>8.4484555817191439E-3</v>
      </c>
      <c r="AH96" s="94">
        <f t="shared" si="92"/>
        <v>5.3470943972319107E-2</v>
      </c>
      <c r="AI96" s="94">
        <f t="shared" si="93"/>
        <v>0.35087659747288336</v>
      </c>
      <c r="AJ96" s="96">
        <f t="shared" si="65"/>
        <v>1.6918243820115944E-3</v>
      </c>
      <c r="AK96" s="95">
        <f t="shared" si="66"/>
        <v>1.0020468830640419E-2</v>
      </c>
      <c r="AL96" s="95">
        <f t="shared" si="67"/>
        <v>1.2672683372578715E-2</v>
      </c>
      <c r="AM96" s="94">
        <f t="shared" si="68"/>
        <v>8.0206415958478661E-2</v>
      </c>
      <c r="AN96" s="93">
        <f t="shared" si="69"/>
        <v>2.4561361823101837</v>
      </c>
      <c r="AO96" s="96">
        <f t="shared" si="70"/>
        <v>2.5377365730173919E-3</v>
      </c>
      <c r="AP96" s="95">
        <f t="shared" si="71"/>
        <v>1.5030703245960626E-2</v>
      </c>
      <c r="AQ96" s="93">
        <f t="shared" si="72"/>
        <v>0.13644278921577743</v>
      </c>
      <c r="AR96" s="31">
        <v>1.5</v>
      </c>
      <c r="AS96" s="31">
        <v>1.5</v>
      </c>
      <c r="AT96" s="31">
        <v>7</v>
      </c>
      <c r="AU96" s="43">
        <v>0.08</v>
      </c>
      <c r="AV96" s="44">
        <v>0.3</v>
      </c>
      <c r="AW96" s="43">
        <v>1.9E-2</v>
      </c>
      <c r="AX96" s="44">
        <v>0.14000000000000001</v>
      </c>
      <c r="AY96" s="40">
        <v>6.7734314201523551</v>
      </c>
      <c r="AZ96" s="41">
        <v>0.5</v>
      </c>
      <c r="BA96" s="40">
        <v>0.72</v>
      </c>
      <c r="BB96" s="45">
        <v>1</v>
      </c>
      <c r="BC96" s="41">
        <v>11.280218363357537</v>
      </c>
      <c r="BD96" s="41">
        <v>47.541244098024215</v>
      </c>
      <c r="BE96" s="41">
        <v>41.178537538618244</v>
      </c>
      <c r="BF96" s="125">
        <v>1</v>
      </c>
      <c r="BG96" s="48">
        <f t="shared" si="94"/>
        <v>3.9278653529139706E-3</v>
      </c>
      <c r="BH96" s="48">
        <f t="shared" si="95"/>
        <v>3.9278653529139706E-3</v>
      </c>
      <c r="BI96" s="99">
        <f t="shared" si="96"/>
        <v>4.4307178882736005E-4</v>
      </c>
      <c r="BJ96" s="99">
        <f t="shared" si="97"/>
        <v>1.8673560552705513E-3</v>
      </c>
      <c r="BK96" s="48">
        <f t="shared" si="98"/>
        <v>1.6174375088160594E-3</v>
      </c>
      <c r="BL96" s="99">
        <f t="shared" si="73"/>
        <v>2.9863091044064657E-4</v>
      </c>
      <c r="BM96" s="48">
        <f t="shared" si="74"/>
        <v>1.1077770449768433E-3</v>
      </c>
      <c r="BN96" s="48">
        <f t="shared" si="75"/>
        <v>2.8010340829058272E-3</v>
      </c>
      <c r="BO96" s="48">
        <f t="shared" si="76"/>
        <v>2.4261562632240889E-3</v>
      </c>
      <c r="BP96" s="99">
        <f t="shared" si="77"/>
        <v>4.4794636566096988E-4</v>
      </c>
      <c r="BQ96" s="48">
        <f t="shared" si="78"/>
        <v>1.6616655674652652E-3</v>
      </c>
      <c r="BR96" s="40">
        <f t="shared" si="79"/>
        <v>0.58821462461381757</v>
      </c>
      <c r="BS96" s="31">
        <v>1.5</v>
      </c>
      <c r="BT96" s="31">
        <v>1.5</v>
      </c>
      <c r="BU96" s="43">
        <v>0.14000000000000001</v>
      </c>
      <c r="BV96" s="44">
        <v>0.42</v>
      </c>
      <c r="BW96" s="43">
        <v>2.3E-2</v>
      </c>
      <c r="BX96" s="44">
        <v>0.2</v>
      </c>
      <c r="BY96" s="40">
        <v>17.442066059404368</v>
      </c>
      <c r="BZ96" s="40">
        <v>0.52</v>
      </c>
      <c r="CA96" s="40">
        <v>0.65</v>
      </c>
      <c r="CB96" s="45">
        <v>1</v>
      </c>
      <c r="CC96" s="41">
        <v>3.3053800540389702</v>
      </c>
      <c r="CD96" s="41">
        <v>20.327520115960358</v>
      </c>
      <c r="CE96" s="41">
        <v>76.367099830000683</v>
      </c>
      <c r="CF96" s="125">
        <v>1</v>
      </c>
      <c r="CG96" s="40">
        <f t="shared" si="99"/>
        <v>2.2911749655823248E-2</v>
      </c>
      <c r="CH96" s="40">
        <f t="shared" si="100"/>
        <v>2.2911749655823248E-2</v>
      </c>
      <c r="CI96" s="99">
        <f t="shared" si="101"/>
        <v>7.5732040315492396E-4</v>
      </c>
      <c r="CJ96" s="100">
        <f t="shared" si="102"/>
        <v>4.6573905202059486E-3</v>
      </c>
      <c r="CK96" s="100">
        <f t="shared" si="103"/>
        <v>1.7497038732462378E-2</v>
      </c>
      <c r="CL96" s="101">
        <f t="shared" si="80"/>
        <v>9.4961162840745362E-4</v>
      </c>
      <c r="CM96" s="100">
        <f t="shared" si="81"/>
        <v>4.4875120179517364E-3</v>
      </c>
      <c r="CN96" s="100">
        <f t="shared" si="82"/>
        <v>6.9860857803089229E-3</v>
      </c>
      <c r="CO96" s="100">
        <f t="shared" si="83"/>
        <v>2.6245558098693569E-2</v>
      </c>
      <c r="CP96" s="101">
        <f t="shared" si="84"/>
        <v>1.4244174426111802E-3</v>
      </c>
      <c r="CQ96" s="100">
        <f t="shared" si="85"/>
        <v>6.7312680269276046E-3</v>
      </c>
      <c r="CR96" s="99">
        <f t="shared" si="86"/>
        <v>0.23632900169999327</v>
      </c>
      <c r="CS96" s="31">
        <v>1.5</v>
      </c>
      <c r="CT96" s="31">
        <v>1.5</v>
      </c>
      <c r="CU96" s="43">
        <v>0.125</v>
      </c>
      <c r="CV96" s="44">
        <v>0.4</v>
      </c>
      <c r="CW96" s="43">
        <v>2.1000000000000001E-2</v>
      </c>
      <c r="CX96" s="44">
        <v>0.15</v>
      </c>
      <c r="CY96" s="124"/>
    </row>
    <row r="97" spans="1:196" s="23" customFormat="1" x14ac:dyDescent="0.25">
      <c r="A97" s="31">
        <v>83</v>
      </c>
      <c r="B97" s="83">
        <v>3</v>
      </c>
      <c r="C97" s="31">
        <v>70</v>
      </c>
      <c r="D97" s="31" t="s">
        <v>36</v>
      </c>
      <c r="E97" s="31" t="s">
        <v>6</v>
      </c>
      <c r="F97" s="31" t="s">
        <v>62</v>
      </c>
      <c r="G97" s="31" t="str">
        <f t="shared" si="87"/>
        <v>Kommunal 70 Y 3 EE</v>
      </c>
      <c r="H97" s="48">
        <f t="shared" si="53"/>
        <v>0.12700944478233062</v>
      </c>
      <c r="I97" s="40">
        <f t="shared" si="54"/>
        <v>0.17951766566302652</v>
      </c>
      <c r="J97" s="99">
        <f t="shared" si="55"/>
        <v>2.4570017871997397E-3</v>
      </c>
      <c r="K97" s="48">
        <f t="shared" si="56"/>
        <v>4.0246637650576095E-2</v>
      </c>
      <c r="L97" s="48">
        <f t="shared" si="57"/>
        <v>0.13681402622525068</v>
      </c>
      <c r="M97" s="48">
        <f t="shared" si="88"/>
        <v>0.35624878486000827</v>
      </c>
      <c r="N97" s="99">
        <f t="shared" si="58"/>
        <v>6.1822852745515404E-3</v>
      </c>
      <c r="O97" s="48">
        <f t="shared" si="59"/>
        <v>3.2189793383214566E-2</v>
      </c>
      <c r="P97" s="48">
        <f t="shared" si="60"/>
        <v>6.0369956475864135E-2</v>
      </c>
      <c r="Q97" s="48">
        <f t="shared" si="61"/>
        <v>0.20522103933787605</v>
      </c>
      <c r="R97" s="40">
        <f t="shared" si="89"/>
        <v>2.4937414940200577</v>
      </c>
      <c r="S97" s="99">
        <f t="shared" si="62"/>
        <v>9.2734279118273089E-3</v>
      </c>
      <c r="T97" s="48">
        <f t="shared" si="63"/>
        <v>4.8284690074821855E-2</v>
      </c>
      <c r="U97" s="40">
        <v>5.1559200000000018</v>
      </c>
      <c r="V97" s="40">
        <v>1.2</v>
      </c>
      <c r="W97" s="41">
        <v>0.1</v>
      </c>
      <c r="X97" s="40">
        <v>1.5241919747630239</v>
      </c>
      <c r="Y97" s="42">
        <v>0.82304534923805861</v>
      </c>
      <c r="Z97" s="42">
        <v>22.086927970711692</v>
      </c>
      <c r="AA97" s="42">
        <v>77.090026680050244</v>
      </c>
      <c r="AB97" s="42">
        <v>2.3333333333333326</v>
      </c>
      <c r="AC97" s="125">
        <v>1</v>
      </c>
      <c r="AD97" s="94">
        <f t="shared" si="90"/>
        <v>0.10016982977359341</v>
      </c>
      <c r="AE97" s="94">
        <f t="shared" si="91"/>
        <v>0.1526780506542893</v>
      </c>
      <c r="AF97" s="96">
        <f t="shared" si="64"/>
        <v>1.2566095952174555E-3</v>
      </c>
      <c r="AG97" s="95">
        <f t="shared" si="104"/>
        <v>3.372189107509959E-2</v>
      </c>
      <c r="AH97" s="94">
        <f t="shared" si="92"/>
        <v>0.11769954998397225</v>
      </c>
      <c r="AI97" s="94">
        <f t="shared" si="93"/>
        <v>0.35624878486000827</v>
      </c>
      <c r="AJ97" s="96">
        <f t="shared" si="65"/>
        <v>4.9340427357034405E-3</v>
      </c>
      <c r="AK97" s="95">
        <f t="shared" si="66"/>
        <v>2.659450432028599E-2</v>
      </c>
      <c r="AL97" s="95">
        <f t="shared" si="67"/>
        <v>5.0582836612649382E-2</v>
      </c>
      <c r="AM97" s="94">
        <f t="shared" si="68"/>
        <v>0.17654932497595838</v>
      </c>
      <c r="AN97" s="93">
        <f t="shared" si="69"/>
        <v>2.4937414940200577</v>
      </c>
      <c r="AO97" s="96">
        <f t="shared" si="70"/>
        <v>7.4010641035551598E-3</v>
      </c>
      <c r="AP97" s="95">
        <f t="shared" si="71"/>
        <v>3.9891756480428989E-2</v>
      </c>
      <c r="AQ97" s="93">
        <f t="shared" si="72"/>
        <v>0.22909973319949753</v>
      </c>
      <c r="AR97" s="31">
        <v>1.5</v>
      </c>
      <c r="AS97" s="31">
        <v>1.5</v>
      </c>
      <c r="AT97" s="31">
        <v>7</v>
      </c>
      <c r="AU97" s="43">
        <v>0.08</v>
      </c>
      <c r="AV97" s="44">
        <v>0.3</v>
      </c>
      <c r="AW97" s="43">
        <v>1.9E-2</v>
      </c>
      <c r="AX97" s="44">
        <v>0.14000000000000001</v>
      </c>
      <c r="AY97" s="40">
        <v>6.7734314201523551</v>
      </c>
      <c r="AZ97" s="41">
        <v>0.5</v>
      </c>
      <c r="BA97" s="40">
        <v>0.72</v>
      </c>
      <c r="BB97" s="45">
        <v>1</v>
      </c>
      <c r="BC97" s="41">
        <v>11.280218363357537</v>
      </c>
      <c r="BD97" s="41">
        <v>47.541244098024215</v>
      </c>
      <c r="BE97" s="41">
        <v>41.178537538618244</v>
      </c>
      <c r="BF97" s="125">
        <v>1</v>
      </c>
      <c r="BG97" s="48">
        <f t="shared" si="94"/>
        <v>3.9278653529139706E-3</v>
      </c>
      <c r="BH97" s="48">
        <f t="shared" si="95"/>
        <v>3.9278653529139706E-3</v>
      </c>
      <c r="BI97" s="99">
        <f t="shared" si="96"/>
        <v>4.4307178882736005E-4</v>
      </c>
      <c r="BJ97" s="99">
        <f t="shared" si="97"/>
        <v>1.8673560552705513E-3</v>
      </c>
      <c r="BK97" s="48">
        <f t="shared" si="98"/>
        <v>1.6174375088160594E-3</v>
      </c>
      <c r="BL97" s="99">
        <f t="shared" si="73"/>
        <v>2.9863091044064657E-4</v>
      </c>
      <c r="BM97" s="48">
        <f t="shared" si="74"/>
        <v>1.1077770449768433E-3</v>
      </c>
      <c r="BN97" s="48">
        <f t="shared" si="75"/>
        <v>2.8010340829058272E-3</v>
      </c>
      <c r="BO97" s="48">
        <f t="shared" si="76"/>
        <v>2.4261562632240889E-3</v>
      </c>
      <c r="BP97" s="99">
        <f t="shared" si="77"/>
        <v>4.4794636566096988E-4</v>
      </c>
      <c r="BQ97" s="48">
        <f t="shared" si="78"/>
        <v>1.6616655674652652E-3</v>
      </c>
      <c r="BR97" s="40">
        <f t="shared" si="79"/>
        <v>0.58821462461381757</v>
      </c>
      <c r="BS97" s="31">
        <v>1.5</v>
      </c>
      <c r="BT97" s="31">
        <v>1.5</v>
      </c>
      <c r="BU97" s="43">
        <v>0.14000000000000001</v>
      </c>
      <c r="BV97" s="44">
        <v>0.42</v>
      </c>
      <c r="BW97" s="43">
        <v>2.3E-2</v>
      </c>
      <c r="BX97" s="44">
        <v>0.2</v>
      </c>
      <c r="BY97" s="40">
        <v>17.442066059404368</v>
      </c>
      <c r="BZ97" s="40">
        <v>0.52</v>
      </c>
      <c r="CA97" s="40">
        <v>0.65</v>
      </c>
      <c r="CB97" s="45">
        <v>1</v>
      </c>
      <c r="CC97" s="41">
        <v>3.3053800540389702</v>
      </c>
      <c r="CD97" s="41">
        <v>20.327520115960358</v>
      </c>
      <c r="CE97" s="41">
        <v>76.367099830000683</v>
      </c>
      <c r="CF97" s="125">
        <v>1</v>
      </c>
      <c r="CG97" s="40">
        <f t="shared" si="99"/>
        <v>2.2911749655823248E-2</v>
      </c>
      <c r="CH97" s="40">
        <f t="shared" si="100"/>
        <v>2.2911749655823248E-2</v>
      </c>
      <c r="CI97" s="99">
        <f t="shared" si="101"/>
        <v>7.5732040315492396E-4</v>
      </c>
      <c r="CJ97" s="100">
        <f t="shared" si="102"/>
        <v>4.6573905202059486E-3</v>
      </c>
      <c r="CK97" s="100">
        <f t="shared" si="103"/>
        <v>1.7497038732462378E-2</v>
      </c>
      <c r="CL97" s="101">
        <f t="shared" si="80"/>
        <v>9.4961162840745362E-4</v>
      </c>
      <c r="CM97" s="100">
        <f t="shared" si="81"/>
        <v>4.4875120179517364E-3</v>
      </c>
      <c r="CN97" s="100">
        <f t="shared" si="82"/>
        <v>6.9860857803089229E-3</v>
      </c>
      <c r="CO97" s="100">
        <f t="shared" si="83"/>
        <v>2.6245558098693569E-2</v>
      </c>
      <c r="CP97" s="101">
        <f t="shared" si="84"/>
        <v>1.4244174426111802E-3</v>
      </c>
      <c r="CQ97" s="100">
        <f t="shared" si="85"/>
        <v>6.7312680269276046E-3</v>
      </c>
      <c r="CR97" s="99">
        <f t="shared" si="86"/>
        <v>0.23632900169999327</v>
      </c>
      <c r="CS97" s="31">
        <v>1.5</v>
      </c>
      <c r="CT97" s="31">
        <v>1.5</v>
      </c>
      <c r="CU97" s="43">
        <v>0.125</v>
      </c>
      <c r="CV97" s="44">
        <v>0.4</v>
      </c>
      <c r="CW97" s="43">
        <v>2.1000000000000001E-2</v>
      </c>
      <c r="CX97" s="44">
        <v>0.15</v>
      </c>
      <c r="CY97" s="124"/>
    </row>
    <row r="98" spans="1:196" s="23" customFormat="1" x14ac:dyDescent="0.25">
      <c r="A98" s="31">
        <v>84</v>
      </c>
      <c r="B98" s="83">
        <v>3</v>
      </c>
      <c r="C98" s="31">
        <v>70</v>
      </c>
      <c r="D98" s="31" t="s">
        <v>36</v>
      </c>
      <c r="E98" s="31" t="s">
        <v>6</v>
      </c>
      <c r="F98" s="31" t="s">
        <v>63</v>
      </c>
      <c r="G98" s="31" t="str">
        <f t="shared" si="87"/>
        <v>Kommunal 70 Y 3 ES</v>
      </c>
      <c r="H98" s="48">
        <f t="shared" si="53"/>
        <v>9.1080634871218383E-2</v>
      </c>
      <c r="I98" s="40">
        <f t="shared" si="54"/>
        <v>0.1279143459363461</v>
      </c>
      <c r="J98" s="99">
        <f t="shared" si="55"/>
        <v>2.0234289697107478E-3</v>
      </c>
      <c r="K98" s="48">
        <f t="shared" si="56"/>
        <v>1.940865371238254E-2</v>
      </c>
      <c r="L98" s="48">
        <f t="shared" si="57"/>
        <v>0.10648226325425281</v>
      </c>
      <c r="M98" s="48">
        <f t="shared" si="88"/>
        <v>0.30322419278282664</v>
      </c>
      <c r="N98" s="99">
        <f t="shared" si="58"/>
        <v>3.9389430630470965E-3</v>
      </c>
      <c r="O98" s="48">
        <f t="shared" si="59"/>
        <v>2.1691951385816803E-2</v>
      </c>
      <c r="P98" s="48">
        <f t="shared" si="60"/>
        <v>2.911298056857381E-2</v>
      </c>
      <c r="Q98" s="48">
        <f t="shared" si="61"/>
        <v>0.15972339488137921</v>
      </c>
      <c r="R98" s="40">
        <f t="shared" si="89"/>
        <v>2.1225693494797864</v>
      </c>
      <c r="S98" s="99">
        <f t="shared" si="62"/>
        <v>5.9084145945706443E-3</v>
      </c>
      <c r="T98" s="48">
        <f t="shared" si="63"/>
        <v>3.2537927078725208E-2</v>
      </c>
      <c r="U98" s="40">
        <v>3.3066000000000009</v>
      </c>
      <c r="V98" s="40">
        <v>1.2</v>
      </c>
      <c r="W98" s="41">
        <v>0.1</v>
      </c>
      <c r="X98" s="40">
        <v>1.5733674705659491</v>
      </c>
      <c r="Y98" s="42">
        <v>0.81428540068826316</v>
      </c>
      <c r="Z98" s="42">
        <v>12.746912129930548</v>
      </c>
      <c r="AA98" s="42">
        <v>86.438802469381187</v>
      </c>
      <c r="AB98" s="42">
        <v>3</v>
      </c>
      <c r="AC98" s="125">
        <v>1</v>
      </c>
      <c r="AD98" s="94">
        <f t="shared" si="90"/>
        <v>6.4241019862481166E-2</v>
      </c>
      <c r="AE98" s="94">
        <f t="shared" si="91"/>
        <v>0.10107473092760888</v>
      </c>
      <c r="AF98" s="96">
        <f t="shared" si="64"/>
        <v>8.2303677772846374E-4</v>
      </c>
      <c r="AG98" s="95">
        <f t="shared" si="104"/>
        <v>1.2883907136906039E-2</v>
      </c>
      <c r="AH98" s="94">
        <f t="shared" si="92"/>
        <v>8.7367787012974374E-2</v>
      </c>
      <c r="AI98" s="94">
        <f t="shared" si="93"/>
        <v>0.30322419278282664</v>
      </c>
      <c r="AJ98" s="96">
        <f t="shared" si="65"/>
        <v>2.6907005241989961E-3</v>
      </c>
      <c r="AK98" s="95">
        <f t="shared" si="66"/>
        <v>1.6096662322888224E-2</v>
      </c>
      <c r="AL98" s="95">
        <f t="shared" si="67"/>
        <v>1.9325860705359056E-2</v>
      </c>
      <c r="AM98" s="94">
        <f t="shared" si="68"/>
        <v>0.13105168051946156</v>
      </c>
      <c r="AN98" s="93">
        <f t="shared" si="69"/>
        <v>2.1225693494797864</v>
      </c>
      <c r="AO98" s="96">
        <f t="shared" si="70"/>
        <v>4.0360507862984944E-3</v>
      </c>
      <c r="AP98" s="95">
        <f t="shared" si="71"/>
        <v>2.4144993484332338E-2</v>
      </c>
      <c r="AQ98" s="93">
        <f t="shared" si="72"/>
        <v>0.1356119753061881</v>
      </c>
      <c r="AR98" s="31">
        <v>1.5</v>
      </c>
      <c r="AS98" s="31">
        <v>1.5</v>
      </c>
      <c r="AT98" s="31">
        <v>7</v>
      </c>
      <c r="AU98" s="43">
        <v>0.08</v>
      </c>
      <c r="AV98" s="44">
        <v>0.3</v>
      </c>
      <c r="AW98" s="43">
        <v>1.9E-2</v>
      </c>
      <c r="AX98" s="44">
        <v>0.14000000000000001</v>
      </c>
      <c r="AY98" s="40">
        <v>6.7734314201523551</v>
      </c>
      <c r="AZ98" s="41">
        <v>0.5</v>
      </c>
      <c r="BA98" s="40">
        <v>0.72</v>
      </c>
      <c r="BB98" s="45">
        <v>1</v>
      </c>
      <c r="BC98" s="41">
        <v>11.280218363357537</v>
      </c>
      <c r="BD98" s="41">
        <v>47.541244098024215</v>
      </c>
      <c r="BE98" s="41">
        <v>41.178537538618251</v>
      </c>
      <c r="BF98" s="125">
        <v>1</v>
      </c>
      <c r="BG98" s="48">
        <f t="shared" si="94"/>
        <v>3.9278653529139706E-3</v>
      </c>
      <c r="BH98" s="48">
        <f t="shared" si="95"/>
        <v>3.9278653529139706E-3</v>
      </c>
      <c r="BI98" s="99">
        <f t="shared" si="96"/>
        <v>4.4307178882736005E-4</v>
      </c>
      <c r="BJ98" s="99">
        <f t="shared" si="97"/>
        <v>1.8673560552705513E-3</v>
      </c>
      <c r="BK98" s="48">
        <f t="shared" si="98"/>
        <v>1.6174375088160598E-3</v>
      </c>
      <c r="BL98" s="99">
        <f t="shared" si="73"/>
        <v>2.9863091044064657E-4</v>
      </c>
      <c r="BM98" s="48">
        <f t="shared" si="74"/>
        <v>1.1077770449768435E-3</v>
      </c>
      <c r="BN98" s="48">
        <f t="shared" si="75"/>
        <v>2.8010340829058272E-3</v>
      </c>
      <c r="BO98" s="48">
        <f t="shared" si="76"/>
        <v>2.4261562632240897E-3</v>
      </c>
      <c r="BP98" s="99">
        <f t="shared" si="77"/>
        <v>4.4794636566096994E-4</v>
      </c>
      <c r="BQ98" s="48">
        <f t="shared" si="78"/>
        <v>1.6616655674652654E-3</v>
      </c>
      <c r="BR98" s="40">
        <f t="shared" si="79"/>
        <v>0.58821462461381757</v>
      </c>
      <c r="BS98" s="31">
        <v>1.5</v>
      </c>
      <c r="BT98" s="31">
        <v>1.5</v>
      </c>
      <c r="BU98" s="43">
        <v>0.14000000000000001</v>
      </c>
      <c r="BV98" s="44">
        <v>0.42</v>
      </c>
      <c r="BW98" s="43">
        <v>2.3E-2</v>
      </c>
      <c r="BX98" s="44">
        <v>0.2</v>
      </c>
      <c r="BY98" s="40">
        <v>17.442066059404368</v>
      </c>
      <c r="BZ98" s="40">
        <v>0.52</v>
      </c>
      <c r="CA98" s="40">
        <v>0.65</v>
      </c>
      <c r="CB98" s="45">
        <v>1</v>
      </c>
      <c r="CC98" s="41">
        <v>3.3053800540389702</v>
      </c>
      <c r="CD98" s="41">
        <v>20.327520115960358</v>
      </c>
      <c r="CE98" s="41">
        <v>76.367099830000683</v>
      </c>
      <c r="CF98" s="125">
        <v>1</v>
      </c>
      <c r="CG98" s="40">
        <f t="shared" si="99"/>
        <v>2.2911749655823248E-2</v>
      </c>
      <c r="CH98" s="40">
        <f t="shared" si="100"/>
        <v>2.2911749655823248E-2</v>
      </c>
      <c r="CI98" s="99">
        <f t="shared" si="101"/>
        <v>7.5732040315492396E-4</v>
      </c>
      <c r="CJ98" s="100">
        <f t="shared" si="102"/>
        <v>4.6573905202059486E-3</v>
      </c>
      <c r="CK98" s="100">
        <f t="shared" si="103"/>
        <v>1.7497038732462378E-2</v>
      </c>
      <c r="CL98" s="101">
        <f t="shared" si="80"/>
        <v>9.4961162840745362E-4</v>
      </c>
      <c r="CM98" s="100">
        <f t="shared" si="81"/>
        <v>4.4875120179517364E-3</v>
      </c>
      <c r="CN98" s="100">
        <f t="shared" si="82"/>
        <v>6.9860857803089229E-3</v>
      </c>
      <c r="CO98" s="100">
        <f t="shared" si="83"/>
        <v>2.6245558098693569E-2</v>
      </c>
      <c r="CP98" s="101">
        <f t="shared" si="84"/>
        <v>1.4244174426111802E-3</v>
      </c>
      <c r="CQ98" s="100">
        <f t="shared" si="85"/>
        <v>6.7312680269276046E-3</v>
      </c>
      <c r="CR98" s="99">
        <f t="shared" si="86"/>
        <v>0.23632900169999327</v>
      </c>
      <c r="CS98" s="31">
        <v>1.5</v>
      </c>
      <c r="CT98" s="31">
        <v>1.5</v>
      </c>
      <c r="CU98" s="43">
        <v>0.125</v>
      </c>
      <c r="CV98" s="44">
        <v>0.4</v>
      </c>
      <c r="CW98" s="43">
        <v>2.1000000000000001E-2</v>
      </c>
      <c r="CX98" s="44">
        <v>0.15</v>
      </c>
      <c r="CY98" s="124"/>
    </row>
    <row r="99" spans="1:196" s="23" customFormat="1" x14ac:dyDescent="0.25">
      <c r="A99" s="31">
        <v>85</v>
      </c>
      <c r="B99" s="83">
        <v>3</v>
      </c>
      <c r="C99" s="31">
        <v>70</v>
      </c>
      <c r="D99" s="31" t="s">
        <v>36</v>
      </c>
      <c r="E99" s="31" t="s">
        <v>6</v>
      </c>
      <c r="F99" s="31" t="s">
        <v>64</v>
      </c>
      <c r="G99" s="31" t="str">
        <f t="shared" si="87"/>
        <v>Kommunal 70 Y 3 F</v>
      </c>
      <c r="H99" s="48">
        <f t="shared" si="53"/>
        <v>4.8451108029613041E-2</v>
      </c>
      <c r="I99" s="40">
        <f t="shared" si="54"/>
        <v>5.9604550004185117E-2</v>
      </c>
      <c r="J99" s="99">
        <f t="shared" si="55"/>
        <v>1.4686196919563321E-3</v>
      </c>
      <c r="K99" s="48">
        <f t="shared" si="56"/>
        <v>1.2223202725064324E-2</v>
      </c>
      <c r="L99" s="48">
        <f t="shared" si="57"/>
        <v>4.5912727587164463E-2</v>
      </c>
      <c r="M99" s="48">
        <f t="shared" si="88"/>
        <v>0.13105973998179163</v>
      </c>
      <c r="N99" s="99">
        <f t="shared" si="58"/>
        <v>2.2132858063869604E-3</v>
      </c>
      <c r="O99" s="48">
        <f t="shared" si="59"/>
        <v>1.1056581096228972E-2</v>
      </c>
      <c r="P99" s="48">
        <f t="shared" si="60"/>
        <v>1.8334804087596482E-2</v>
      </c>
      <c r="Q99" s="48">
        <f t="shared" si="61"/>
        <v>6.8869091380746705E-2</v>
      </c>
      <c r="R99" s="40">
        <f t="shared" si="89"/>
        <v>0.91741817987254137</v>
      </c>
      <c r="S99" s="99">
        <f t="shared" si="62"/>
        <v>3.3199287095804406E-3</v>
      </c>
      <c r="T99" s="48">
        <f t="shared" si="63"/>
        <v>1.6584871644343458E-2</v>
      </c>
      <c r="U99" s="40">
        <v>1.5760800000000001</v>
      </c>
      <c r="V99" s="40">
        <v>1.25</v>
      </c>
      <c r="W99" s="40">
        <v>0.45</v>
      </c>
      <c r="X99" s="40">
        <v>1.5160884518158142</v>
      </c>
      <c r="Y99" s="42">
        <v>0.81864194148809843</v>
      </c>
      <c r="Z99" s="42">
        <v>17.391934854683893</v>
      </c>
      <c r="AA99" s="42">
        <v>81.789423203828008</v>
      </c>
      <c r="AB99" s="42">
        <v>4.0000000000000009</v>
      </c>
      <c r="AC99" s="125">
        <v>1</v>
      </c>
      <c r="AD99" s="94">
        <f t="shared" si="90"/>
        <v>2.1611493020875824E-2</v>
      </c>
      <c r="AE99" s="94">
        <f t="shared" si="91"/>
        <v>3.27649349954479E-2</v>
      </c>
      <c r="AF99" s="96">
        <f t="shared" si="64"/>
        <v>2.6822749997404806E-4</v>
      </c>
      <c r="AG99" s="95">
        <f t="shared" si="104"/>
        <v>5.6984561495878241E-3</v>
      </c>
      <c r="AH99" s="94">
        <f t="shared" si="92"/>
        <v>2.6798251345886027E-2</v>
      </c>
      <c r="AI99" s="94">
        <f t="shared" si="93"/>
        <v>0.13105973998179163</v>
      </c>
      <c r="AJ99" s="96">
        <f t="shared" si="65"/>
        <v>9.6504326753886049E-4</v>
      </c>
      <c r="AK99" s="95">
        <f t="shared" si="66"/>
        <v>5.4612920333003915E-3</v>
      </c>
      <c r="AL99" s="95">
        <f t="shared" si="67"/>
        <v>8.5476842243817353E-3</v>
      </c>
      <c r="AM99" s="94">
        <f t="shared" si="68"/>
        <v>4.0197377018829042E-2</v>
      </c>
      <c r="AN99" s="93">
        <f t="shared" si="69"/>
        <v>0.91741817987254137</v>
      </c>
      <c r="AO99" s="96">
        <f t="shared" si="70"/>
        <v>1.4475649013082907E-3</v>
      </c>
      <c r="AP99" s="95">
        <f t="shared" si="71"/>
        <v>8.1919380499505881E-3</v>
      </c>
      <c r="AQ99" s="93">
        <f t="shared" si="72"/>
        <v>0.1821057679617199</v>
      </c>
      <c r="AR99" s="31">
        <v>1.5</v>
      </c>
      <c r="AS99" s="31">
        <v>1.5</v>
      </c>
      <c r="AT99" s="31">
        <v>7</v>
      </c>
      <c r="AU99" s="43">
        <v>0.08</v>
      </c>
      <c r="AV99" s="44">
        <v>0.3</v>
      </c>
      <c r="AW99" s="43">
        <v>1.9E-2</v>
      </c>
      <c r="AX99" s="44">
        <v>0.14000000000000001</v>
      </c>
      <c r="AY99" s="40">
        <v>6.7734314201523542</v>
      </c>
      <c r="AZ99" s="41">
        <v>0.5</v>
      </c>
      <c r="BA99" s="40">
        <v>0.72</v>
      </c>
      <c r="BB99" s="45">
        <v>1</v>
      </c>
      <c r="BC99" s="41">
        <v>11.280218363357539</v>
      </c>
      <c r="BD99" s="41">
        <v>47.541244098024222</v>
      </c>
      <c r="BE99" s="41">
        <v>41.178537538618244</v>
      </c>
      <c r="BF99" s="125">
        <v>1</v>
      </c>
      <c r="BG99" s="48">
        <f t="shared" si="94"/>
        <v>3.9278653529139698E-3</v>
      </c>
      <c r="BH99" s="48">
        <f t="shared" si="95"/>
        <v>3.9278653529139698E-3</v>
      </c>
      <c r="BI99" s="99">
        <f t="shared" si="96"/>
        <v>4.4307178882736005E-4</v>
      </c>
      <c r="BJ99" s="99">
        <f t="shared" si="97"/>
        <v>1.8673560552705509E-3</v>
      </c>
      <c r="BK99" s="48">
        <f t="shared" si="98"/>
        <v>1.6174375088160589E-3</v>
      </c>
      <c r="BL99" s="99">
        <f t="shared" si="73"/>
        <v>2.9863091044064652E-4</v>
      </c>
      <c r="BM99" s="48">
        <f t="shared" si="74"/>
        <v>1.1077770449768433E-3</v>
      </c>
      <c r="BN99" s="48">
        <f t="shared" si="75"/>
        <v>2.8010340829058263E-3</v>
      </c>
      <c r="BO99" s="48">
        <f t="shared" si="76"/>
        <v>2.4261562632240884E-3</v>
      </c>
      <c r="BP99" s="99">
        <f t="shared" si="77"/>
        <v>4.4794636566096972E-4</v>
      </c>
      <c r="BQ99" s="48">
        <f t="shared" si="78"/>
        <v>1.6616655674652646E-3</v>
      </c>
      <c r="BR99" s="40">
        <f t="shared" si="79"/>
        <v>0.58821462461381757</v>
      </c>
      <c r="BS99" s="31">
        <v>1.5</v>
      </c>
      <c r="BT99" s="31">
        <v>1.5</v>
      </c>
      <c r="BU99" s="43">
        <v>0.14000000000000001</v>
      </c>
      <c r="BV99" s="44">
        <v>0.42</v>
      </c>
      <c r="BW99" s="43">
        <v>2.3E-2</v>
      </c>
      <c r="BX99" s="44">
        <v>0.2</v>
      </c>
      <c r="BY99" s="40">
        <v>17.442066059404368</v>
      </c>
      <c r="BZ99" s="40">
        <v>0.52</v>
      </c>
      <c r="CA99" s="40">
        <v>0.65</v>
      </c>
      <c r="CB99" s="45">
        <v>1</v>
      </c>
      <c r="CC99" s="41">
        <v>3.3053800540389693</v>
      </c>
      <c r="CD99" s="41">
        <v>20.327520115960354</v>
      </c>
      <c r="CE99" s="41">
        <v>76.367099830000683</v>
      </c>
      <c r="CF99" s="125">
        <v>1</v>
      </c>
      <c r="CG99" s="40">
        <f t="shared" si="99"/>
        <v>2.2911749655823248E-2</v>
      </c>
      <c r="CH99" s="40">
        <f t="shared" si="100"/>
        <v>2.2911749655823248E-2</v>
      </c>
      <c r="CI99" s="99">
        <f t="shared" si="101"/>
        <v>7.5732040315492385E-4</v>
      </c>
      <c r="CJ99" s="100">
        <f t="shared" si="102"/>
        <v>4.6573905202059477E-3</v>
      </c>
      <c r="CK99" s="100">
        <f t="shared" si="103"/>
        <v>1.7497038732462378E-2</v>
      </c>
      <c r="CL99" s="101">
        <f t="shared" si="80"/>
        <v>9.4961162840745341E-4</v>
      </c>
      <c r="CM99" s="100">
        <f t="shared" si="81"/>
        <v>4.4875120179517364E-3</v>
      </c>
      <c r="CN99" s="100">
        <f t="shared" si="82"/>
        <v>6.9860857803089212E-3</v>
      </c>
      <c r="CO99" s="100">
        <f t="shared" si="83"/>
        <v>2.6245558098693569E-2</v>
      </c>
      <c r="CP99" s="101">
        <f t="shared" si="84"/>
        <v>1.4244174426111802E-3</v>
      </c>
      <c r="CQ99" s="100">
        <f t="shared" si="85"/>
        <v>6.7312680269276037E-3</v>
      </c>
      <c r="CR99" s="99">
        <f t="shared" si="86"/>
        <v>0.23632900169999324</v>
      </c>
      <c r="CS99" s="31">
        <v>1.5</v>
      </c>
      <c r="CT99" s="31">
        <v>1.5</v>
      </c>
      <c r="CU99" s="43">
        <v>0.125</v>
      </c>
      <c r="CV99" s="44">
        <v>0.4</v>
      </c>
      <c r="CW99" s="43">
        <v>2.1000000000000001E-2</v>
      </c>
      <c r="CX99" s="44">
        <v>0.15</v>
      </c>
      <c r="CY99" s="124"/>
    </row>
    <row r="100" spans="1:196" s="23" customFormat="1" x14ac:dyDescent="0.25">
      <c r="A100" s="31">
        <v>86</v>
      </c>
      <c r="B100" s="83">
        <v>3</v>
      </c>
      <c r="C100" s="31">
        <v>70</v>
      </c>
      <c r="D100" s="31" t="s">
        <v>26</v>
      </c>
      <c r="E100" s="31" t="s">
        <v>99</v>
      </c>
      <c r="F100" s="31" t="s">
        <v>12</v>
      </c>
      <c r="G100" s="31" t="str">
        <f t="shared" si="87"/>
        <v>Statlig 70 - 3 A</v>
      </c>
      <c r="H100" s="48">
        <f t="shared" si="53"/>
        <v>0.11842600921780899</v>
      </c>
      <c r="I100" s="40">
        <f t="shared" si="54"/>
        <v>0.17520078522517171</v>
      </c>
      <c r="J100" s="99">
        <f t="shared" si="55"/>
        <v>3.6449287634933935E-3</v>
      </c>
      <c r="K100" s="48">
        <f t="shared" si="56"/>
        <v>3.7958387459060182E-2</v>
      </c>
      <c r="L100" s="48">
        <f t="shared" si="57"/>
        <v>0.13359746900261812</v>
      </c>
      <c r="M100" s="48">
        <f t="shared" si="88"/>
        <v>0.34617606383834704</v>
      </c>
      <c r="N100" s="99">
        <f t="shared" si="58"/>
        <v>6.175940605293825E-3</v>
      </c>
      <c r="O100" s="48">
        <f t="shared" si="59"/>
        <v>3.0536271143196625E-2</v>
      </c>
      <c r="P100" s="48">
        <f t="shared" si="60"/>
        <v>6.4529258680402296E-2</v>
      </c>
      <c r="Q100" s="48">
        <f t="shared" si="61"/>
        <v>0.22711569730445078</v>
      </c>
      <c r="R100" s="40">
        <f t="shared" si="89"/>
        <v>2.4232324468684294</v>
      </c>
      <c r="S100" s="99">
        <f t="shared" si="62"/>
        <v>1.0499099028999502E-2</v>
      </c>
      <c r="T100" s="48">
        <f t="shared" si="63"/>
        <v>5.1911660943434267E-2</v>
      </c>
      <c r="U100" s="40">
        <v>6.6792000000000025</v>
      </c>
      <c r="V100" s="40">
        <v>1.25</v>
      </c>
      <c r="W100" s="40">
        <v>0.45</v>
      </c>
      <c r="X100" s="40">
        <v>1.6199040424908342</v>
      </c>
      <c r="Y100" s="42">
        <v>1.6476929697608438</v>
      </c>
      <c r="Z100" s="42">
        <v>21.187242482468413</v>
      </c>
      <c r="AA100" s="42">
        <v>77.16506454777074</v>
      </c>
      <c r="AB100" s="42">
        <v>2.333333333333333</v>
      </c>
      <c r="AC100" s="125">
        <v>1</v>
      </c>
      <c r="AD100" s="94">
        <f t="shared" si="90"/>
        <v>9.1586394209071761E-2</v>
      </c>
      <c r="AE100" s="94">
        <f t="shared" si="91"/>
        <v>0.14836117021643447</v>
      </c>
      <c r="AF100" s="96">
        <f t="shared" si="64"/>
        <v>2.4445365715111095E-3</v>
      </c>
      <c r="AG100" s="95">
        <f t="shared" si="104"/>
        <v>3.1433640883583677E-2</v>
      </c>
      <c r="AH100" s="94">
        <f t="shared" si="92"/>
        <v>0.11448299276133968</v>
      </c>
      <c r="AI100" s="94">
        <f t="shared" si="93"/>
        <v>0.34617606383834704</v>
      </c>
      <c r="AJ100" s="96">
        <f t="shared" si="65"/>
        <v>4.8470363375700664E-3</v>
      </c>
      <c r="AK100" s="95">
        <f t="shared" si="66"/>
        <v>2.46272177328851E-2</v>
      </c>
      <c r="AL100" s="95">
        <f t="shared" si="67"/>
        <v>5.3437189502092253E-2</v>
      </c>
      <c r="AM100" s="94">
        <f t="shared" si="68"/>
        <v>0.19462108769427744</v>
      </c>
      <c r="AN100" s="93">
        <f t="shared" si="69"/>
        <v>2.4232324468684294</v>
      </c>
      <c r="AO100" s="96">
        <f t="shared" si="70"/>
        <v>8.2399617738691134E-3</v>
      </c>
      <c r="AP100" s="95">
        <f t="shared" si="71"/>
        <v>4.1866270145904667E-2</v>
      </c>
      <c r="AQ100" s="93">
        <f t="shared" si="72"/>
        <v>0.22834935452229255</v>
      </c>
      <c r="AR100" s="31">
        <v>1.7</v>
      </c>
      <c r="AS100" s="31">
        <v>1.7</v>
      </c>
      <c r="AT100" s="31">
        <v>7</v>
      </c>
      <c r="AU100" s="43">
        <v>8.5000000000000006E-2</v>
      </c>
      <c r="AV100" s="44">
        <v>0.31</v>
      </c>
      <c r="AW100" s="19">
        <v>1.9E-2</v>
      </c>
      <c r="AX100" s="44">
        <v>0.13</v>
      </c>
      <c r="AY100" s="40">
        <v>6.7734314201523542</v>
      </c>
      <c r="AZ100" s="41">
        <v>0.5</v>
      </c>
      <c r="BA100" s="40">
        <v>0.72</v>
      </c>
      <c r="BB100" s="45">
        <v>1</v>
      </c>
      <c r="BC100" s="41">
        <v>11.280218363357539</v>
      </c>
      <c r="BD100" s="41">
        <v>47.541244098024222</v>
      </c>
      <c r="BE100" s="41">
        <v>41.178537538618244</v>
      </c>
      <c r="BF100" s="125">
        <v>1</v>
      </c>
      <c r="BG100" s="48">
        <f t="shared" si="94"/>
        <v>3.9278653529139698E-3</v>
      </c>
      <c r="BH100" s="48">
        <f t="shared" si="95"/>
        <v>3.9278653529139698E-3</v>
      </c>
      <c r="BI100" s="99">
        <f t="shared" si="96"/>
        <v>4.4307178882736005E-4</v>
      </c>
      <c r="BJ100" s="99">
        <f t="shared" si="97"/>
        <v>1.8673560552705509E-3</v>
      </c>
      <c r="BK100" s="48">
        <f t="shared" si="98"/>
        <v>1.6174375088160589E-3</v>
      </c>
      <c r="BL100" s="99">
        <f t="shared" si="73"/>
        <v>2.5643147680878728E-4</v>
      </c>
      <c r="BM100" s="48">
        <f t="shared" si="74"/>
        <v>1.0829258511941566E-3</v>
      </c>
      <c r="BN100" s="48">
        <f t="shared" si="75"/>
        <v>3.1745052939599365E-3</v>
      </c>
      <c r="BO100" s="48">
        <f t="shared" si="76"/>
        <v>2.7496437649873E-3</v>
      </c>
      <c r="BP100" s="99">
        <f t="shared" si="77"/>
        <v>4.3593351057493834E-4</v>
      </c>
      <c r="BQ100" s="48">
        <f t="shared" si="78"/>
        <v>1.8409739470300664E-3</v>
      </c>
      <c r="BR100" s="40">
        <f t="shared" si="79"/>
        <v>0.58821462461381757</v>
      </c>
      <c r="BS100" s="31">
        <v>1.7</v>
      </c>
      <c r="BT100" s="31">
        <v>1.7</v>
      </c>
      <c r="BU100" s="43">
        <v>0.12</v>
      </c>
      <c r="BV100" s="44">
        <v>0.45</v>
      </c>
      <c r="BW100" s="19">
        <v>0.02</v>
      </c>
      <c r="BX100" s="44">
        <v>0.15</v>
      </c>
      <c r="BY100" s="40">
        <v>17.442066059404375</v>
      </c>
      <c r="BZ100" s="40">
        <v>0.52</v>
      </c>
      <c r="CA100" s="40">
        <v>0.65</v>
      </c>
      <c r="CB100" s="45">
        <v>1</v>
      </c>
      <c r="CC100" s="41">
        <v>3.3053800540389693</v>
      </c>
      <c r="CD100" s="41">
        <v>20.32752011596035</v>
      </c>
      <c r="CE100" s="41">
        <v>76.367099830000669</v>
      </c>
      <c r="CF100" s="125">
        <v>1</v>
      </c>
      <c r="CG100" s="40">
        <f t="shared" si="99"/>
        <v>2.2911749655823259E-2</v>
      </c>
      <c r="CH100" s="40">
        <f t="shared" si="100"/>
        <v>2.2911749655823259E-2</v>
      </c>
      <c r="CI100" s="99">
        <f t="shared" si="101"/>
        <v>7.5732040315492418E-4</v>
      </c>
      <c r="CJ100" s="100">
        <f t="shared" si="102"/>
        <v>4.6573905202059495E-3</v>
      </c>
      <c r="CK100" s="100">
        <f t="shared" si="103"/>
        <v>1.7497038732462385E-2</v>
      </c>
      <c r="CL100" s="101">
        <f t="shared" si="80"/>
        <v>1.0724727909149714E-3</v>
      </c>
      <c r="CM100" s="100">
        <f t="shared" si="81"/>
        <v>4.8261275591173708E-3</v>
      </c>
      <c r="CN100" s="100">
        <f t="shared" si="82"/>
        <v>7.9175638843501147E-3</v>
      </c>
      <c r="CO100" s="100">
        <f t="shared" si="83"/>
        <v>2.9744965845186055E-2</v>
      </c>
      <c r="CP100" s="101">
        <f t="shared" si="84"/>
        <v>1.8232037445554514E-3</v>
      </c>
      <c r="CQ100" s="100">
        <f t="shared" si="85"/>
        <v>8.204416850499531E-3</v>
      </c>
      <c r="CR100" s="99">
        <f t="shared" si="86"/>
        <v>0.23632900169999319</v>
      </c>
      <c r="CS100" s="31">
        <v>1.7</v>
      </c>
      <c r="CT100" s="31">
        <v>1.7</v>
      </c>
      <c r="CU100" s="43">
        <v>0.08</v>
      </c>
      <c r="CV100" s="44">
        <v>0.36</v>
      </c>
      <c r="CW100" s="19">
        <v>0.04</v>
      </c>
      <c r="CX100" s="44">
        <v>0.18</v>
      </c>
      <c r="CY100" s="124"/>
    </row>
    <row r="101" spans="1:196" s="23" customFormat="1" x14ac:dyDescent="0.25">
      <c r="A101" s="31">
        <v>87</v>
      </c>
      <c r="B101" s="83">
        <v>3</v>
      </c>
      <c r="C101" s="31">
        <v>70</v>
      </c>
      <c r="D101" s="31" t="s">
        <v>26</v>
      </c>
      <c r="E101" s="31" t="s">
        <v>99</v>
      </c>
      <c r="F101" s="31" t="s">
        <v>13</v>
      </c>
      <c r="G101" s="31" t="str">
        <f t="shared" si="87"/>
        <v>Statlig 70 - 3 B</v>
      </c>
      <c r="H101" s="48">
        <f t="shared" si="53"/>
        <v>0.11842600921780899</v>
      </c>
      <c r="I101" s="40">
        <f t="shared" si="54"/>
        <v>0.17520078522517171</v>
      </c>
      <c r="J101" s="99">
        <f t="shared" si="55"/>
        <v>3.6449287634933935E-3</v>
      </c>
      <c r="K101" s="48">
        <f t="shared" si="56"/>
        <v>3.7958387459060182E-2</v>
      </c>
      <c r="L101" s="48">
        <f t="shared" si="57"/>
        <v>0.13359746900261812</v>
      </c>
      <c r="M101" s="48">
        <f t="shared" si="88"/>
        <v>0.34617606383834704</v>
      </c>
      <c r="N101" s="99">
        <f t="shared" si="58"/>
        <v>6.175940605293825E-3</v>
      </c>
      <c r="O101" s="48">
        <f t="shared" si="59"/>
        <v>3.0536271143196625E-2</v>
      </c>
      <c r="P101" s="48">
        <f t="shared" si="60"/>
        <v>6.4529258680402296E-2</v>
      </c>
      <c r="Q101" s="48">
        <f t="shared" si="61"/>
        <v>0.22711569730445078</v>
      </c>
      <c r="R101" s="40">
        <f t="shared" si="89"/>
        <v>2.4232324468684294</v>
      </c>
      <c r="S101" s="99">
        <f t="shared" si="62"/>
        <v>1.0499099028999502E-2</v>
      </c>
      <c r="T101" s="48">
        <f t="shared" si="63"/>
        <v>5.1911660943434267E-2</v>
      </c>
      <c r="U101" s="40">
        <v>6.6792000000000025</v>
      </c>
      <c r="V101" s="40">
        <v>1.25</v>
      </c>
      <c r="W101" s="40">
        <v>0.45</v>
      </c>
      <c r="X101" s="40">
        <v>1.6199040424908342</v>
      </c>
      <c r="Y101" s="42">
        <v>1.6476929697608438</v>
      </c>
      <c r="Z101" s="42">
        <v>21.187242482468413</v>
      </c>
      <c r="AA101" s="42">
        <v>77.16506454777074</v>
      </c>
      <c r="AB101" s="42">
        <v>2.333333333333333</v>
      </c>
      <c r="AC101" s="125">
        <v>1</v>
      </c>
      <c r="AD101" s="94">
        <f t="shared" si="90"/>
        <v>9.1586394209071761E-2</v>
      </c>
      <c r="AE101" s="94">
        <f t="shared" si="91"/>
        <v>0.14836117021643447</v>
      </c>
      <c r="AF101" s="96">
        <f t="shared" si="64"/>
        <v>2.4445365715111095E-3</v>
      </c>
      <c r="AG101" s="95">
        <f t="shared" si="104"/>
        <v>3.1433640883583677E-2</v>
      </c>
      <c r="AH101" s="94">
        <f t="shared" si="92"/>
        <v>0.11448299276133968</v>
      </c>
      <c r="AI101" s="94">
        <f t="shared" si="93"/>
        <v>0.34617606383834704</v>
      </c>
      <c r="AJ101" s="96">
        <f t="shared" si="65"/>
        <v>4.8470363375700664E-3</v>
      </c>
      <c r="AK101" s="95">
        <f t="shared" si="66"/>
        <v>2.46272177328851E-2</v>
      </c>
      <c r="AL101" s="95">
        <f t="shared" si="67"/>
        <v>5.3437189502092253E-2</v>
      </c>
      <c r="AM101" s="94">
        <f t="shared" si="68"/>
        <v>0.19462108769427744</v>
      </c>
      <c r="AN101" s="93">
        <f t="shared" si="69"/>
        <v>2.4232324468684294</v>
      </c>
      <c r="AO101" s="96">
        <f t="shared" si="70"/>
        <v>8.2399617738691134E-3</v>
      </c>
      <c r="AP101" s="95">
        <f t="shared" si="71"/>
        <v>4.1866270145904667E-2</v>
      </c>
      <c r="AQ101" s="93">
        <f t="shared" si="72"/>
        <v>0.22834935452229255</v>
      </c>
      <c r="AR101" s="31">
        <v>1.7</v>
      </c>
      <c r="AS101" s="31">
        <v>1.7</v>
      </c>
      <c r="AT101" s="31">
        <v>7</v>
      </c>
      <c r="AU101" s="43">
        <v>8.5000000000000006E-2</v>
      </c>
      <c r="AV101" s="44">
        <v>0.31</v>
      </c>
      <c r="AW101" s="19">
        <v>1.9E-2</v>
      </c>
      <c r="AX101" s="44">
        <v>0.13</v>
      </c>
      <c r="AY101" s="40">
        <v>6.7734314201523542</v>
      </c>
      <c r="AZ101" s="41">
        <v>0.5</v>
      </c>
      <c r="BA101" s="40">
        <v>0.72</v>
      </c>
      <c r="BB101" s="45">
        <v>1</v>
      </c>
      <c r="BC101" s="41">
        <v>11.280218363357539</v>
      </c>
      <c r="BD101" s="41">
        <v>47.541244098024222</v>
      </c>
      <c r="BE101" s="41">
        <v>41.178537538618244</v>
      </c>
      <c r="BF101" s="125">
        <v>1</v>
      </c>
      <c r="BG101" s="48">
        <f t="shared" si="94"/>
        <v>3.9278653529139698E-3</v>
      </c>
      <c r="BH101" s="48">
        <f t="shared" si="95"/>
        <v>3.9278653529139698E-3</v>
      </c>
      <c r="BI101" s="99">
        <f t="shared" si="96"/>
        <v>4.4307178882736005E-4</v>
      </c>
      <c r="BJ101" s="99">
        <f t="shared" si="97"/>
        <v>1.8673560552705509E-3</v>
      </c>
      <c r="BK101" s="48">
        <f t="shared" si="98"/>
        <v>1.6174375088160589E-3</v>
      </c>
      <c r="BL101" s="99">
        <f t="shared" si="73"/>
        <v>2.5643147680878728E-4</v>
      </c>
      <c r="BM101" s="48">
        <f t="shared" si="74"/>
        <v>1.0829258511941566E-3</v>
      </c>
      <c r="BN101" s="48">
        <f t="shared" si="75"/>
        <v>3.1745052939599365E-3</v>
      </c>
      <c r="BO101" s="48">
        <f t="shared" si="76"/>
        <v>2.7496437649873E-3</v>
      </c>
      <c r="BP101" s="99">
        <f t="shared" si="77"/>
        <v>4.3593351057493834E-4</v>
      </c>
      <c r="BQ101" s="48">
        <f t="shared" si="78"/>
        <v>1.8409739470300664E-3</v>
      </c>
      <c r="BR101" s="40">
        <f t="shared" si="79"/>
        <v>0.58821462461381757</v>
      </c>
      <c r="BS101" s="31">
        <v>1.7</v>
      </c>
      <c r="BT101" s="31">
        <v>1.7</v>
      </c>
      <c r="BU101" s="43">
        <v>0.12</v>
      </c>
      <c r="BV101" s="44">
        <v>0.45</v>
      </c>
      <c r="BW101" s="19">
        <v>0.02</v>
      </c>
      <c r="BX101" s="44">
        <v>0.15</v>
      </c>
      <c r="BY101" s="40">
        <v>17.442066059404375</v>
      </c>
      <c r="BZ101" s="40">
        <v>0.52</v>
      </c>
      <c r="CA101" s="40">
        <v>0.65</v>
      </c>
      <c r="CB101" s="45">
        <v>1</v>
      </c>
      <c r="CC101" s="41">
        <v>3.3053800540389693</v>
      </c>
      <c r="CD101" s="41">
        <v>20.32752011596035</v>
      </c>
      <c r="CE101" s="41">
        <v>76.367099830000669</v>
      </c>
      <c r="CF101" s="125">
        <v>1</v>
      </c>
      <c r="CG101" s="40">
        <f t="shared" si="99"/>
        <v>2.2911749655823259E-2</v>
      </c>
      <c r="CH101" s="40">
        <f t="shared" si="100"/>
        <v>2.2911749655823259E-2</v>
      </c>
      <c r="CI101" s="99">
        <f t="shared" si="101"/>
        <v>7.5732040315492418E-4</v>
      </c>
      <c r="CJ101" s="100">
        <f t="shared" si="102"/>
        <v>4.6573905202059495E-3</v>
      </c>
      <c r="CK101" s="100">
        <f t="shared" si="103"/>
        <v>1.7497038732462385E-2</v>
      </c>
      <c r="CL101" s="101">
        <f t="shared" si="80"/>
        <v>1.0724727909149714E-3</v>
      </c>
      <c r="CM101" s="100">
        <f t="shared" si="81"/>
        <v>4.8261275591173708E-3</v>
      </c>
      <c r="CN101" s="100">
        <f t="shared" si="82"/>
        <v>7.9175638843501147E-3</v>
      </c>
      <c r="CO101" s="100">
        <f t="shared" si="83"/>
        <v>2.9744965845186055E-2</v>
      </c>
      <c r="CP101" s="101">
        <f t="shared" si="84"/>
        <v>1.8232037445554514E-3</v>
      </c>
      <c r="CQ101" s="100">
        <f t="shared" si="85"/>
        <v>8.204416850499531E-3</v>
      </c>
      <c r="CR101" s="99">
        <f t="shared" si="86"/>
        <v>0.23632900169999319</v>
      </c>
      <c r="CS101" s="31">
        <v>1.7</v>
      </c>
      <c r="CT101" s="31">
        <v>1.7</v>
      </c>
      <c r="CU101" s="43">
        <v>0.08</v>
      </c>
      <c r="CV101" s="44">
        <v>0.36</v>
      </c>
      <c r="CW101" s="19">
        <v>0.04</v>
      </c>
      <c r="CX101" s="44">
        <v>0.18</v>
      </c>
      <c r="CY101" s="124"/>
    </row>
    <row r="102" spans="1:196" s="23" customFormat="1" x14ac:dyDescent="0.25">
      <c r="A102" s="31">
        <v>88</v>
      </c>
      <c r="B102" s="83">
        <v>3</v>
      </c>
      <c r="C102" s="31">
        <v>70</v>
      </c>
      <c r="D102" s="31" t="s">
        <v>26</v>
      </c>
      <c r="E102" s="31" t="s">
        <v>99</v>
      </c>
      <c r="F102" s="31" t="s">
        <v>70</v>
      </c>
      <c r="G102" s="31" t="str">
        <f t="shared" si="87"/>
        <v>Statlig 70 - 3 Ck</v>
      </c>
      <c r="H102" s="48">
        <f t="shared" si="53"/>
        <v>0.11842600921780899</v>
      </c>
      <c r="I102" s="40">
        <f t="shared" si="54"/>
        <v>0.17520078522517171</v>
      </c>
      <c r="J102" s="99">
        <f t="shared" si="55"/>
        <v>3.6449287634933935E-3</v>
      </c>
      <c r="K102" s="48">
        <f t="shared" si="56"/>
        <v>3.7958387459060182E-2</v>
      </c>
      <c r="L102" s="48">
        <f t="shared" si="57"/>
        <v>0.13359746900261812</v>
      </c>
      <c r="M102" s="48">
        <f t="shared" si="88"/>
        <v>0.34617606383834704</v>
      </c>
      <c r="N102" s="99">
        <f t="shared" si="58"/>
        <v>6.175940605293825E-3</v>
      </c>
      <c r="O102" s="48">
        <f t="shared" si="59"/>
        <v>3.0536271143196625E-2</v>
      </c>
      <c r="P102" s="48">
        <f t="shared" si="60"/>
        <v>6.4529258680402296E-2</v>
      </c>
      <c r="Q102" s="48">
        <f t="shared" si="61"/>
        <v>0.22711569730445078</v>
      </c>
      <c r="R102" s="40">
        <f t="shared" si="89"/>
        <v>2.4232324468684294</v>
      </c>
      <c r="S102" s="99">
        <f t="shared" si="62"/>
        <v>1.0499099028999502E-2</v>
      </c>
      <c r="T102" s="48">
        <f t="shared" si="63"/>
        <v>5.1911660943434267E-2</v>
      </c>
      <c r="U102" s="40">
        <v>6.6792000000000025</v>
      </c>
      <c r="V102" s="40">
        <v>1.25</v>
      </c>
      <c r="W102" s="40">
        <v>0.45</v>
      </c>
      <c r="X102" s="40">
        <v>1.6199040424908342</v>
      </c>
      <c r="Y102" s="42">
        <v>1.6476929697608438</v>
      </c>
      <c r="Z102" s="42">
        <v>21.187242482468413</v>
      </c>
      <c r="AA102" s="42">
        <v>77.16506454777074</v>
      </c>
      <c r="AB102" s="42">
        <v>2.333333333333333</v>
      </c>
      <c r="AC102" s="125">
        <v>1</v>
      </c>
      <c r="AD102" s="94">
        <f t="shared" si="90"/>
        <v>9.1586394209071761E-2</v>
      </c>
      <c r="AE102" s="94">
        <f t="shared" si="91"/>
        <v>0.14836117021643447</v>
      </c>
      <c r="AF102" s="96">
        <f t="shared" si="64"/>
        <v>2.4445365715111095E-3</v>
      </c>
      <c r="AG102" s="95">
        <f t="shared" si="104"/>
        <v>3.1433640883583677E-2</v>
      </c>
      <c r="AH102" s="94">
        <f t="shared" si="92"/>
        <v>0.11448299276133968</v>
      </c>
      <c r="AI102" s="94">
        <f t="shared" si="93"/>
        <v>0.34617606383834704</v>
      </c>
      <c r="AJ102" s="96">
        <f t="shared" si="65"/>
        <v>4.8470363375700664E-3</v>
      </c>
      <c r="AK102" s="95">
        <f t="shared" si="66"/>
        <v>2.46272177328851E-2</v>
      </c>
      <c r="AL102" s="95">
        <f t="shared" si="67"/>
        <v>5.3437189502092253E-2</v>
      </c>
      <c r="AM102" s="94">
        <f t="shared" si="68"/>
        <v>0.19462108769427744</v>
      </c>
      <c r="AN102" s="93">
        <f t="shared" si="69"/>
        <v>2.4232324468684294</v>
      </c>
      <c r="AO102" s="96">
        <f t="shared" si="70"/>
        <v>8.2399617738691134E-3</v>
      </c>
      <c r="AP102" s="95">
        <f t="shared" si="71"/>
        <v>4.1866270145904667E-2</v>
      </c>
      <c r="AQ102" s="93">
        <f t="shared" si="72"/>
        <v>0.22834935452229255</v>
      </c>
      <c r="AR102" s="31">
        <v>1.7</v>
      </c>
      <c r="AS102" s="31">
        <v>1.7</v>
      </c>
      <c r="AT102" s="31">
        <v>7</v>
      </c>
      <c r="AU102" s="43">
        <v>8.5000000000000006E-2</v>
      </c>
      <c r="AV102" s="44">
        <v>0.31</v>
      </c>
      <c r="AW102" s="19">
        <v>1.9E-2</v>
      </c>
      <c r="AX102" s="44">
        <v>0.13</v>
      </c>
      <c r="AY102" s="40">
        <v>6.7734314201523542</v>
      </c>
      <c r="AZ102" s="41">
        <v>0.5</v>
      </c>
      <c r="BA102" s="40">
        <v>0.72</v>
      </c>
      <c r="BB102" s="45">
        <v>1</v>
      </c>
      <c r="BC102" s="41">
        <v>11.280218363357539</v>
      </c>
      <c r="BD102" s="41">
        <v>47.541244098024222</v>
      </c>
      <c r="BE102" s="41">
        <v>41.178537538618244</v>
      </c>
      <c r="BF102" s="125">
        <v>1</v>
      </c>
      <c r="BG102" s="48">
        <f t="shared" si="94"/>
        <v>3.9278653529139698E-3</v>
      </c>
      <c r="BH102" s="48">
        <f t="shared" si="95"/>
        <v>3.9278653529139698E-3</v>
      </c>
      <c r="BI102" s="99">
        <f t="shared" si="96"/>
        <v>4.4307178882736005E-4</v>
      </c>
      <c r="BJ102" s="99">
        <f t="shared" si="97"/>
        <v>1.8673560552705509E-3</v>
      </c>
      <c r="BK102" s="48">
        <f t="shared" si="98"/>
        <v>1.6174375088160589E-3</v>
      </c>
      <c r="BL102" s="99">
        <f t="shared" si="73"/>
        <v>2.5643147680878728E-4</v>
      </c>
      <c r="BM102" s="48">
        <f t="shared" si="74"/>
        <v>1.0829258511941566E-3</v>
      </c>
      <c r="BN102" s="48">
        <f t="shared" si="75"/>
        <v>3.1745052939599365E-3</v>
      </c>
      <c r="BO102" s="48">
        <f t="shared" si="76"/>
        <v>2.7496437649873E-3</v>
      </c>
      <c r="BP102" s="99">
        <f t="shared" si="77"/>
        <v>4.3593351057493834E-4</v>
      </c>
      <c r="BQ102" s="48">
        <f t="shared" si="78"/>
        <v>1.8409739470300664E-3</v>
      </c>
      <c r="BR102" s="40">
        <f t="shared" si="79"/>
        <v>0.58821462461381757</v>
      </c>
      <c r="BS102" s="31">
        <v>1.7</v>
      </c>
      <c r="BT102" s="31">
        <v>1.7</v>
      </c>
      <c r="BU102" s="43">
        <v>0.12</v>
      </c>
      <c r="BV102" s="44">
        <v>0.45</v>
      </c>
      <c r="BW102" s="19">
        <v>0.02</v>
      </c>
      <c r="BX102" s="44">
        <v>0.15</v>
      </c>
      <c r="BY102" s="40">
        <v>17.442066059404375</v>
      </c>
      <c r="BZ102" s="40">
        <v>0.52</v>
      </c>
      <c r="CA102" s="40">
        <v>0.65</v>
      </c>
      <c r="CB102" s="45">
        <v>1</v>
      </c>
      <c r="CC102" s="41">
        <v>3.3053800540389693</v>
      </c>
      <c r="CD102" s="41">
        <v>20.32752011596035</v>
      </c>
      <c r="CE102" s="41">
        <v>76.367099830000669</v>
      </c>
      <c r="CF102" s="125">
        <v>1</v>
      </c>
      <c r="CG102" s="40">
        <f t="shared" si="99"/>
        <v>2.2911749655823259E-2</v>
      </c>
      <c r="CH102" s="40">
        <f t="shared" si="100"/>
        <v>2.2911749655823259E-2</v>
      </c>
      <c r="CI102" s="99">
        <f t="shared" si="101"/>
        <v>7.5732040315492418E-4</v>
      </c>
      <c r="CJ102" s="100">
        <f t="shared" si="102"/>
        <v>4.6573905202059495E-3</v>
      </c>
      <c r="CK102" s="100">
        <f t="shared" si="103"/>
        <v>1.7497038732462385E-2</v>
      </c>
      <c r="CL102" s="101">
        <f t="shared" si="80"/>
        <v>1.0724727909149714E-3</v>
      </c>
      <c r="CM102" s="100">
        <f t="shared" si="81"/>
        <v>4.8261275591173708E-3</v>
      </c>
      <c r="CN102" s="100">
        <f t="shared" si="82"/>
        <v>7.9175638843501147E-3</v>
      </c>
      <c r="CO102" s="100">
        <f t="shared" si="83"/>
        <v>2.9744965845186055E-2</v>
      </c>
      <c r="CP102" s="101">
        <f t="shared" si="84"/>
        <v>1.8232037445554514E-3</v>
      </c>
      <c r="CQ102" s="100">
        <f t="shared" si="85"/>
        <v>8.204416850499531E-3</v>
      </c>
      <c r="CR102" s="99">
        <f t="shared" si="86"/>
        <v>0.23632900169999319</v>
      </c>
      <c r="CS102" s="31">
        <v>1.7</v>
      </c>
      <c r="CT102" s="31">
        <v>1.7</v>
      </c>
      <c r="CU102" s="43">
        <v>0.08</v>
      </c>
      <c r="CV102" s="44">
        <v>0.36</v>
      </c>
      <c r="CW102" s="19">
        <v>0.04</v>
      </c>
      <c r="CX102" s="44">
        <v>0.18</v>
      </c>
      <c r="CY102" s="124"/>
    </row>
    <row r="103" spans="1:196" s="23" customFormat="1" x14ac:dyDescent="0.25">
      <c r="A103" s="31">
        <v>89</v>
      </c>
      <c r="B103" s="83">
        <v>3</v>
      </c>
      <c r="C103" s="31">
        <v>70</v>
      </c>
      <c r="D103" s="31" t="s">
        <v>26</v>
      </c>
      <c r="E103" s="31" t="s">
        <v>99</v>
      </c>
      <c r="F103" s="31" t="s">
        <v>71</v>
      </c>
      <c r="G103" s="31" t="str">
        <f t="shared" si="87"/>
        <v>Statlig 70 - 3 Cm</v>
      </c>
      <c r="H103" s="48">
        <f t="shared" si="53"/>
        <v>0.10468805008644821</v>
      </c>
      <c r="I103" s="40">
        <f t="shared" si="54"/>
        <v>0.15294660969270654</v>
      </c>
      <c r="J103" s="99">
        <f t="shared" si="55"/>
        <v>3.2782482777667264E-3</v>
      </c>
      <c r="K103" s="48">
        <f t="shared" si="56"/>
        <v>3.3243341326522631E-2</v>
      </c>
      <c r="L103" s="48">
        <f t="shared" si="57"/>
        <v>0.11642502008841717</v>
      </c>
      <c r="M103" s="48">
        <f t="shared" si="88"/>
        <v>0.29424965426259497</v>
      </c>
      <c r="N103" s="99">
        <f t="shared" si="58"/>
        <v>5.4488851546583153E-3</v>
      </c>
      <c r="O103" s="48">
        <f t="shared" si="59"/>
        <v>2.6842188483263859E-2</v>
      </c>
      <c r="P103" s="48">
        <f t="shared" si="60"/>
        <v>5.6513680255088461E-2</v>
      </c>
      <c r="Q103" s="48">
        <f t="shared" si="61"/>
        <v>0.19792253415030917</v>
      </c>
      <c r="R103" s="40">
        <f t="shared" si="89"/>
        <v>2.0597475798381648</v>
      </c>
      <c r="S103" s="99">
        <f t="shared" si="62"/>
        <v>9.2631047629191353E-3</v>
      </c>
      <c r="T103" s="48">
        <f t="shared" si="63"/>
        <v>4.5631720421548568E-2</v>
      </c>
      <c r="U103" s="40">
        <v>5.6773200000000008</v>
      </c>
      <c r="V103" s="40">
        <v>1.25</v>
      </c>
      <c r="W103" s="40">
        <v>0.45</v>
      </c>
      <c r="X103" s="40">
        <v>1.6199040424908344</v>
      </c>
      <c r="Y103" s="42">
        <v>1.6476929697608433</v>
      </c>
      <c r="Z103" s="42">
        <v>21.187242482468413</v>
      </c>
      <c r="AA103" s="42">
        <v>77.16506454777074</v>
      </c>
      <c r="AB103" s="42">
        <v>2.333333333333333</v>
      </c>
      <c r="AC103" s="125">
        <v>1</v>
      </c>
      <c r="AD103" s="94">
        <f t="shared" si="90"/>
        <v>7.7848435077710984E-2</v>
      </c>
      <c r="AE103" s="94">
        <f t="shared" si="91"/>
        <v>0.1261069946839693</v>
      </c>
      <c r="AF103" s="96">
        <f t="shared" si="64"/>
        <v>2.0778560857844424E-3</v>
      </c>
      <c r="AG103" s="95">
        <f t="shared" si="104"/>
        <v>2.6718594751046126E-2</v>
      </c>
      <c r="AH103" s="94">
        <f t="shared" si="92"/>
        <v>9.731054384713872E-2</v>
      </c>
      <c r="AI103" s="94">
        <f t="shared" si="93"/>
        <v>0.29424965426259497</v>
      </c>
      <c r="AJ103" s="96">
        <f t="shared" si="65"/>
        <v>4.1199808869345567E-3</v>
      </c>
      <c r="AK103" s="95">
        <f t="shared" si="66"/>
        <v>2.0933135072952334E-2</v>
      </c>
      <c r="AL103" s="95">
        <f t="shared" si="67"/>
        <v>4.5421611076778411E-2</v>
      </c>
      <c r="AM103" s="94">
        <f t="shared" si="68"/>
        <v>0.16542792454013583</v>
      </c>
      <c r="AN103" s="93">
        <f t="shared" si="69"/>
        <v>2.0597475798381648</v>
      </c>
      <c r="AO103" s="96">
        <f t="shared" si="70"/>
        <v>7.0039675077887458E-3</v>
      </c>
      <c r="AP103" s="95">
        <f t="shared" si="71"/>
        <v>3.5586329624018968E-2</v>
      </c>
      <c r="AQ103" s="93">
        <f t="shared" si="72"/>
        <v>0.22834935452229255</v>
      </c>
      <c r="AR103" s="31">
        <v>1.7</v>
      </c>
      <c r="AS103" s="31">
        <v>1.7</v>
      </c>
      <c r="AT103" s="31">
        <v>7</v>
      </c>
      <c r="AU103" s="43">
        <v>8.5000000000000006E-2</v>
      </c>
      <c r="AV103" s="44">
        <v>0.31</v>
      </c>
      <c r="AW103" s="19">
        <v>1.9E-2</v>
      </c>
      <c r="AX103" s="44">
        <v>0.13</v>
      </c>
      <c r="AY103" s="40">
        <v>6.7734314201523542</v>
      </c>
      <c r="AZ103" s="41">
        <v>0.5</v>
      </c>
      <c r="BA103" s="40">
        <v>0.72</v>
      </c>
      <c r="BB103" s="45">
        <v>1</v>
      </c>
      <c r="BC103" s="41">
        <v>11.280218363357539</v>
      </c>
      <c r="BD103" s="41">
        <v>47.541244098024222</v>
      </c>
      <c r="BE103" s="41">
        <v>41.178537538618244</v>
      </c>
      <c r="BF103" s="125">
        <v>1</v>
      </c>
      <c r="BG103" s="48">
        <f t="shared" si="94"/>
        <v>3.9278653529139698E-3</v>
      </c>
      <c r="BH103" s="48">
        <f t="shared" si="95"/>
        <v>3.9278653529139698E-3</v>
      </c>
      <c r="BI103" s="99">
        <f t="shared" si="96"/>
        <v>4.4307178882736005E-4</v>
      </c>
      <c r="BJ103" s="99">
        <f t="shared" si="97"/>
        <v>1.8673560552705509E-3</v>
      </c>
      <c r="BK103" s="48">
        <f t="shared" si="98"/>
        <v>1.6174375088160589E-3</v>
      </c>
      <c r="BL103" s="99">
        <f t="shared" si="73"/>
        <v>2.5643147680878728E-4</v>
      </c>
      <c r="BM103" s="48">
        <f t="shared" si="74"/>
        <v>1.0829258511941566E-3</v>
      </c>
      <c r="BN103" s="48">
        <f t="shared" si="75"/>
        <v>3.1745052939599365E-3</v>
      </c>
      <c r="BO103" s="48">
        <f t="shared" si="76"/>
        <v>2.7496437649873E-3</v>
      </c>
      <c r="BP103" s="99">
        <f t="shared" si="77"/>
        <v>4.3593351057493834E-4</v>
      </c>
      <c r="BQ103" s="48">
        <f t="shared" si="78"/>
        <v>1.8409739470300664E-3</v>
      </c>
      <c r="BR103" s="40">
        <f t="shared" si="79"/>
        <v>0.58821462461381757</v>
      </c>
      <c r="BS103" s="31">
        <v>1.7</v>
      </c>
      <c r="BT103" s="31">
        <v>1.7</v>
      </c>
      <c r="BU103" s="43">
        <v>0.12</v>
      </c>
      <c r="BV103" s="44">
        <v>0.45</v>
      </c>
      <c r="BW103" s="19">
        <v>0.02</v>
      </c>
      <c r="BX103" s="44">
        <v>0.15</v>
      </c>
      <c r="BY103" s="40">
        <v>17.442066059404375</v>
      </c>
      <c r="BZ103" s="40">
        <v>0.52</v>
      </c>
      <c r="CA103" s="40">
        <v>0.65</v>
      </c>
      <c r="CB103" s="45">
        <v>1</v>
      </c>
      <c r="CC103" s="41">
        <v>3.3053800540389693</v>
      </c>
      <c r="CD103" s="41">
        <v>20.32752011596035</v>
      </c>
      <c r="CE103" s="41">
        <v>76.367099830000669</v>
      </c>
      <c r="CF103" s="125">
        <v>1</v>
      </c>
      <c r="CG103" s="40">
        <f t="shared" si="99"/>
        <v>2.2911749655823259E-2</v>
      </c>
      <c r="CH103" s="40">
        <f t="shared" si="100"/>
        <v>2.2911749655823259E-2</v>
      </c>
      <c r="CI103" s="99">
        <f t="shared" si="101"/>
        <v>7.5732040315492418E-4</v>
      </c>
      <c r="CJ103" s="100">
        <f t="shared" si="102"/>
        <v>4.6573905202059495E-3</v>
      </c>
      <c r="CK103" s="100">
        <f t="shared" si="103"/>
        <v>1.7497038732462385E-2</v>
      </c>
      <c r="CL103" s="101">
        <f t="shared" si="80"/>
        <v>1.0724727909149714E-3</v>
      </c>
      <c r="CM103" s="100">
        <f t="shared" si="81"/>
        <v>4.8261275591173708E-3</v>
      </c>
      <c r="CN103" s="100">
        <f t="shared" si="82"/>
        <v>7.9175638843501147E-3</v>
      </c>
      <c r="CO103" s="100">
        <f t="shared" si="83"/>
        <v>2.9744965845186055E-2</v>
      </c>
      <c r="CP103" s="101">
        <f t="shared" si="84"/>
        <v>1.8232037445554514E-3</v>
      </c>
      <c r="CQ103" s="100">
        <f t="shared" si="85"/>
        <v>8.204416850499531E-3</v>
      </c>
      <c r="CR103" s="99">
        <f t="shared" si="86"/>
        <v>0.23632900169999319</v>
      </c>
      <c r="CS103" s="31">
        <v>1.7</v>
      </c>
      <c r="CT103" s="31">
        <v>1.7</v>
      </c>
      <c r="CU103" s="43">
        <v>0.08</v>
      </c>
      <c r="CV103" s="44">
        <v>0.36</v>
      </c>
      <c r="CW103" s="19">
        <v>0.04</v>
      </c>
      <c r="CX103" s="44">
        <v>0.18</v>
      </c>
      <c r="CY103" s="124"/>
    </row>
    <row r="104" spans="1:196" s="23" customFormat="1" x14ac:dyDescent="0.25">
      <c r="A104" s="31">
        <v>90</v>
      </c>
      <c r="B104" s="83">
        <v>3</v>
      </c>
      <c r="C104" s="31">
        <v>70</v>
      </c>
      <c r="D104" s="31" t="s">
        <v>26</v>
      </c>
      <c r="E104" s="31" t="s">
        <v>99</v>
      </c>
      <c r="F104" s="31" t="s">
        <v>0</v>
      </c>
      <c r="G104" s="31" t="str">
        <f t="shared" si="87"/>
        <v>Statlig 70 - 3 D</v>
      </c>
      <c r="H104" s="48">
        <f t="shared" si="53"/>
        <v>5.6545694993358958E-2</v>
      </c>
      <c r="I104" s="40">
        <f t="shared" si="54"/>
        <v>9.5273172530049188E-2</v>
      </c>
      <c r="J104" s="99">
        <f t="shared" si="55"/>
        <v>1.2003921919822842E-3</v>
      </c>
      <c r="K104" s="48">
        <f t="shared" si="56"/>
        <v>1.9040977066912268E-2</v>
      </c>
      <c r="L104" s="48">
        <f t="shared" si="57"/>
        <v>7.5031803271154635E-2</v>
      </c>
      <c r="M104" s="48">
        <f t="shared" si="88"/>
        <v>0.33411678083934654</v>
      </c>
      <c r="N104" s="99">
        <f t="shared" si="58"/>
        <v>3.4552130730634472E-3</v>
      </c>
      <c r="O104" s="48">
        <f t="shared" si="59"/>
        <v>1.7058337376540521E-2</v>
      </c>
      <c r="P104" s="48">
        <f t="shared" si="60"/>
        <v>3.2369661013750856E-2</v>
      </c>
      <c r="Q104" s="48">
        <f t="shared" si="61"/>
        <v>0.12755406556096288</v>
      </c>
      <c r="R104" s="40">
        <f t="shared" si="89"/>
        <v>2.3388174658754259</v>
      </c>
      <c r="S104" s="99">
        <f t="shared" si="62"/>
        <v>5.8738622242078594E-3</v>
      </c>
      <c r="T104" s="48">
        <f t="shared" si="63"/>
        <v>2.899917354011889E-2</v>
      </c>
      <c r="U104" s="40">
        <v>1.2274119000000006</v>
      </c>
      <c r="V104" s="40">
        <v>1.2</v>
      </c>
      <c r="W104" s="45">
        <v>0</v>
      </c>
      <c r="X104" s="40">
        <v>2.3036885902393953</v>
      </c>
      <c r="Y104" s="42">
        <v>0</v>
      </c>
      <c r="Z104" s="42">
        <v>18.289609578660141</v>
      </c>
      <c r="AA104" s="42">
        <v>81.710390421339866</v>
      </c>
      <c r="AB104" s="42">
        <v>4.8823529411764692</v>
      </c>
      <c r="AC104" s="125">
        <v>1</v>
      </c>
      <c r="AD104" s="94">
        <f t="shared" si="90"/>
        <v>2.9706079984621731E-2</v>
      </c>
      <c r="AE104" s="94">
        <f t="shared" si="91"/>
        <v>6.8433557521311958E-2</v>
      </c>
      <c r="AF104" s="96">
        <f t="shared" si="64"/>
        <v>0</v>
      </c>
      <c r="AG104" s="95">
        <f t="shared" si="104"/>
        <v>1.2516230491435769E-2</v>
      </c>
      <c r="AH104" s="94">
        <f t="shared" si="92"/>
        <v>5.5917327029876195E-2</v>
      </c>
      <c r="AI104" s="94">
        <f t="shared" si="93"/>
        <v>0.33411678083934654</v>
      </c>
      <c r="AJ104" s="96">
        <f t="shared" si="65"/>
        <v>2.1263088053396881E-3</v>
      </c>
      <c r="AK104" s="95">
        <f t="shared" si="66"/>
        <v>1.1149283966228994E-2</v>
      </c>
      <c r="AL104" s="95">
        <f t="shared" si="67"/>
        <v>2.1277591835440805E-2</v>
      </c>
      <c r="AM104" s="94">
        <f t="shared" si="68"/>
        <v>9.5059455950789531E-2</v>
      </c>
      <c r="AN104" s="93">
        <f t="shared" si="69"/>
        <v>2.3388174658754259</v>
      </c>
      <c r="AO104" s="96">
        <f t="shared" si="70"/>
        <v>3.6147249690774695E-3</v>
      </c>
      <c r="AP104" s="95">
        <f t="shared" si="71"/>
        <v>1.8953782742589291E-2</v>
      </c>
      <c r="AQ104" s="93">
        <f t="shared" si="72"/>
        <v>0.1828960957866014</v>
      </c>
      <c r="AR104" s="31">
        <v>1.7</v>
      </c>
      <c r="AS104" s="31">
        <v>1.7</v>
      </c>
      <c r="AT104" s="31">
        <v>7</v>
      </c>
      <c r="AU104" s="43">
        <v>8.5000000000000006E-2</v>
      </c>
      <c r="AV104" s="44">
        <v>0.31</v>
      </c>
      <c r="AW104" s="19">
        <v>1.9E-2</v>
      </c>
      <c r="AX104" s="44">
        <v>0.13</v>
      </c>
      <c r="AY104" s="40">
        <v>6.7734314201523542</v>
      </c>
      <c r="AZ104" s="41">
        <v>0.5</v>
      </c>
      <c r="BA104" s="40">
        <v>0.72</v>
      </c>
      <c r="BB104" s="45">
        <v>1</v>
      </c>
      <c r="BC104" s="41">
        <v>11.280218363357539</v>
      </c>
      <c r="BD104" s="41">
        <v>47.541244098024222</v>
      </c>
      <c r="BE104" s="41">
        <v>41.178537538618244</v>
      </c>
      <c r="BF104" s="125">
        <v>1</v>
      </c>
      <c r="BG104" s="48">
        <f t="shared" si="94"/>
        <v>3.9278653529139698E-3</v>
      </c>
      <c r="BH104" s="48">
        <f t="shared" si="95"/>
        <v>3.9278653529139698E-3</v>
      </c>
      <c r="BI104" s="99">
        <f t="shared" si="96"/>
        <v>4.4307178882736005E-4</v>
      </c>
      <c r="BJ104" s="99">
        <f t="shared" si="97"/>
        <v>1.8673560552705509E-3</v>
      </c>
      <c r="BK104" s="48">
        <f t="shared" si="98"/>
        <v>1.6174375088160589E-3</v>
      </c>
      <c r="BL104" s="99">
        <f t="shared" si="73"/>
        <v>2.5643147680878728E-4</v>
      </c>
      <c r="BM104" s="48">
        <f t="shared" si="74"/>
        <v>1.0829258511941566E-3</v>
      </c>
      <c r="BN104" s="48">
        <f t="shared" si="75"/>
        <v>3.1745052939599365E-3</v>
      </c>
      <c r="BO104" s="48">
        <f t="shared" si="76"/>
        <v>2.7496437649873E-3</v>
      </c>
      <c r="BP104" s="99">
        <f t="shared" si="77"/>
        <v>4.3593351057493834E-4</v>
      </c>
      <c r="BQ104" s="48">
        <f t="shared" si="78"/>
        <v>1.8409739470300664E-3</v>
      </c>
      <c r="BR104" s="40">
        <f t="shared" si="79"/>
        <v>0.58821462461381757</v>
      </c>
      <c r="BS104" s="31">
        <v>1.7</v>
      </c>
      <c r="BT104" s="31">
        <v>1.7</v>
      </c>
      <c r="BU104" s="43">
        <v>0.12</v>
      </c>
      <c r="BV104" s="44">
        <v>0.45</v>
      </c>
      <c r="BW104" s="19">
        <v>0.02</v>
      </c>
      <c r="BX104" s="44">
        <v>0.15</v>
      </c>
      <c r="BY104" s="40">
        <v>17.442066059404375</v>
      </c>
      <c r="BZ104" s="40">
        <v>0.52</v>
      </c>
      <c r="CA104" s="40">
        <v>0.65</v>
      </c>
      <c r="CB104" s="45">
        <v>1</v>
      </c>
      <c r="CC104" s="41">
        <v>3.3053800540389693</v>
      </c>
      <c r="CD104" s="41">
        <v>20.32752011596035</v>
      </c>
      <c r="CE104" s="41">
        <v>76.367099830000669</v>
      </c>
      <c r="CF104" s="125">
        <v>1</v>
      </c>
      <c r="CG104" s="40">
        <f t="shared" si="99"/>
        <v>2.2911749655823259E-2</v>
      </c>
      <c r="CH104" s="40">
        <f t="shared" si="100"/>
        <v>2.2911749655823259E-2</v>
      </c>
      <c r="CI104" s="99">
        <f t="shared" si="101"/>
        <v>7.5732040315492418E-4</v>
      </c>
      <c r="CJ104" s="100">
        <f t="shared" si="102"/>
        <v>4.6573905202059495E-3</v>
      </c>
      <c r="CK104" s="100">
        <f t="shared" si="103"/>
        <v>1.7497038732462385E-2</v>
      </c>
      <c r="CL104" s="101">
        <f t="shared" si="80"/>
        <v>1.0724727909149714E-3</v>
      </c>
      <c r="CM104" s="100">
        <f t="shared" si="81"/>
        <v>4.8261275591173708E-3</v>
      </c>
      <c r="CN104" s="100">
        <f t="shared" si="82"/>
        <v>7.9175638843501147E-3</v>
      </c>
      <c r="CO104" s="100">
        <f t="shared" si="83"/>
        <v>2.9744965845186055E-2</v>
      </c>
      <c r="CP104" s="101">
        <f t="shared" si="84"/>
        <v>1.8232037445554514E-3</v>
      </c>
      <c r="CQ104" s="100">
        <f t="shared" si="85"/>
        <v>8.204416850499531E-3</v>
      </c>
      <c r="CR104" s="99">
        <f t="shared" si="86"/>
        <v>0.23632900169999319</v>
      </c>
      <c r="CS104" s="31">
        <v>1.7</v>
      </c>
      <c r="CT104" s="31">
        <v>1.7</v>
      </c>
      <c r="CU104" s="43">
        <v>0.08</v>
      </c>
      <c r="CV104" s="44">
        <v>0.36</v>
      </c>
      <c r="CW104" s="19">
        <v>0.04</v>
      </c>
      <c r="CX104" s="44">
        <v>0.18</v>
      </c>
      <c r="CY104" s="124"/>
    </row>
    <row r="105" spans="1:196" s="23" customFormat="1" x14ac:dyDescent="0.25">
      <c r="A105" s="31">
        <v>91</v>
      </c>
      <c r="B105" s="83">
        <v>3</v>
      </c>
      <c r="C105" s="31">
        <v>70</v>
      </c>
      <c r="D105" s="31" t="s">
        <v>26</v>
      </c>
      <c r="E105" s="31" t="s">
        <v>99</v>
      </c>
      <c r="F105" s="31" t="s">
        <v>63</v>
      </c>
      <c r="G105" s="31" t="str">
        <f t="shared" si="87"/>
        <v>Statlig 70 - 3 ES</v>
      </c>
      <c r="H105" s="48">
        <f t="shared" si="53"/>
        <v>0.10392883884371465</v>
      </c>
      <c r="I105" s="40">
        <f t="shared" si="54"/>
        <v>0.16420447486377401</v>
      </c>
      <c r="J105" s="99">
        <f t="shared" si="55"/>
        <v>3.4637433307355601E-3</v>
      </c>
      <c r="K105" s="48">
        <f t="shared" si="56"/>
        <v>3.5628572518666052E-2</v>
      </c>
      <c r="L105" s="48">
        <f t="shared" si="57"/>
        <v>0.12511215901437239</v>
      </c>
      <c r="M105" s="48">
        <f t="shared" si="88"/>
        <v>0.32051800632841909</v>
      </c>
      <c r="N105" s="99">
        <f t="shared" si="58"/>
        <v>5.8166854455836553E-3</v>
      </c>
      <c r="O105" s="48">
        <f t="shared" si="59"/>
        <v>2.8710938213202496E-2</v>
      </c>
      <c r="P105" s="48">
        <f t="shared" si="60"/>
        <v>6.0568573281732277E-2</v>
      </c>
      <c r="Q105" s="48">
        <f t="shared" si="61"/>
        <v>0.21269067032443303</v>
      </c>
      <c r="R105" s="40">
        <f t="shared" si="89"/>
        <v>2.2436260442989338</v>
      </c>
      <c r="S105" s="99">
        <f t="shared" si="62"/>
        <v>9.888365257492213E-3</v>
      </c>
      <c r="T105" s="48">
        <f t="shared" si="63"/>
        <v>4.8808594962444253E-2</v>
      </c>
      <c r="U105" s="40">
        <v>3.9679200000000012</v>
      </c>
      <c r="V105" s="40">
        <v>1.2</v>
      </c>
      <c r="W105" s="41">
        <v>0.1</v>
      </c>
      <c r="X105" s="40">
        <v>1.7818944467399178</v>
      </c>
      <c r="Y105" s="42">
        <v>1.6476929697608433</v>
      </c>
      <c r="Z105" s="42">
        <v>21.187242482468413</v>
      </c>
      <c r="AA105" s="42">
        <v>77.16506454777074</v>
      </c>
      <c r="AB105" s="42">
        <v>2.333333333333333</v>
      </c>
      <c r="AC105" s="125">
        <v>1</v>
      </c>
      <c r="AD105" s="94">
        <f t="shared" si="90"/>
        <v>7.7089223834977419E-2</v>
      </c>
      <c r="AE105" s="94">
        <f t="shared" si="91"/>
        <v>0.13736485985503677</v>
      </c>
      <c r="AF105" s="96">
        <f t="shared" si="64"/>
        <v>2.263351138753276E-3</v>
      </c>
      <c r="AG105" s="95">
        <f t="shared" si="104"/>
        <v>2.9103825943189547E-2</v>
      </c>
      <c r="AH105" s="94">
        <f t="shared" si="92"/>
        <v>0.10599768277309395</v>
      </c>
      <c r="AI105" s="94">
        <f t="shared" si="93"/>
        <v>0.32051800632841909</v>
      </c>
      <c r="AJ105" s="96">
        <f t="shared" si="65"/>
        <v>4.4877811778598967E-3</v>
      </c>
      <c r="AK105" s="95">
        <f t="shared" si="66"/>
        <v>2.280188480289097E-2</v>
      </c>
      <c r="AL105" s="95">
        <f t="shared" si="67"/>
        <v>4.9476504103422227E-2</v>
      </c>
      <c r="AM105" s="94">
        <f t="shared" si="68"/>
        <v>0.1801960607142597</v>
      </c>
      <c r="AN105" s="93">
        <f t="shared" si="69"/>
        <v>2.2436260442989338</v>
      </c>
      <c r="AO105" s="96">
        <f t="shared" si="70"/>
        <v>7.6292280023618243E-3</v>
      </c>
      <c r="AP105" s="95">
        <f t="shared" si="71"/>
        <v>3.8763204164914654E-2</v>
      </c>
      <c r="AQ105" s="93">
        <f t="shared" si="72"/>
        <v>0.22834935452229255</v>
      </c>
      <c r="AR105" s="31">
        <v>1.7</v>
      </c>
      <c r="AS105" s="31">
        <v>1.7</v>
      </c>
      <c r="AT105" s="31">
        <v>7</v>
      </c>
      <c r="AU105" s="43">
        <v>8.5000000000000006E-2</v>
      </c>
      <c r="AV105" s="44">
        <v>0.31</v>
      </c>
      <c r="AW105" s="19">
        <v>1.9E-2</v>
      </c>
      <c r="AX105" s="44">
        <v>0.13</v>
      </c>
      <c r="AY105" s="40">
        <v>6.7734314201523542</v>
      </c>
      <c r="AZ105" s="41">
        <v>0.5</v>
      </c>
      <c r="BA105" s="40">
        <v>0.72</v>
      </c>
      <c r="BB105" s="45">
        <v>1</v>
      </c>
      <c r="BC105" s="41">
        <v>11.280218363357539</v>
      </c>
      <c r="BD105" s="41">
        <v>47.541244098024222</v>
      </c>
      <c r="BE105" s="41">
        <v>41.178537538618244</v>
      </c>
      <c r="BF105" s="125">
        <v>1</v>
      </c>
      <c r="BG105" s="48">
        <f t="shared" si="94"/>
        <v>3.9278653529139698E-3</v>
      </c>
      <c r="BH105" s="48">
        <f t="shared" si="95"/>
        <v>3.9278653529139698E-3</v>
      </c>
      <c r="BI105" s="99">
        <f t="shared" si="96"/>
        <v>4.4307178882736005E-4</v>
      </c>
      <c r="BJ105" s="99">
        <f t="shared" si="97"/>
        <v>1.8673560552705509E-3</v>
      </c>
      <c r="BK105" s="48">
        <f t="shared" si="98"/>
        <v>1.6174375088160589E-3</v>
      </c>
      <c r="BL105" s="99">
        <f t="shared" si="73"/>
        <v>2.5643147680878728E-4</v>
      </c>
      <c r="BM105" s="48">
        <f t="shared" si="74"/>
        <v>1.0829258511941566E-3</v>
      </c>
      <c r="BN105" s="48">
        <f t="shared" si="75"/>
        <v>3.1745052939599365E-3</v>
      </c>
      <c r="BO105" s="48">
        <f t="shared" si="76"/>
        <v>2.7496437649873E-3</v>
      </c>
      <c r="BP105" s="99">
        <f t="shared" si="77"/>
        <v>4.3593351057493834E-4</v>
      </c>
      <c r="BQ105" s="48">
        <f t="shared" si="78"/>
        <v>1.8409739470300664E-3</v>
      </c>
      <c r="BR105" s="40">
        <f t="shared" si="79"/>
        <v>0.58821462461381757</v>
      </c>
      <c r="BS105" s="31">
        <v>1.7</v>
      </c>
      <c r="BT105" s="31">
        <v>1.7</v>
      </c>
      <c r="BU105" s="43">
        <v>0.12</v>
      </c>
      <c r="BV105" s="44">
        <v>0.45</v>
      </c>
      <c r="BW105" s="19">
        <v>0.02</v>
      </c>
      <c r="BX105" s="44">
        <v>0.15</v>
      </c>
      <c r="BY105" s="40">
        <v>17.442066059404375</v>
      </c>
      <c r="BZ105" s="40">
        <v>0.52</v>
      </c>
      <c r="CA105" s="40">
        <v>0.65</v>
      </c>
      <c r="CB105" s="45">
        <v>1</v>
      </c>
      <c r="CC105" s="41">
        <v>3.3053800540389693</v>
      </c>
      <c r="CD105" s="41">
        <v>20.32752011596035</v>
      </c>
      <c r="CE105" s="41">
        <v>76.367099830000669</v>
      </c>
      <c r="CF105" s="125">
        <v>1</v>
      </c>
      <c r="CG105" s="40">
        <f t="shared" si="99"/>
        <v>2.2911749655823259E-2</v>
      </c>
      <c r="CH105" s="40">
        <f t="shared" si="100"/>
        <v>2.2911749655823259E-2</v>
      </c>
      <c r="CI105" s="99">
        <f t="shared" si="101"/>
        <v>7.5732040315492418E-4</v>
      </c>
      <c r="CJ105" s="100">
        <f t="shared" si="102"/>
        <v>4.6573905202059495E-3</v>
      </c>
      <c r="CK105" s="100">
        <f t="shared" si="103"/>
        <v>1.7497038732462385E-2</v>
      </c>
      <c r="CL105" s="101">
        <f t="shared" si="80"/>
        <v>1.0724727909149714E-3</v>
      </c>
      <c r="CM105" s="100">
        <f t="shared" si="81"/>
        <v>4.8261275591173708E-3</v>
      </c>
      <c r="CN105" s="100">
        <f t="shared" si="82"/>
        <v>7.9175638843501147E-3</v>
      </c>
      <c r="CO105" s="100">
        <f t="shared" si="83"/>
        <v>2.9744965845186055E-2</v>
      </c>
      <c r="CP105" s="101">
        <f t="shared" si="84"/>
        <v>1.8232037445554514E-3</v>
      </c>
      <c r="CQ105" s="100">
        <f t="shared" si="85"/>
        <v>8.204416850499531E-3</v>
      </c>
      <c r="CR105" s="99">
        <f t="shared" si="86"/>
        <v>0.23632900169999319</v>
      </c>
      <c r="CS105" s="31">
        <v>1.7</v>
      </c>
      <c r="CT105" s="31">
        <v>1.7</v>
      </c>
      <c r="CU105" s="43">
        <v>0.08</v>
      </c>
      <c r="CV105" s="44">
        <v>0.36</v>
      </c>
      <c r="CW105" s="19">
        <v>0.04</v>
      </c>
      <c r="CX105" s="44">
        <v>0.18</v>
      </c>
      <c r="CY105" s="124"/>
    </row>
    <row r="106" spans="1:196" s="23" customFormat="1" x14ac:dyDescent="0.25">
      <c r="A106" s="31">
        <v>92</v>
      </c>
      <c r="B106" s="83">
        <v>3</v>
      </c>
      <c r="C106" s="31">
        <v>70</v>
      </c>
      <c r="D106" s="31" t="s">
        <v>26</v>
      </c>
      <c r="E106" s="31" t="s">
        <v>99</v>
      </c>
      <c r="F106" s="31" t="s">
        <v>64</v>
      </c>
      <c r="G106" s="31" t="str">
        <f t="shared" si="87"/>
        <v>Statlig 70 - 3 F</v>
      </c>
      <c r="H106" s="48">
        <f t="shared" si="53"/>
        <v>5.4315533271458744E-2</v>
      </c>
      <c r="I106" s="40">
        <f t="shared" si="54"/>
        <v>7.3870495116484206E-2</v>
      </c>
      <c r="J106" s="99">
        <f t="shared" si="55"/>
        <v>1.5854067019952837E-3</v>
      </c>
      <c r="K106" s="48">
        <f t="shared" si="56"/>
        <v>1.4704326605400341E-2</v>
      </c>
      <c r="L106" s="48">
        <f t="shared" si="57"/>
        <v>5.7580761809088582E-2</v>
      </c>
      <c r="M106" s="48">
        <f t="shared" si="88"/>
        <v>0.18812352043098796</v>
      </c>
      <c r="N106" s="99">
        <f t="shared" si="58"/>
        <v>2.7550279960556782E-3</v>
      </c>
      <c r="O106" s="48">
        <f t="shared" si="59"/>
        <v>1.3445340343403236E-2</v>
      </c>
      <c r="P106" s="48">
        <f t="shared" si="60"/>
        <v>2.4997355229180583E-2</v>
      </c>
      <c r="Q106" s="48">
        <f t="shared" si="61"/>
        <v>9.7887295075450589E-2</v>
      </c>
      <c r="R106" s="40">
        <f t="shared" si="89"/>
        <v>1.3168646430169157</v>
      </c>
      <c r="S106" s="99">
        <f t="shared" si="62"/>
        <v>4.6835475932946527E-3</v>
      </c>
      <c r="T106" s="48">
        <f t="shared" si="63"/>
        <v>2.2857078583785502E-2</v>
      </c>
      <c r="U106" s="40">
        <v>2.0037599999999993</v>
      </c>
      <c r="V106" s="40">
        <v>1.25</v>
      </c>
      <c r="W106" s="40">
        <v>0.45</v>
      </c>
      <c r="X106" s="40">
        <v>1.7117127681791451</v>
      </c>
      <c r="Y106" s="42">
        <v>0.81864194148809855</v>
      </c>
      <c r="Z106" s="42">
        <v>17.391934854683893</v>
      </c>
      <c r="AA106" s="42">
        <v>81.789423203828008</v>
      </c>
      <c r="AB106" s="42">
        <v>4.0000000000000009</v>
      </c>
      <c r="AC106" s="125">
        <v>1</v>
      </c>
      <c r="AD106" s="94">
        <f t="shared" si="90"/>
        <v>2.7475918262721517E-2</v>
      </c>
      <c r="AE106" s="94">
        <f t="shared" si="91"/>
        <v>4.7030880107746975E-2</v>
      </c>
      <c r="AF106" s="96">
        <f t="shared" si="64"/>
        <v>3.8501451001299981E-4</v>
      </c>
      <c r="AG106" s="95">
        <f t="shared" si="104"/>
        <v>8.17958002992384E-3</v>
      </c>
      <c r="AH106" s="94">
        <f t="shared" si="92"/>
        <v>3.8466285567810135E-2</v>
      </c>
      <c r="AI106" s="94">
        <f t="shared" si="93"/>
        <v>0.18812352043098796</v>
      </c>
      <c r="AJ106" s="96">
        <f t="shared" si="65"/>
        <v>1.4261237283319191E-3</v>
      </c>
      <c r="AK106" s="95">
        <f t="shared" si="66"/>
        <v>7.5362869330917077E-3</v>
      </c>
      <c r="AL106" s="95">
        <f t="shared" si="67"/>
        <v>1.3905286050870528E-2</v>
      </c>
      <c r="AM106" s="94">
        <f t="shared" si="68"/>
        <v>6.5392685465277225E-2</v>
      </c>
      <c r="AN106" s="93">
        <f t="shared" si="69"/>
        <v>1.3168646430169157</v>
      </c>
      <c r="AO106" s="96">
        <f t="shared" si="70"/>
        <v>2.4244103381642623E-3</v>
      </c>
      <c r="AP106" s="95">
        <f t="shared" si="71"/>
        <v>1.2811687786255903E-2</v>
      </c>
      <c r="AQ106" s="93">
        <f t="shared" si="72"/>
        <v>0.18210576796171993</v>
      </c>
      <c r="AR106" s="31">
        <v>1.7</v>
      </c>
      <c r="AS106" s="31">
        <v>1.7</v>
      </c>
      <c r="AT106" s="31">
        <v>7</v>
      </c>
      <c r="AU106" s="43">
        <v>8.5000000000000006E-2</v>
      </c>
      <c r="AV106" s="44">
        <v>0.31</v>
      </c>
      <c r="AW106" s="19">
        <v>1.9E-2</v>
      </c>
      <c r="AX106" s="44">
        <v>0.13</v>
      </c>
      <c r="AY106" s="40">
        <v>6.7734314201523551</v>
      </c>
      <c r="AZ106" s="41">
        <v>0.5</v>
      </c>
      <c r="BA106" s="40">
        <v>0.72</v>
      </c>
      <c r="BB106" s="45">
        <v>1</v>
      </c>
      <c r="BC106" s="41">
        <v>11.280218363357534</v>
      </c>
      <c r="BD106" s="41">
        <v>47.541244098024215</v>
      </c>
      <c r="BE106" s="41">
        <v>41.178537538618244</v>
      </c>
      <c r="BF106" s="125">
        <v>1</v>
      </c>
      <c r="BG106" s="48">
        <f t="shared" si="94"/>
        <v>3.9278653529139706E-3</v>
      </c>
      <c r="BH106" s="48">
        <f t="shared" si="95"/>
        <v>3.9278653529139706E-3</v>
      </c>
      <c r="BI106" s="99">
        <f t="shared" si="96"/>
        <v>4.4307178882735989E-4</v>
      </c>
      <c r="BJ106" s="99">
        <f t="shared" si="97"/>
        <v>1.8673560552705513E-3</v>
      </c>
      <c r="BK106" s="48">
        <f t="shared" si="98"/>
        <v>1.6174375088160594E-3</v>
      </c>
      <c r="BL106" s="99">
        <f t="shared" si="73"/>
        <v>2.5643147680878733E-4</v>
      </c>
      <c r="BM106" s="48">
        <f t="shared" si="74"/>
        <v>1.082925851194157E-3</v>
      </c>
      <c r="BN106" s="48">
        <f t="shared" si="75"/>
        <v>3.1745052939599373E-3</v>
      </c>
      <c r="BO106" s="48">
        <f t="shared" si="76"/>
        <v>2.7496437649873009E-3</v>
      </c>
      <c r="BP106" s="99">
        <f t="shared" si="77"/>
        <v>4.3593351057493845E-4</v>
      </c>
      <c r="BQ106" s="48">
        <f t="shared" si="78"/>
        <v>1.8409739470300671E-3</v>
      </c>
      <c r="BR106" s="40">
        <f t="shared" si="79"/>
        <v>0.58821462461381757</v>
      </c>
      <c r="BS106" s="31">
        <v>1.7</v>
      </c>
      <c r="BT106" s="31">
        <v>1.7</v>
      </c>
      <c r="BU106" s="43">
        <v>0.12</v>
      </c>
      <c r="BV106" s="44">
        <v>0.45</v>
      </c>
      <c r="BW106" s="19">
        <v>0.02</v>
      </c>
      <c r="BX106" s="44">
        <v>0.15</v>
      </c>
      <c r="BY106" s="40">
        <v>17.442066059404372</v>
      </c>
      <c r="BZ106" s="40">
        <v>0.52</v>
      </c>
      <c r="CA106" s="40">
        <v>0.65</v>
      </c>
      <c r="CB106" s="45">
        <v>1</v>
      </c>
      <c r="CC106" s="41">
        <v>3.3053800540389693</v>
      </c>
      <c r="CD106" s="41">
        <v>20.327520115960354</v>
      </c>
      <c r="CE106" s="41">
        <v>76.367099830000683</v>
      </c>
      <c r="CF106" s="125">
        <v>1</v>
      </c>
      <c r="CG106" s="40">
        <f t="shared" si="99"/>
        <v>2.2911749655823255E-2</v>
      </c>
      <c r="CH106" s="40">
        <f t="shared" si="100"/>
        <v>2.2911749655823255E-2</v>
      </c>
      <c r="CI106" s="99">
        <f t="shared" si="101"/>
        <v>7.5732040315492407E-4</v>
      </c>
      <c r="CJ106" s="100">
        <f t="shared" si="102"/>
        <v>4.6573905202059495E-3</v>
      </c>
      <c r="CK106" s="100">
        <f t="shared" si="103"/>
        <v>1.7497038732462385E-2</v>
      </c>
      <c r="CL106" s="101">
        <f t="shared" si="80"/>
        <v>1.0724727909149714E-3</v>
      </c>
      <c r="CM106" s="100">
        <f t="shared" si="81"/>
        <v>4.8261275591173708E-3</v>
      </c>
      <c r="CN106" s="100">
        <f t="shared" si="82"/>
        <v>7.9175638843501147E-3</v>
      </c>
      <c r="CO106" s="100">
        <f t="shared" si="83"/>
        <v>2.9744965845186055E-2</v>
      </c>
      <c r="CP106" s="101">
        <f t="shared" si="84"/>
        <v>1.8232037445554514E-3</v>
      </c>
      <c r="CQ106" s="100">
        <f t="shared" si="85"/>
        <v>8.204416850499531E-3</v>
      </c>
      <c r="CR106" s="99">
        <f t="shared" si="86"/>
        <v>0.23632900169999324</v>
      </c>
      <c r="CS106" s="31">
        <v>1.7</v>
      </c>
      <c r="CT106" s="31">
        <v>1.7</v>
      </c>
      <c r="CU106" s="43">
        <v>0.08</v>
      </c>
      <c r="CV106" s="44">
        <v>0.36</v>
      </c>
      <c r="CW106" s="19">
        <v>0.04</v>
      </c>
      <c r="CX106" s="44">
        <v>0.18</v>
      </c>
      <c r="CY106" s="124"/>
    </row>
    <row r="107" spans="1:196" s="26" customFormat="1" x14ac:dyDescent="0.25">
      <c r="A107" s="31">
        <v>93</v>
      </c>
      <c r="B107" s="83">
        <v>3</v>
      </c>
      <c r="C107" s="31">
        <v>80</v>
      </c>
      <c r="D107" s="31" t="s">
        <v>26</v>
      </c>
      <c r="E107" s="31" t="s">
        <v>99</v>
      </c>
      <c r="F107" s="31" t="s">
        <v>12</v>
      </c>
      <c r="G107" s="31" t="str">
        <f t="shared" si="87"/>
        <v>Statlig 80 - 3 A</v>
      </c>
      <c r="H107" s="48">
        <f t="shared" si="53"/>
        <v>0.15321677152603524</v>
      </c>
      <c r="I107" s="40">
        <f t="shared" si="54"/>
        <v>0.20695683772107598</v>
      </c>
      <c r="J107" s="99">
        <f t="shared" si="55"/>
        <v>7.6917960016062445E-3</v>
      </c>
      <c r="K107" s="48">
        <f t="shared" si="56"/>
        <v>4.8574546697828527E-2</v>
      </c>
      <c r="L107" s="48">
        <f t="shared" si="57"/>
        <v>0.15069049502164117</v>
      </c>
      <c r="M107" s="48">
        <f t="shared" si="88"/>
        <v>0.30378016543506919</v>
      </c>
      <c r="N107" s="99">
        <f t="shared" si="58"/>
        <v>7.2945003620639472E-3</v>
      </c>
      <c r="O107" s="48">
        <f t="shared" si="59"/>
        <v>3.5805625913606212E-2</v>
      </c>
      <c r="P107" s="48">
        <f t="shared" si="60"/>
        <v>8.2576729386308501E-2</v>
      </c>
      <c r="Q107" s="48">
        <f t="shared" si="61"/>
        <v>0.25617384153678996</v>
      </c>
      <c r="R107" s="40">
        <f t="shared" si="89"/>
        <v>2.1264611580454842</v>
      </c>
      <c r="S107" s="99">
        <f t="shared" si="62"/>
        <v>1.2400650615508709E-2</v>
      </c>
      <c r="T107" s="48">
        <f t="shared" si="63"/>
        <v>6.086956405313057E-2</v>
      </c>
      <c r="U107" s="40">
        <v>9.430080000000002</v>
      </c>
      <c r="V107" s="40">
        <v>1.25</v>
      </c>
      <c r="W107" s="40">
        <v>0.45</v>
      </c>
      <c r="X107" s="40">
        <v>1.4156007350397048</v>
      </c>
      <c r="Y107" s="42">
        <v>2.9967294945844558</v>
      </c>
      <c r="Z107" s="42">
        <v>22.82981368176182</v>
      </c>
      <c r="AA107" s="42">
        <v>74.173456823653723</v>
      </c>
      <c r="AB107" s="42">
        <v>1.6595744680851066</v>
      </c>
      <c r="AC107" s="125">
        <v>1</v>
      </c>
      <c r="AD107" s="94">
        <f t="shared" si="90"/>
        <v>0.12930695656711633</v>
      </c>
      <c r="AE107" s="94">
        <f t="shared" si="91"/>
        <v>0.18304702276215706</v>
      </c>
      <c r="AF107" s="96">
        <f t="shared" si="64"/>
        <v>5.4854241200722829E-3</v>
      </c>
      <c r="AG107" s="95">
        <f t="shared" si="104"/>
        <v>4.178929424661261E-2</v>
      </c>
      <c r="AH107" s="94">
        <f t="shared" si="92"/>
        <v>0.13577230439547217</v>
      </c>
      <c r="AI107" s="94">
        <f t="shared" si="93"/>
        <v>0.30378016543506919</v>
      </c>
      <c r="AJ107" s="96">
        <f t="shared" si="65"/>
        <v>6.1317637944760424E-3</v>
      </c>
      <c r="AK107" s="95">
        <f t="shared" si="66"/>
        <v>3.060508078786129E-2</v>
      </c>
      <c r="AL107" s="95">
        <f t="shared" si="67"/>
        <v>7.1041800219241433E-2</v>
      </c>
      <c r="AM107" s="94">
        <f t="shared" si="68"/>
        <v>0.23081291747230268</v>
      </c>
      <c r="AN107" s="93">
        <f t="shared" si="69"/>
        <v>2.1264611580454842</v>
      </c>
      <c r="AO107" s="96">
        <f t="shared" si="70"/>
        <v>1.0423998450609272E-2</v>
      </c>
      <c r="AP107" s="95">
        <f t="shared" si="71"/>
        <v>5.2028637339364192E-2</v>
      </c>
      <c r="AQ107" s="93">
        <f t="shared" si="72"/>
        <v>0.25826543176346278</v>
      </c>
      <c r="AR107" s="31">
        <v>1.7</v>
      </c>
      <c r="AS107" s="31">
        <v>1.7</v>
      </c>
      <c r="AT107" s="31">
        <v>7</v>
      </c>
      <c r="AU107" s="43">
        <v>8.5000000000000006E-2</v>
      </c>
      <c r="AV107" s="44">
        <v>0.31</v>
      </c>
      <c r="AW107" s="19">
        <v>1.9E-2</v>
      </c>
      <c r="AX107" s="44">
        <v>0.13</v>
      </c>
      <c r="AY107" s="40">
        <v>5.8843957389478314</v>
      </c>
      <c r="AZ107" s="41">
        <v>0.5</v>
      </c>
      <c r="BA107" s="40">
        <v>0.72</v>
      </c>
      <c r="BB107" s="45">
        <v>1</v>
      </c>
      <c r="BC107" s="41">
        <v>23.21224490001492</v>
      </c>
      <c r="BD107" s="41">
        <v>36.921911535570835</v>
      </c>
      <c r="BE107" s="41">
        <v>39.865843564414241</v>
      </c>
      <c r="BF107" s="125">
        <v>1</v>
      </c>
      <c r="BG107" s="48">
        <f t="shared" si="94"/>
        <v>3.4123197995452503E-3</v>
      </c>
      <c r="BH107" s="48">
        <f t="shared" si="95"/>
        <v>3.4123197995452503E-3</v>
      </c>
      <c r="BI107" s="99">
        <f t="shared" si="96"/>
        <v>7.9207602864214178E-4</v>
      </c>
      <c r="BJ107" s="99">
        <f t="shared" si="97"/>
        <v>1.2598936976988653E-3</v>
      </c>
      <c r="BK107" s="48">
        <f t="shared" si="98"/>
        <v>1.3603500732042432E-3</v>
      </c>
      <c r="BL107" s="99">
        <f t="shared" si="73"/>
        <v>1.7839424518794868E-4</v>
      </c>
      <c r="BM107" s="48">
        <f t="shared" si="74"/>
        <v>7.7100467494512588E-4</v>
      </c>
      <c r="BN107" s="48">
        <f t="shared" si="75"/>
        <v>2.1418192860880709E-3</v>
      </c>
      <c r="BO107" s="48">
        <f t="shared" si="76"/>
        <v>2.3125951244472136E-3</v>
      </c>
      <c r="BP107" s="99">
        <f t="shared" si="77"/>
        <v>3.0327021681951277E-4</v>
      </c>
      <c r="BQ107" s="48">
        <f t="shared" si="78"/>
        <v>1.310707947406714E-3</v>
      </c>
      <c r="BR107" s="40">
        <f t="shared" si="79"/>
        <v>0.60134156435585762</v>
      </c>
      <c r="BS107" s="31">
        <v>1.7</v>
      </c>
      <c r="BT107" s="31">
        <v>1.7</v>
      </c>
      <c r="BU107" s="43">
        <v>0.12</v>
      </c>
      <c r="BV107" s="44">
        <v>0.45</v>
      </c>
      <c r="BW107" s="19">
        <v>0.02</v>
      </c>
      <c r="BX107" s="44">
        <v>0.15</v>
      </c>
      <c r="BY107" s="40">
        <v>15.604162492725626</v>
      </c>
      <c r="BZ107" s="40">
        <v>0.52</v>
      </c>
      <c r="CA107" s="40">
        <v>0.65</v>
      </c>
      <c r="CB107" s="45">
        <v>1</v>
      </c>
      <c r="CC107" s="41">
        <v>6.8998472344805162</v>
      </c>
      <c r="CD107" s="41">
        <v>26.95626324365918</v>
      </c>
      <c r="CE107" s="41">
        <v>66.143889521860302</v>
      </c>
      <c r="CF107" s="125">
        <v>1</v>
      </c>
      <c r="CG107" s="40">
        <f t="shared" si="99"/>
        <v>2.0497495159373647E-2</v>
      </c>
      <c r="CH107" s="40">
        <f t="shared" si="100"/>
        <v>2.0497495159373647E-2</v>
      </c>
      <c r="CI107" s="99">
        <f t="shared" si="101"/>
        <v>1.4142958528918202E-3</v>
      </c>
      <c r="CJ107" s="100">
        <f t="shared" si="102"/>
        <v>5.525358753517058E-3</v>
      </c>
      <c r="CK107" s="100">
        <f t="shared" si="103"/>
        <v>1.3557840552964768E-2</v>
      </c>
      <c r="CL107" s="101">
        <f t="shared" si="80"/>
        <v>9.8434232239995529E-4</v>
      </c>
      <c r="CM107" s="100">
        <f t="shared" si="81"/>
        <v>4.4295404507997994E-3</v>
      </c>
      <c r="CN107" s="100">
        <f t="shared" si="82"/>
        <v>9.3931098809789983E-3</v>
      </c>
      <c r="CO107" s="100">
        <f t="shared" si="83"/>
        <v>2.3048328940040105E-2</v>
      </c>
      <c r="CP107" s="101">
        <f t="shared" si="84"/>
        <v>1.6733819480799241E-3</v>
      </c>
      <c r="CQ107" s="100">
        <f t="shared" si="85"/>
        <v>7.530218766359658E-3</v>
      </c>
      <c r="CR107" s="99">
        <f t="shared" si="86"/>
        <v>0.33856110478139695</v>
      </c>
      <c r="CS107" s="31">
        <v>1.7</v>
      </c>
      <c r="CT107" s="31">
        <v>1.7</v>
      </c>
      <c r="CU107" s="43">
        <v>0.08</v>
      </c>
      <c r="CV107" s="44">
        <v>0.36</v>
      </c>
      <c r="CW107" s="19">
        <v>0.04</v>
      </c>
      <c r="CX107" s="44">
        <v>0.18</v>
      </c>
      <c r="CY107" s="124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</row>
    <row r="108" spans="1:196" s="23" customFormat="1" x14ac:dyDescent="0.25">
      <c r="A108" s="31">
        <v>94</v>
      </c>
      <c r="B108" s="83">
        <v>3</v>
      </c>
      <c r="C108" s="31">
        <v>80</v>
      </c>
      <c r="D108" s="31" t="s">
        <v>26</v>
      </c>
      <c r="E108" s="31" t="s">
        <v>99</v>
      </c>
      <c r="F108" s="31" t="s">
        <v>13</v>
      </c>
      <c r="G108" s="31" t="str">
        <f t="shared" si="87"/>
        <v>Statlig 80 - 3 B</v>
      </c>
      <c r="H108" s="48">
        <f t="shared" si="53"/>
        <v>0.15321677152603524</v>
      </c>
      <c r="I108" s="40">
        <f t="shared" si="54"/>
        <v>0.20695683772107598</v>
      </c>
      <c r="J108" s="99">
        <f t="shared" si="55"/>
        <v>7.6917960016062445E-3</v>
      </c>
      <c r="K108" s="48">
        <f t="shared" si="56"/>
        <v>4.8574546697828527E-2</v>
      </c>
      <c r="L108" s="48">
        <f t="shared" si="57"/>
        <v>0.15069049502164117</v>
      </c>
      <c r="M108" s="48">
        <f t="shared" si="88"/>
        <v>0.30378016543506919</v>
      </c>
      <c r="N108" s="99">
        <f t="shared" si="58"/>
        <v>7.2945003620639472E-3</v>
      </c>
      <c r="O108" s="48">
        <f t="shared" si="59"/>
        <v>3.5805625913606212E-2</v>
      </c>
      <c r="P108" s="48">
        <f t="shared" si="60"/>
        <v>8.2576729386308501E-2</v>
      </c>
      <c r="Q108" s="48">
        <f t="shared" si="61"/>
        <v>0.25617384153678996</v>
      </c>
      <c r="R108" s="40">
        <f t="shared" si="89"/>
        <v>2.1264611580454842</v>
      </c>
      <c r="S108" s="99">
        <f t="shared" si="62"/>
        <v>1.2400650615508709E-2</v>
      </c>
      <c r="T108" s="48">
        <f t="shared" si="63"/>
        <v>6.086956405313057E-2</v>
      </c>
      <c r="U108" s="40">
        <v>9.430080000000002</v>
      </c>
      <c r="V108" s="40">
        <v>1.25</v>
      </c>
      <c r="W108" s="40">
        <v>0.45</v>
      </c>
      <c r="X108" s="40">
        <v>1.4156007350397048</v>
      </c>
      <c r="Y108" s="42">
        <v>2.9967294945844558</v>
      </c>
      <c r="Z108" s="42">
        <v>22.82981368176182</v>
      </c>
      <c r="AA108" s="42">
        <v>74.173456823653723</v>
      </c>
      <c r="AB108" s="42">
        <v>1.6595744680851066</v>
      </c>
      <c r="AC108" s="125">
        <v>1</v>
      </c>
      <c r="AD108" s="94">
        <f t="shared" si="90"/>
        <v>0.12930695656711633</v>
      </c>
      <c r="AE108" s="94">
        <f t="shared" si="91"/>
        <v>0.18304702276215706</v>
      </c>
      <c r="AF108" s="96">
        <f t="shared" si="64"/>
        <v>5.4854241200722829E-3</v>
      </c>
      <c r="AG108" s="95">
        <f t="shared" si="104"/>
        <v>4.178929424661261E-2</v>
      </c>
      <c r="AH108" s="94">
        <f t="shared" si="92"/>
        <v>0.13577230439547217</v>
      </c>
      <c r="AI108" s="94">
        <f t="shared" si="93"/>
        <v>0.30378016543506919</v>
      </c>
      <c r="AJ108" s="96">
        <f t="shared" si="65"/>
        <v>6.1317637944760424E-3</v>
      </c>
      <c r="AK108" s="95">
        <f t="shared" si="66"/>
        <v>3.060508078786129E-2</v>
      </c>
      <c r="AL108" s="95">
        <f t="shared" si="67"/>
        <v>7.1041800219241433E-2</v>
      </c>
      <c r="AM108" s="94">
        <f t="shared" si="68"/>
        <v>0.23081291747230268</v>
      </c>
      <c r="AN108" s="93">
        <f t="shared" si="69"/>
        <v>2.1264611580454842</v>
      </c>
      <c r="AO108" s="96">
        <f t="shared" si="70"/>
        <v>1.0423998450609272E-2</v>
      </c>
      <c r="AP108" s="95">
        <f t="shared" si="71"/>
        <v>5.2028637339364192E-2</v>
      </c>
      <c r="AQ108" s="93">
        <f t="shared" si="72"/>
        <v>0.25826543176346278</v>
      </c>
      <c r="AR108" s="31">
        <v>1.7</v>
      </c>
      <c r="AS108" s="31">
        <v>1.7</v>
      </c>
      <c r="AT108" s="31">
        <v>7</v>
      </c>
      <c r="AU108" s="43">
        <v>8.5000000000000006E-2</v>
      </c>
      <c r="AV108" s="44">
        <v>0.31</v>
      </c>
      <c r="AW108" s="19">
        <v>1.9E-2</v>
      </c>
      <c r="AX108" s="44">
        <v>0.13</v>
      </c>
      <c r="AY108" s="40">
        <v>5.8843957389478314</v>
      </c>
      <c r="AZ108" s="41">
        <v>0.5</v>
      </c>
      <c r="BA108" s="40">
        <v>0.72</v>
      </c>
      <c r="BB108" s="45">
        <v>1</v>
      </c>
      <c r="BC108" s="41">
        <v>23.21224490001492</v>
      </c>
      <c r="BD108" s="41">
        <v>36.921911535570835</v>
      </c>
      <c r="BE108" s="41">
        <v>39.865843564414241</v>
      </c>
      <c r="BF108" s="125">
        <v>1</v>
      </c>
      <c r="BG108" s="48">
        <f t="shared" si="94"/>
        <v>3.4123197995452503E-3</v>
      </c>
      <c r="BH108" s="48">
        <f t="shared" si="95"/>
        <v>3.4123197995452503E-3</v>
      </c>
      <c r="BI108" s="99">
        <f t="shared" si="96"/>
        <v>7.9207602864214178E-4</v>
      </c>
      <c r="BJ108" s="99">
        <f t="shared" si="97"/>
        <v>1.2598936976988653E-3</v>
      </c>
      <c r="BK108" s="48">
        <f t="shared" si="98"/>
        <v>1.3603500732042432E-3</v>
      </c>
      <c r="BL108" s="99">
        <f t="shared" si="73"/>
        <v>1.7839424518794868E-4</v>
      </c>
      <c r="BM108" s="48">
        <f t="shared" si="74"/>
        <v>7.7100467494512588E-4</v>
      </c>
      <c r="BN108" s="48">
        <f t="shared" si="75"/>
        <v>2.1418192860880709E-3</v>
      </c>
      <c r="BO108" s="48">
        <f t="shared" si="76"/>
        <v>2.3125951244472136E-3</v>
      </c>
      <c r="BP108" s="99">
        <f t="shared" si="77"/>
        <v>3.0327021681951277E-4</v>
      </c>
      <c r="BQ108" s="48">
        <f t="shared" si="78"/>
        <v>1.310707947406714E-3</v>
      </c>
      <c r="BR108" s="40">
        <f t="shared" si="79"/>
        <v>0.60134156435585762</v>
      </c>
      <c r="BS108" s="31">
        <v>1.7</v>
      </c>
      <c r="BT108" s="31">
        <v>1.7</v>
      </c>
      <c r="BU108" s="43">
        <v>0.12</v>
      </c>
      <c r="BV108" s="44">
        <v>0.45</v>
      </c>
      <c r="BW108" s="19">
        <v>0.02</v>
      </c>
      <c r="BX108" s="44">
        <v>0.15</v>
      </c>
      <c r="BY108" s="40">
        <v>15.604162492725626</v>
      </c>
      <c r="BZ108" s="40">
        <v>0.52</v>
      </c>
      <c r="CA108" s="40">
        <v>0.65</v>
      </c>
      <c r="CB108" s="45">
        <v>1</v>
      </c>
      <c r="CC108" s="41">
        <v>6.8998472344805162</v>
      </c>
      <c r="CD108" s="41">
        <v>26.95626324365918</v>
      </c>
      <c r="CE108" s="41">
        <v>66.143889521860302</v>
      </c>
      <c r="CF108" s="125">
        <v>1</v>
      </c>
      <c r="CG108" s="40">
        <f t="shared" si="99"/>
        <v>2.0497495159373647E-2</v>
      </c>
      <c r="CH108" s="40">
        <f t="shared" si="100"/>
        <v>2.0497495159373647E-2</v>
      </c>
      <c r="CI108" s="99">
        <f t="shared" si="101"/>
        <v>1.4142958528918202E-3</v>
      </c>
      <c r="CJ108" s="100">
        <f t="shared" si="102"/>
        <v>5.525358753517058E-3</v>
      </c>
      <c r="CK108" s="100">
        <f t="shared" si="103"/>
        <v>1.3557840552964768E-2</v>
      </c>
      <c r="CL108" s="101">
        <f t="shared" si="80"/>
        <v>9.8434232239995529E-4</v>
      </c>
      <c r="CM108" s="100">
        <f t="shared" si="81"/>
        <v>4.4295404507997994E-3</v>
      </c>
      <c r="CN108" s="100">
        <f t="shared" si="82"/>
        <v>9.3931098809789983E-3</v>
      </c>
      <c r="CO108" s="100">
        <f t="shared" si="83"/>
        <v>2.3048328940040105E-2</v>
      </c>
      <c r="CP108" s="101">
        <f t="shared" si="84"/>
        <v>1.6733819480799241E-3</v>
      </c>
      <c r="CQ108" s="100">
        <f t="shared" si="85"/>
        <v>7.530218766359658E-3</v>
      </c>
      <c r="CR108" s="99">
        <f t="shared" si="86"/>
        <v>0.33856110478139695</v>
      </c>
      <c r="CS108" s="31">
        <v>1.7</v>
      </c>
      <c r="CT108" s="31">
        <v>1.7</v>
      </c>
      <c r="CU108" s="43">
        <v>0.08</v>
      </c>
      <c r="CV108" s="44">
        <v>0.36</v>
      </c>
      <c r="CW108" s="19">
        <v>0.04</v>
      </c>
      <c r="CX108" s="44">
        <v>0.18</v>
      </c>
      <c r="CY108" s="124"/>
    </row>
    <row r="109" spans="1:196" s="23" customFormat="1" x14ac:dyDescent="0.25">
      <c r="A109" s="31">
        <v>95</v>
      </c>
      <c r="B109" s="83">
        <v>3</v>
      </c>
      <c r="C109" s="31">
        <v>80</v>
      </c>
      <c r="D109" s="31" t="s">
        <v>26</v>
      </c>
      <c r="E109" s="31" t="s">
        <v>99</v>
      </c>
      <c r="F109" s="31" t="s">
        <v>70</v>
      </c>
      <c r="G109" s="31" t="str">
        <f t="shared" si="87"/>
        <v>Statlig 80 - 3 Ck</v>
      </c>
      <c r="H109" s="48">
        <f t="shared" si="53"/>
        <v>0.15321677152603524</v>
      </c>
      <c r="I109" s="40">
        <f t="shared" si="54"/>
        <v>0.20695683772107598</v>
      </c>
      <c r="J109" s="99">
        <f t="shared" si="55"/>
        <v>7.6917960016062445E-3</v>
      </c>
      <c r="K109" s="48">
        <f t="shared" si="56"/>
        <v>4.8574546697828527E-2</v>
      </c>
      <c r="L109" s="48">
        <f t="shared" si="57"/>
        <v>0.15069049502164117</v>
      </c>
      <c r="M109" s="48">
        <f t="shared" si="88"/>
        <v>0.30378016543506919</v>
      </c>
      <c r="N109" s="99">
        <f t="shared" si="58"/>
        <v>7.2945003620639472E-3</v>
      </c>
      <c r="O109" s="48">
        <f t="shared" si="59"/>
        <v>3.5805625913606212E-2</v>
      </c>
      <c r="P109" s="48">
        <f t="shared" si="60"/>
        <v>8.2576729386308501E-2</v>
      </c>
      <c r="Q109" s="48">
        <f t="shared" si="61"/>
        <v>0.25617384153678996</v>
      </c>
      <c r="R109" s="40">
        <f t="shared" si="89"/>
        <v>2.1264611580454842</v>
      </c>
      <c r="S109" s="99">
        <f t="shared" si="62"/>
        <v>1.2400650615508709E-2</v>
      </c>
      <c r="T109" s="48">
        <f t="shared" si="63"/>
        <v>6.086956405313057E-2</v>
      </c>
      <c r="U109" s="40">
        <v>9.430080000000002</v>
      </c>
      <c r="V109" s="40">
        <v>1.25</v>
      </c>
      <c r="W109" s="40">
        <v>0.45</v>
      </c>
      <c r="X109" s="40">
        <v>1.4156007350397048</v>
      </c>
      <c r="Y109" s="42">
        <v>2.9967294945844558</v>
      </c>
      <c r="Z109" s="42">
        <v>22.82981368176182</v>
      </c>
      <c r="AA109" s="42">
        <v>74.173456823653723</v>
      </c>
      <c r="AB109" s="42">
        <v>1.6595744680851066</v>
      </c>
      <c r="AC109" s="125">
        <v>1</v>
      </c>
      <c r="AD109" s="94">
        <f t="shared" si="90"/>
        <v>0.12930695656711633</v>
      </c>
      <c r="AE109" s="94">
        <f t="shared" si="91"/>
        <v>0.18304702276215706</v>
      </c>
      <c r="AF109" s="96">
        <f t="shared" si="64"/>
        <v>5.4854241200722829E-3</v>
      </c>
      <c r="AG109" s="95">
        <f t="shared" si="104"/>
        <v>4.178929424661261E-2</v>
      </c>
      <c r="AH109" s="94">
        <f t="shared" si="92"/>
        <v>0.13577230439547217</v>
      </c>
      <c r="AI109" s="94">
        <f t="shared" si="93"/>
        <v>0.30378016543506919</v>
      </c>
      <c r="AJ109" s="96">
        <f t="shared" si="65"/>
        <v>6.1317637944760424E-3</v>
      </c>
      <c r="AK109" s="95">
        <f t="shared" si="66"/>
        <v>3.060508078786129E-2</v>
      </c>
      <c r="AL109" s="95">
        <f t="shared" si="67"/>
        <v>7.1041800219241433E-2</v>
      </c>
      <c r="AM109" s="94">
        <f t="shared" si="68"/>
        <v>0.23081291747230268</v>
      </c>
      <c r="AN109" s="93">
        <f t="shared" si="69"/>
        <v>2.1264611580454842</v>
      </c>
      <c r="AO109" s="96">
        <f t="shared" si="70"/>
        <v>1.0423998450609272E-2</v>
      </c>
      <c r="AP109" s="95">
        <f t="shared" si="71"/>
        <v>5.2028637339364192E-2</v>
      </c>
      <c r="AQ109" s="93">
        <f t="shared" si="72"/>
        <v>0.25826543176346278</v>
      </c>
      <c r="AR109" s="31">
        <v>1.7</v>
      </c>
      <c r="AS109" s="31">
        <v>1.7</v>
      </c>
      <c r="AT109" s="31">
        <v>7</v>
      </c>
      <c r="AU109" s="43">
        <v>8.5000000000000006E-2</v>
      </c>
      <c r="AV109" s="44">
        <v>0.31</v>
      </c>
      <c r="AW109" s="19">
        <v>1.9E-2</v>
      </c>
      <c r="AX109" s="44">
        <v>0.13</v>
      </c>
      <c r="AY109" s="40">
        <v>5.8843957389478314</v>
      </c>
      <c r="AZ109" s="41">
        <v>0.5</v>
      </c>
      <c r="BA109" s="40">
        <v>0.72</v>
      </c>
      <c r="BB109" s="45">
        <v>1</v>
      </c>
      <c r="BC109" s="41">
        <v>23.21224490001492</v>
      </c>
      <c r="BD109" s="41">
        <v>36.921911535570835</v>
      </c>
      <c r="BE109" s="41">
        <v>39.865843564414241</v>
      </c>
      <c r="BF109" s="125">
        <v>1</v>
      </c>
      <c r="BG109" s="48">
        <f t="shared" si="94"/>
        <v>3.4123197995452503E-3</v>
      </c>
      <c r="BH109" s="48">
        <f t="shared" si="95"/>
        <v>3.4123197995452503E-3</v>
      </c>
      <c r="BI109" s="99">
        <f t="shared" si="96"/>
        <v>7.9207602864214178E-4</v>
      </c>
      <c r="BJ109" s="99">
        <f t="shared" si="97"/>
        <v>1.2598936976988653E-3</v>
      </c>
      <c r="BK109" s="48">
        <f t="shared" si="98"/>
        <v>1.3603500732042432E-3</v>
      </c>
      <c r="BL109" s="99">
        <f t="shared" si="73"/>
        <v>1.7839424518794868E-4</v>
      </c>
      <c r="BM109" s="48">
        <f t="shared" si="74"/>
        <v>7.7100467494512588E-4</v>
      </c>
      <c r="BN109" s="48">
        <f t="shared" si="75"/>
        <v>2.1418192860880709E-3</v>
      </c>
      <c r="BO109" s="48">
        <f t="shared" si="76"/>
        <v>2.3125951244472136E-3</v>
      </c>
      <c r="BP109" s="99">
        <f t="shared" si="77"/>
        <v>3.0327021681951277E-4</v>
      </c>
      <c r="BQ109" s="48">
        <f t="shared" si="78"/>
        <v>1.310707947406714E-3</v>
      </c>
      <c r="BR109" s="40">
        <f t="shared" si="79"/>
        <v>0.60134156435585762</v>
      </c>
      <c r="BS109" s="31">
        <v>1.7</v>
      </c>
      <c r="BT109" s="31">
        <v>1.7</v>
      </c>
      <c r="BU109" s="43">
        <v>0.12</v>
      </c>
      <c r="BV109" s="44">
        <v>0.45</v>
      </c>
      <c r="BW109" s="19">
        <v>0.02</v>
      </c>
      <c r="BX109" s="44">
        <v>0.15</v>
      </c>
      <c r="BY109" s="40">
        <v>15.604162492725626</v>
      </c>
      <c r="BZ109" s="40">
        <v>0.52</v>
      </c>
      <c r="CA109" s="40">
        <v>0.65</v>
      </c>
      <c r="CB109" s="45">
        <v>1</v>
      </c>
      <c r="CC109" s="41">
        <v>6.8998472344805162</v>
      </c>
      <c r="CD109" s="41">
        <v>26.95626324365918</v>
      </c>
      <c r="CE109" s="41">
        <v>66.143889521860302</v>
      </c>
      <c r="CF109" s="125">
        <v>1</v>
      </c>
      <c r="CG109" s="40">
        <f t="shared" si="99"/>
        <v>2.0497495159373647E-2</v>
      </c>
      <c r="CH109" s="40">
        <f t="shared" si="100"/>
        <v>2.0497495159373647E-2</v>
      </c>
      <c r="CI109" s="99">
        <f t="shared" si="101"/>
        <v>1.4142958528918202E-3</v>
      </c>
      <c r="CJ109" s="100">
        <f t="shared" si="102"/>
        <v>5.525358753517058E-3</v>
      </c>
      <c r="CK109" s="100">
        <f t="shared" si="103"/>
        <v>1.3557840552964768E-2</v>
      </c>
      <c r="CL109" s="101">
        <f t="shared" si="80"/>
        <v>9.8434232239995529E-4</v>
      </c>
      <c r="CM109" s="100">
        <f t="shared" si="81"/>
        <v>4.4295404507997994E-3</v>
      </c>
      <c r="CN109" s="100">
        <f t="shared" si="82"/>
        <v>9.3931098809789983E-3</v>
      </c>
      <c r="CO109" s="100">
        <f t="shared" si="83"/>
        <v>2.3048328940040105E-2</v>
      </c>
      <c r="CP109" s="101">
        <f t="shared" si="84"/>
        <v>1.6733819480799241E-3</v>
      </c>
      <c r="CQ109" s="100">
        <f t="shared" si="85"/>
        <v>7.530218766359658E-3</v>
      </c>
      <c r="CR109" s="99">
        <f t="shared" si="86"/>
        <v>0.33856110478139695</v>
      </c>
      <c r="CS109" s="31">
        <v>1.7</v>
      </c>
      <c r="CT109" s="31">
        <v>1.7</v>
      </c>
      <c r="CU109" s="43">
        <v>0.08</v>
      </c>
      <c r="CV109" s="44">
        <v>0.36</v>
      </c>
      <c r="CW109" s="19">
        <v>0.04</v>
      </c>
      <c r="CX109" s="44">
        <v>0.18</v>
      </c>
      <c r="CY109" s="124"/>
    </row>
    <row r="110" spans="1:196" s="23" customFormat="1" x14ac:dyDescent="0.25">
      <c r="A110" s="31">
        <v>96</v>
      </c>
      <c r="B110" s="83">
        <v>3</v>
      </c>
      <c r="C110" s="31">
        <v>80</v>
      </c>
      <c r="D110" s="31" t="s">
        <v>26</v>
      </c>
      <c r="E110" s="31" t="s">
        <v>99</v>
      </c>
      <c r="F110" s="31" t="s">
        <v>71</v>
      </c>
      <c r="G110" s="31" t="str">
        <f t="shared" si="87"/>
        <v>Statlig 80 - 3 Cm</v>
      </c>
      <c r="H110" s="48">
        <f t="shared" si="53"/>
        <v>0.13382072804096778</v>
      </c>
      <c r="I110" s="40">
        <f t="shared" si="54"/>
        <v>0.1794997843067524</v>
      </c>
      <c r="J110" s="99">
        <f t="shared" si="55"/>
        <v>6.8689823835954003E-3</v>
      </c>
      <c r="K110" s="48">
        <f t="shared" si="56"/>
        <v>4.2306152560836627E-2</v>
      </c>
      <c r="L110" s="48">
        <f t="shared" si="57"/>
        <v>0.13032464936232036</v>
      </c>
      <c r="M110" s="48">
        <f t="shared" si="88"/>
        <v>0.25821314061980877</v>
      </c>
      <c r="N110" s="99">
        <f t="shared" si="58"/>
        <v>6.374735792892541E-3</v>
      </c>
      <c r="O110" s="48">
        <f t="shared" si="59"/>
        <v>3.1214863795427022E-2</v>
      </c>
      <c r="P110" s="48">
        <f t="shared" si="60"/>
        <v>7.192045935342227E-2</v>
      </c>
      <c r="Q110" s="48">
        <f t="shared" si="61"/>
        <v>0.22155190391594459</v>
      </c>
      <c r="R110" s="40">
        <f t="shared" si="89"/>
        <v>1.8074919843386614</v>
      </c>
      <c r="S110" s="99">
        <f t="shared" si="62"/>
        <v>1.0837050847917317E-2</v>
      </c>
      <c r="T110" s="48">
        <f t="shared" si="63"/>
        <v>5.3065268452225936E-2</v>
      </c>
      <c r="U110" s="40">
        <v>8.015568</v>
      </c>
      <c r="V110" s="40">
        <v>1.25</v>
      </c>
      <c r="W110" s="40">
        <v>0.45</v>
      </c>
      <c r="X110" s="40">
        <v>1.4156007350397046</v>
      </c>
      <c r="Y110" s="42">
        <v>2.9967294945844549</v>
      </c>
      <c r="Z110" s="42">
        <v>22.82981368176182</v>
      </c>
      <c r="AA110" s="42">
        <v>74.173456823653723</v>
      </c>
      <c r="AB110" s="42">
        <v>1.6595744680851063</v>
      </c>
      <c r="AC110" s="125">
        <v>1</v>
      </c>
      <c r="AD110" s="94">
        <f t="shared" si="90"/>
        <v>0.10991091308204888</v>
      </c>
      <c r="AE110" s="94">
        <f t="shared" si="91"/>
        <v>0.15558996934783348</v>
      </c>
      <c r="AF110" s="96">
        <f t="shared" si="64"/>
        <v>4.6626105020614386E-3</v>
      </c>
      <c r="AG110" s="95">
        <f t="shared" si="104"/>
        <v>3.5520900109620709E-2</v>
      </c>
      <c r="AH110" s="94">
        <f t="shared" si="92"/>
        <v>0.11540645873615134</v>
      </c>
      <c r="AI110" s="94">
        <f t="shared" si="93"/>
        <v>0.25821314061980877</v>
      </c>
      <c r="AJ110" s="96">
        <f t="shared" si="65"/>
        <v>5.2119992253046362E-3</v>
      </c>
      <c r="AK110" s="95">
        <f t="shared" si="66"/>
        <v>2.6014318669682096E-2</v>
      </c>
      <c r="AL110" s="95">
        <f t="shared" si="67"/>
        <v>6.0385530186355202E-2</v>
      </c>
      <c r="AM110" s="94">
        <f t="shared" si="68"/>
        <v>0.19619097985145728</v>
      </c>
      <c r="AN110" s="93">
        <f t="shared" si="69"/>
        <v>1.8074919843386614</v>
      </c>
      <c r="AO110" s="96">
        <f t="shared" si="70"/>
        <v>8.8603986830178803E-3</v>
      </c>
      <c r="AP110" s="95">
        <f t="shared" si="71"/>
        <v>4.4224341738459558E-2</v>
      </c>
      <c r="AQ110" s="93">
        <f t="shared" si="72"/>
        <v>0.25826543176346273</v>
      </c>
      <c r="AR110" s="31">
        <v>1.7</v>
      </c>
      <c r="AS110" s="31">
        <v>1.7</v>
      </c>
      <c r="AT110" s="31">
        <v>7</v>
      </c>
      <c r="AU110" s="43">
        <v>8.5000000000000006E-2</v>
      </c>
      <c r="AV110" s="44">
        <v>0.31</v>
      </c>
      <c r="AW110" s="19">
        <v>1.9E-2</v>
      </c>
      <c r="AX110" s="44">
        <v>0.13</v>
      </c>
      <c r="AY110" s="40">
        <v>5.8843957389478314</v>
      </c>
      <c r="AZ110" s="41">
        <v>0.5</v>
      </c>
      <c r="BA110" s="40">
        <v>0.72</v>
      </c>
      <c r="BB110" s="45">
        <v>1</v>
      </c>
      <c r="BC110" s="41">
        <v>23.21224490001492</v>
      </c>
      <c r="BD110" s="41">
        <v>36.921911535570835</v>
      </c>
      <c r="BE110" s="41">
        <v>39.865843564414241</v>
      </c>
      <c r="BF110" s="125">
        <v>1</v>
      </c>
      <c r="BG110" s="48">
        <f t="shared" si="94"/>
        <v>3.4123197995452503E-3</v>
      </c>
      <c r="BH110" s="48">
        <f t="shared" si="95"/>
        <v>3.4123197995452503E-3</v>
      </c>
      <c r="BI110" s="99">
        <f t="shared" si="96"/>
        <v>7.9207602864214178E-4</v>
      </c>
      <c r="BJ110" s="99">
        <f t="shared" si="97"/>
        <v>1.2598936976988653E-3</v>
      </c>
      <c r="BK110" s="48">
        <f t="shared" si="98"/>
        <v>1.3603500732042432E-3</v>
      </c>
      <c r="BL110" s="99">
        <f t="shared" si="73"/>
        <v>1.7839424518794868E-4</v>
      </c>
      <c r="BM110" s="48">
        <f t="shared" si="74"/>
        <v>7.7100467494512588E-4</v>
      </c>
      <c r="BN110" s="48">
        <f t="shared" si="75"/>
        <v>2.1418192860880709E-3</v>
      </c>
      <c r="BO110" s="48">
        <f t="shared" si="76"/>
        <v>2.3125951244472136E-3</v>
      </c>
      <c r="BP110" s="99">
        <f t="shared" si="77"/>
        <v>3.0327021681951277E-4</v>
      </c>
      <c r="BQ110" s="48">
        <f t="shared" si="78"/>
        <v>1.310707947406714E-3</v>
      </c>
      <c r="BR110" s="40">
        <f t="shared" si="79"/>
        <v>0.60134156435585762</v>
      </c>
      <c r="BS110" s="31">
        <v>1.7</v>
      </c>
      <c r="BT110" s="31">
        <v>1.7</v>
      </c>
      <c r="BU110" s="43">
        <v>0.12</v>
      </c>
      <c r="BV110" s="44">
        <v>0.45</v>
      </c>
      <c r="BW110" s="19">
        <v>0.02</v>
      </c>
      <c r="BX110" s="44">
        <v>0.15</v>
      </c>
      <c r="BY110" s="40">
        <v>15.604162492725626</v>
      </c>
      <c r="BZ110" s="40">
        <v>0.52</v>
      </c>
      <c r="CA110" s="40">
        <v>0.65</v>
      </c>
      <c r="CB110" s="45">
        <v>1</v>
      </c>
      <c r="CC110" s="41">
        <v>6.8998472344805162</v>
      </c>
      <c r="CD110" s="41">
        <v>26.95626324365918</v>
      </c>
      <c r="CE110" s="41">
        <v>66.143889521860302</v>
      </c>
      <c r="CF110" s="125">
        <v>1</v>
      </c>
      <c r="CG110" s="40">
        <f t="shared" si="99"/>
        <v>2.0497495159373647E-2</v>
      </c>
      <c r="CH110" s="40">
        <f t="shared" si="100"/>
        <v>2.0497495159373647E-2</v>
      </c>
      <c r="CI110" s="99">
        <f t="shared" si="101"/>
        <v>1.4142958528918202E-3</v>
      </c>
      <c r="CJ110" s="100">
        <f t="shared" si="102"/>
        <v>5.525358753517058E-3</v>
      </c>
      <c r="CK110" s="100">
        <f t="shared" si="103"/>
        <v>1.3557840552964768E-2</v>
      </c>
      <c r="CL110" s="101">
        <f t="shared" si="80"/>
        <v>9.8434232239995529E-4</v>
      </c>
      <c r="CM110" s="100">
        <f t="shared" si="81"/>
        <v>4.4295404507997994E-3</v>
      </c>
      <c r="CN110" s="100">
        <f t="shared" si="82"/>
        <v>9.3931098809789983E-3</v>
      </c>
      <c r="CO110" s="100">
        <f t="shared" si="83"/>
        <v>2.3048328940040105E-2</v>
      </c>
      <c r="CP110" s="101">
        <f t="shared" si="84"/>
        <v>1.6733819480799241E-3</v>
      </c>
      <c r="CQ110" s="100">
        <f t="shared" si="85"/>
        <v>7.530218766359658E-3</v>
      </c>
      <c r="CR110" s="99">
        <f t="shared" si="86"/>
        <v>0.33856110478139695</v>
      </c>
      <c r="CS110" s="31">
        <v>1.7</v>
      </c>
      <c r="CT110" s="31">
        <v>1.7</v>
      </c>
      <c r="CU110" s="43">
        <v>0.08</v>
      </c>
      <c r="CV110" s="44">
        <v>0.36</v>
      </c>
      <c r="CW110" s="19">
        <v>0.04</v>
      </c>
      <c r="CX110" s="44">
        <v>0.18</v>
      </c>
      <c r="CY110" s="124"/>
    </row>
    <row r="111" spans="1:196" s="23" customFormat="1" x14ac:dyDescent="0.25">
      <c r="A111" s="31">
        <v>97</v>
      </c>
      <c r="B111" s="83">
        <v>3</v>
      </c>
      <c r="C111" s="31">
        <v>80</v>
      </c>
      <c r="D111" s="31" t="s">
        <v>26</v>
      </c>
      <c r="E111" s="31" t="s">
        <v>99</v>
      </c>
      <c r="F111" s="31" t="s">
        <v>64</v>
      </c>
      <c r="G111" s="31" t="str">
        <f t="shared" si="87"/>
        <v>Statlig 80 - 3 F</v>
      </c>
      <c r="H111" s="48">
        <f t="shared" si="53"/>
        <v>7.4669673441116691E-2</v>
      </c>
      <c r="I111" s="40">
        <f t="shared" si="54"/>
        <v>8.0033225255382062E-2</v>
      </c>
      <c r="J111" s="99">
        <f t="shared" si="55"/>
        <v>2.6177786905393833E-3</v>
      </c>
      <c r="K111" s="48">
        <f t="shared" si="56"/>
        <v>1.5946751574511767E-2</v>
      </c>
      <c r="L111" s="48">
        <f t="shared" si="57"/>
        <v>6.1468694990330905E-2</v>
      </c>
      <c r="M111" s="48">
        <f t="shared" si="88"/>
        <v>0.11498454792446111</v>
      </c>
      <c r="N111" s="99">
        <f t="shared" si="58"/>
        <v>2.8259235759871271E-3</v>
      </c>
      <c r="O111" s="48">
        <f t="shared" si="59"/>
        <v>1.4092175421307682E-2</v>
      </c>
      <c r="P111" s="48">
        <f t="shared" si="60"/>
        <v>2.7109477676669998E-2</v>
      </c>
      <c r="Q111" s="48">
        <f t="shared" si="61"/>
        <v>0.10449678148356253</v>
      </c>
      <c r="R111" s="40">
        <f t="shared" si="89"/>
        <v>0.80489183547122778</v>
      </c>
      <c r="S111" s="99">
        <f t="shared" si="62"/>
        <v>4.804070079178116E-3</v>
      </c>
      <c r="T111" s="48">
        <f t="shared" si="63"/>
        <v>2.3956698216223059E-2</v>
      </c>
      <c r="U111" s="40">
        <v>3.7018080000000011</v>
      </c>
      <c r="V111" s="40">
        <v>1.25</v>
      </c>
      <c r="W111" s="40">
        <v>0.45</v>
      </c>
      <c r="X111" s="40">
        <v>1.1056652239514504</v>
      </c>
      <c r="Y111" s="42">
        <v>0.73303957623428262</v>
      </c>
      <c r="Z111" s="42">
        <v>16.323846100765532</v>
      </c>
      <c r="AA111" s="42">
        <v>82.943114323000174</v>
      </c>
      <c r="AB111" s="42">
        <v>2.0487804878048781</v>
      </c>
      <c r="AC111" s="125">
        <v>1</v>
      </c>
      <c r="AD111" s="94">
        <f t="shared" si="90"/>
        <v>5.07598584821978E-2</v>
      </c>
      <c r="AE111" s="94">
        <f t="shared" si="91"/>
        <v>5.6123410296463158E-2</v>
      </c>
      <c r="AF111" s="96">
        <f t="shared" si="64"/>
        <v>4.1140680900542126E-4</v>
      </c>
      <c r="AG111" s="95">
        <f t="shared" si="104"/>
        <v>9.1614991232958423E-3</v>
      </c>
      <c r="AH111" s="94">
        <f t="shared" si="92"/>
        <v>4.6550504364161888E-2</v>
      </c>
      <c r="AI111" s="94">
        <f t="shared" si="93"/>
        <v>0.11498454792446111</v>
      </c>
      <c r="AJ111" s="96">
        <f t="shared" si="65"/>
        <v>1.6631870083992225E-3</v>
      </c>
      <c r="AK111" s="95">
        <f t="shared" si="66"/>
        <v>8.8916302955627559E-3</v>
      </c>
      <c r="AL111" s="95">
        <f t="shared" si="67"/>
        <v>1.5574548509602932E-2</v>
      </c>
      <c r="AM111" s="94">
        <f t="shared" si="68"/>
        <v>7.9135857419075209E-2</v>
      </c>
      <c r="AN111" s="93">
        <f t="shared" si="69"/>
        <v>0.80489183547122778</v>
      </c>
      <c r="AO111" s="96">
        <f t="shared" si="70"/>
        <v>2.8274179142786784E-3</v>
      </c>
      <c r="AP111" s="95">
        <f t="shared" si="71"/>
        <v>1.5115771502456687E-2</v>
      </c>
      <c r="AQ111" s="93">
        <f t="shared" si="72"/>
        <v>0.17056885676999814</v>
      </c>
      <c r="AR111" s="31">
        <v>1.7</v>
      </c>
      <c r="AS111" s="31">
        <v>1.7</v>
      </c>
      <c r="AT111" s="31">
        <v>7</v>
      </c>
      <c r="AU111" s="43">
        <v>8.5000000000000006E-2</v>
      </c>
      <c r="AV111" s="44">
        <v>0.31</v>
      </c>
      <c r="AW111" s="19">
        <v>1.9E-2</v>
      </c>
      <c r="AX111" s="44">
        <v>0.13</v>
      </c>
      <c r="AY111" s="40">
        <v>5.8843957389478314</v>
      </c>
      <c r="AZ111" s="41">
        <v>0.5</v>
      </c>
      <c r="BA111" s="40">
        <v>0.72</v>
      </c>
      <c r="BB111" s="45">
        <v>1</v>
      </c>
      <c r="BC111" s="41">
        <v>23.21224490001492</v>
      </c>
      <c r="BD111" s="41">
        <v>36.921911535570842</v>
      </c>
      <c r="BE111" s="41">
        <v>39.865843564414241</v>
      </c>
      <c r="BF111" s="125">
        <v>1</v>
      </c>
      <c r="BG111" s="48">
        <f t="shared" si="94"/>
        <v>3.4123197995452503E-3</v>
      </c>
      <c r="BH111" s="48">
        <f t="shared" si="95"/>
        <v>3.4123197995452503E-3</v>
      </c>
      <c r="BI111" s="99">
        <f t="shared" si="96"/>
        <v>7.9207602864214178E-4</v>
      </c>
      <c r="BJ111" s="99">
        <f t="shared" si="97"/>
        <v>1.2598936976988657E-3</v>
      </c>
      <c r="BK111" s="48">
        <f t="shared" si="98"/>
        <v>1.3603500732042432E-3</v>
      </c>
      <c r="BL111" s="99">
        <f t="shared" si="73"/>
        <v>1.7839424518794873E-4</v>
      </c>
      <c r="BM111" s="48">
        <f t="shared" si="74"/>
        <v>7.7100467494512609E-4</v>
      </c>
      <c r="BN111" s="48">
        <f t="shared" si="75"/>
        <v>2.1418192860880717E-3</v>
      </c>
      <c r="BO111" s="48">
        <f t="shared" si="76"/>
        <v>2.3125951244472136E-3</v>
      </c>
      <c r="BP111" s="99">
        <f t="shared" si="77"/>
        <v>3.0327021681951288E-4</v>
      </c>
      <c r="BQ111" s="48">
        <f t="shared" si="78"/>
        <v>1.3107079474067142E-3</v>
      </c>
      <c r="BR111" s="40">
        <f t="shared" si="79"/>
        <v>0.60134156435585773</v>
      </c>
      <c r="BS111" s="31">
        <v>1.7</v>
      </c>
      <c r="BT111" s="31">
        <v>1.7</v>
      </c>
      <c r="BU111" s="43">
        <v>0.12</v>
      </c>
      <c r="BV111" s="44">
        <v>0.45</v>
      </c>
      <c r="BW111" s="19">
        <v>0.02</v>
      </c>
      <c r="BX111" s="44">
        <v>0.15</v>
      </c>
      <c r="BY111" s="40">
        <v>15.604162492725624</v>
      </c>
      <c r="BZ111" s="40">
        <v>0.52</v>
      </c>
      <c r="CA111" s="40">
        <v>0.65</v>
      </c>
      <c r="CB111" s="45">
        <v>1</v>
      </c>
      <c r="CC111" s="41">
        <v>6.899847234480518</v>
      </c>
      <c r="CD111" s="41">
        <v>26.95626324365918</v>
      </c>
      <c r="CE111" s="41">
        <v>66.143889521860316</v>
      </c>
      <c r="CF111" s="125">
        <v>1</v>
      </c>
      <c r="CG111" s="40">
        <f t="shared" si="99"/>
        <v>2.0497495159373644E-2</v>
      </c>
      <c r="CH111" s="40">
        <f t="shared" si="100"/>
        <v>2.0497495159373644E-2</v>
      </c>
      <c r="CI111" s="99">
        <f t="shared" si="101"/>
        <v>1.4142958528918204E-3</v>
      </c>
      <c r="CJ111" s="100">
        <f t="shared" si="102"/>
        <v>5.5253587535170571E-3</v>
      </c>
      <c r="CK111" s="100">
        <f t="shared" si="103"/>
        <v>1.3557840552964771E-2</v>
      </c>
      <c r="CL111" s="101">
        <f t="shared" si="80"/>
        <v>9.843423223999555E-4</v>
      </c>
      <c r="CM111" s="100">
        <f t="shared" si="81"/>
        <v>4.4295404507997994E-3</v>
      </c>
      <c r="CN111" s="100">
        <f t="shared" si="82"/>
        <v>9.3931098809789965E-3</v>
      </c>
      <c r="CO111" s="100">
        <f t="shared" si="83"/>
        <v>2.3048328940040112E-2</v>
      </c>
      <c r="CP111" s="101">
        <f t="shared" si="84"/>
        <v>1.6733819480799243E-3</v>
      </c>
      <c r="CQ111" s="100">
        <f t="shared" si="85"/>
        <v>7.530218766359658E-3</v>
      </c>
      <c r="CR111" s="99">
        <f t="shared" si="86"/>
        <v>0.338561104781397</v>
      </c>
      <c r="CS111" s="31">
        <v>1.7</v>
      </c>
      <c r="CT111" s="31">
        <v>1.7</v>
      </c>
      <c r="CU111" s="43">
        <v>0.08</v>
      </c>
      <c r="CV111" s="44">
        <v>0.36</v>
      </c>
      <c r="CW111" s="19">
        <v>0.04</v>
      </c>
      <c r="CX111" s="44">
        <v>0.18</v>
      </c>
      <c r="CY111" s="124"/>
    </row>
    <row r="112" spans="1:196" s="23" customFormat="1" x14ac:dyDescent="0.25">
      <c r="A112" s="31">
        <v>98</v>
      </c>
      <c r="B112" s="83">
        <v>3</v>
      </c>
      <c r="C112" s="31">
        <v>90</v>
      </c>
      <c r="D112" s="31" t="s">
        <v>26</v>
      </c>
      <c r="E112" s="31" t="s">
        <v>99</v>
      </c>
      <c r="F112" s="31" t="s">
        <v>12</v>
      </c>
      <c r="G112" s="31" t="str">
        <f t="shared" si="87"/>
        <v>Statlig 90 - 3 A</v>
      </c>
      <c r="H112" s="48">
        <f t="shared" si="53"/>
        <v>0.14669335376471274</v>
      </c>
      <c r="I112" s="40">
        <f t="shared" si="54"/>
        <v>0.22540907365174045</v>
      </c>
      <c r="J112" s="99">
        <f t="shared" si="55"/>
        <v>9.2672240983207761E-3</v>
      </c>
      <c r="K112" s="48">
        <f t="shared" si="56"/>
        <v>5.5832812296354624E-2</v>
      </c>
      <c r="L112" s="48">
        <f t="shared" si="57"/>
        <v>0.16030903725706508</v>
      </c>
      <c r="M112" s="48">
        <f t="shared" si="88"/>
        <v>0.36972229908365151</v>
      </c>
      <c r="N112" s="99">
        <f t="shared" si="58"/>
        <v>6.945755534061176E-3</v>
      </c>
      <c r="O112" s="48">
        <f t="shared" si="59"/>
        <v>3.8604986610325631E-2</v>
      </c>
      <c r="P112" s="48">
        <f t="shared" si="60"/>
        <v>9.4915780903802857E-2</v>
      </c>
      <c r="Q112" s="48">
        <f t="shared" si="61"/>
        <v>0.27252536333701061</v>
      </c>
      <c r="R112" s="40">
        <f t="shared" si="89"/>
        <v>2.5880560935855605</v>
      </c>
      <c r="S112" s="99">
        <f t="shared" si="62"/>
        <v>1.1807784407903997E-2</v>
      </c>
      <c r="T112" s="48">
        <f t="shared" si="63"/>
        <v>6.5628477237553565E-2</v>
      </c>
      <c r="U112" s="40">
        <v>8.7780000000000005</v>
      </c>
      <c r="V112" s="40">
        <v>1.25</v>
      </c>
      <c r="W112" s="40">
        <v>0.45</v>
      </c>
      <c r="X112" s="40">
        <v>1.6539723430924427</v>
      </c>
      <c r="Y112" s="42">
        <v>3.3197225366043686</v>
      </c>
      <c r="Z112" s="42">
        <v>24.127673726603245</v>
      </c>
      <c r="AA112" s="42">
        <v>72.552603736792392</v>
      </c>
      <c r="AB112" s="42">
        <v>1.8571428571428572</v>
      </c>
      <c r="AC112" s="125">
        <v>1</v>
      </c>
      <c r="AD112" s="94">
        <f t="shared" si="90"/>
        <v>0.1203655180810923</v>
      </c>
      <c r="AE112" s="94">
        <f t="shared" si="91"/>
        <v>0.19908123796812002</v>
      </c>
      <c r="AF112" s="96">
        <f t="shared" si="64"/>
        <v>6.6089447229786538E-3</v>
      </c>
      <c r="AG112" s="95">
        <f t="shared" si="104"/>
        <v>4.803367154783058E-2</v>
      </c>
      <c r="AH112" s="94">
        <f t="shared" si="92"/>
        <v>0.14443862169731081</v>
      </c>
      <c r="AI112" s="94">
        <f t="shared" si="93"/>
        <v>0.36972229908365151</v>
      </c>
      <c r="AJ112" s="96">
        <f t="shared" si="65"/>
        <v>6.1066908205970466E-3</v>
      </c>
      <c r="AK112" s="95">
        <f t="shared" si="66"/>
        <v>3.3667459000477885E-2</v>
      </c>
      <c r="AL112" s="95">
        <f t="shared" si="67"/>
        <v>8.165724163131198E-2</v>
      </c>
      <c r="AM112" s="94">
        <f t="shared" si="68"/>
        <v>0.24554565688542837</v>
      </c>
      <c r="AN112" s="93">
        <f t="shared" si="69"/>
        <v>2.5880560935855605</v>
      </c>
      <c r="AO112" s="96">
        <f t="shared" si="70"/>
        <v>1.0381374395014978E-2</v>
      </c>
      <c r="AP112" s="95">
        <f t="shared" si="71"/>
        <v>5.7234680300812399E-2</v>
      </c>
      <c r="AQ112" s="93">
        <f t="shared" si="72"/>
        <v>0.27447396263207613</v>
      </c>
      <c r="AR112" s="31">
        <v>1.7</v>
      </c>
      <c r="AS112" s="31">
        <v>1.7</v>
      </c>
      <c r="AT112" s="31">
        <v>7</v>
      </c>
      <c r="AU112" s="43">
        <v>7.0000000000000007E-2</v>
      </c>
      <c r="AV112" s="44">
        <v>0.31</v>
      </c>
      <c r="AW112" s="19">
        <v>1.9E-2</v>
      </c>
      <c r="AX112" s="44">
        <v>0.13</v>
      </c>
      <c r="AY112" s="40">
        <v>6.638540530839391</v>
      </c>
      <c r="AZ112" s="41">
        <v>0.5</v>
      </c>
      <c r="BA112" s="40">
        <v>0.72</v>
      </c>
      <c r="BB112" s="45">
        <v>1</v>
      </c>
      <c r="BC112" s="41">
        <v>24.789531138900774</v>
      </c>
      <c r="BD112" s="41">
        <v>37.617868674255881</v>
      </c>
      <c r="BE112" s="41">
        <v>37.592600186843342</v>
      </c>
      <c r="BF112" s="125">
        <v>1</v>
      </c>
      <c r="BG112" s="48">
        <f t="shared" si="94"/>
        <v>3.849643072700166E-3</v>
      </c>
      <c r="BH112" s="48">
        <f t="shared" si="95"/>
        <v>3.849643072700166E-3</v>
      </c>
      <c r="BI112" s="99">
        <f t="shared" si="96"/>
        <v>9.5430846824354416E-4</v>
      </c>
      <c r="BJ112" s="99">
        <f t="shared" si="97"/>
        <v>1.4481536755159374E-3</v>
      </c>
      <c r="BK112" s="48">
        <f t="shared" si="98"/>
        <v>1.4471809289406845E-3</v>
      </c>
      <c r="BL112" s="99">
        <f t="shared" si="73"/>
        <v>2.2444436477346525E-4</v>
      </c>
      <c r="BM112" s="48">
        <f t="shared" si="74"/>
        <v>8.6874629332327452E-4</v>
      </c>
      <c r="BN112" s="48">
        <f t="shared" si="75"/>
        <v>2.4618612483770937E-3</v>
      </c>
      <c r="BO112" s="48">
        <f t="shared" si="76"/>
        <v>2.4602075791991637E-3</v>
      </c>
      <c r="BP112" s="99">
        <f t="shared" si="77"/>
        <v>3.8155542011489096E-4</v>
      </c>
      <c r="BQ112" s="48">
        <f t="shared" si="78"/>
        <v>1.4768686986495667E-3</v>
      </c>
      <c r="BR112" s="40">
        <f t="shared" si="79"/>
        <v>0.6240739981315665</v>
      </c>
      <c r="BS112" s="31">
        <v>1.7</v>
      </c>
      <c r="BT112" s="31">
        <v>1.7</v>
      </c>
      <c r="BU112" s="43">
        <v>0.13500000000000001</v>
      </c>
      <c r="BV112" s="44">
        <v>0.45</v>
      </c>
      <c r="BW112" s="19">
        <v>0.02</v>
      </c>
      <c r="BX112" s="44">
        <v>0.15</v>
      </c>
      <c r="BY112" s="40">
        <v>17.112011361211735</v>
      </c>
      <c r="BZ112" s="40">
        <v>0.52</v>
      </c>
      <c r="CA112" s="40">
        <v>0.65</v>
      </c>
      <c r="CB112" s="45">
        <v>1</v>
      </c>
      <c r="CC112" s="41">
        <v>7.5805512328903255</v>
      </c>
      <c r="CD112" s="41">
        <v>28.253993472423133</v>
      </c>
      <c r="CE112" s="41">
        <v>64.165455294686552</v>
      </c>
      <c r="CF112" s="125">
        <v>1</v>
      </c>
      <c r="CG112" s="40">
        <f t="shared" si="99"/>
        <v>2.2478192610920267E-2</v>
      </c>
      <c r="CH112" s="40">
        <f t="shared" si="100"/>
        <v>2.2478192610920267E-2</v>
      </c>
      <c r="CI112" s="99">
        <f t="shared" si="101"/>
        <v>1.7039709070985783E-3</v>
      </c>
      <c r="CJ112" s="100">
        <f t="shared" si="102"/>
        <v>6.3509870730081115E-3</v>
      </c>
      <c r="CK112" s="100">
        <f t="shared" si="103"/>
        <v>1.442323463081358E-2</v>
      </c>
      <c r="CL112" s="101">
        <f t="shared" si="80"/>
        <v>6.1462034869066398E-4</v>
      </c>
      <c r="CM112" s="100">
        <f t="shared" si="81"/>
        <v>4.0687813165244703E-3</v>
      </c>
      <c r="CN112" s="100">
        <f t="shared" si="82"/>
        <v>1.079667802411379E-2</v>
      </c>
      <c r="CO112" s="100">
        <f t="shared" si="83"/>
        <v>2.4519498872383087E-2</v>
      </c>
      <c r="CP112" s="101">
        <f t="shared" si="84"/>
        <v>1.0448545927741288E-3</v>
      </c>
      <c r="CQ112" s="100">
        <f t="shared" si="85"/>
        <v>6.9169282380915995E-3</v>
      </c>
      <c r="CR112" s="99">
        <f t="shared" si="86"/>
        <v>0.35834544705313459</v>
      </c>
      <c r="CS112" s="31">
        <v>1.7</v>
      </c>
      <c r="CT112" s="31">
        <v>1.7</v>
      </c>
      <c r="CU112" s="43">
        <v>0.04</v>
      </c>
      <c r="CV112" s="44">
        <v>0.3</v>
      </c>
      <c r="CW112" s="19">
        <v>2.5000000000000001E-2</v>
      </c>
      <c r="CX112" s="44">
        <v>0.15</v>
      </c>
      <c r="CY112" s="124"/>
    </row>
    <row r="113" spans="1:103" s="23" customFormat="1" x14ac:dyDescent="0.25">
      <c r="A113" s="31">
        <v>99</v>
      </c>
      <c r="B113" s="83">
        <v>3</v>
      </c>
      <c r="C113" s="31">
        <v>90</v>
      </c>
      <c r="D113" s="31" t="s">
        <v>26</v>
      </c>
      <c r="E113" s="31" t="s">
        <v>99</v>
      </c>
      <c r="F113" s="31" t="s">
        <v>13</v>
      </c>
      <c r="G113" s="31" t="str">
        <f t="shared" si="87"/>
        <v>Statlig 90 - 3 B</v>
      </c>
      <c r="H113" s="48">
        <f t="shared" si="53"/>
        <v>0.14669335376471274</v>
      </c>
      <c r="I113" s="40">
        <f t="shared" si="54"/>
        <v>0.22540907365174045</v>
      </c>
      <c r="J113" s="99">
        <f t="shared" si="55"/>
        <v>9.2672240983207761E-3</v>
      </c>
      <c r="K113" s="48">
        <f t="shared" si="56"/>
        <v>5.5832812296354624E-2</v>
      </c>
      <c r="L113" s="48">
        <f t="shared" si="57"/>
        <v>0.16030903725706508</v>
      </c>
      <c r="M113" s="48">
        <f t="shared" si="88"/>
        <v>0.36972229908365151</v>
      </c>
      <c r="N113" s="99">
        <f t="shared" si="58"/>
        <v>6.945755534061176E-3</v>
      </c>
      <c r="O113" s="48">
        <f t="shared" si="59"/>
        <v>3.8604986610325631E-2</v>
      </c>
      <c r="P113" s="48">
        <f t="shared" si="60"/>
        <v>9.4915780903802857E-2</v>
      </c>
      <c r="Q113" s="48">
        <f t="shared" si="61"/>
        <v>0.27252536333701061</v>
      </c>
      <c r="R113" s="40">
        <f t="shared" si="89"/>
        <v>2.5880560935855605</v>
      </c>
      <c r="S113" s="99">
        <f t="shared" si="62"/>
        <v>1.1807784407903997E-2</v>
      </c>
      <c r="T113" s="48">
        <f t="shared" si="63"/>
        <v>6.5628477237553565E-2</v>
      </c>
      <c r="U113" s="40">
        <v>8.7780000000000005</v>
      </c>
      <c r="V113" s="40">
        <v>1.25</v>
      </c>
      <c r="W113" s="40">
        <v>0.45</v>
      </c>
      <c r="X113" s="40">
        <v>1.6539723430924427</v>
      </c>
      <c r="Y113" s="42">
        <v>3.3197225366043686</v>
      </c>
      <c r="Z113" s="42">
        <v>24.127673726603245</v>
      </c>
      <c r="AA113" s="42">
        <v>72.552603736792392</v>
      </c>
      <c r="AB113" s="42">
        <v>1.8571428571428572</v>
      </c>
      <c r="AC113" s="125">
        <v>1</v>
      </c>
      <c r="AD113" s="94">
        <f t="shared" si="90"/>
        <v>0.1203655180810923</v>
      </c>
      <c r="AE113" s="94">
        <f t="shared" si="91"/>
        <v>0.19908123796812002</v>
      </c>
      <c r="AF113" s="96">
        <f t="shared" si="64"/>
        <v>6.6089447229786538E-3</v>
      </c>
      <c r="AG113" s="95">
        <f t="shared" si="104"/>
        <v>4.803367154783058E-2</v>
      </c>
      <c r="AH113" s="94">
        <f t="shared" si="92"/>
        <v>0.14443862169731081</v>
      </c>
      <c r="AI113" s="94">
        <f t="shared" si="93"/>
        <v>0.36972229908365151</v>
      </c>
      <c r="AJ113" s="96">
        <f t="shared" si="65"/>
        <v>6.1066908205970466E-3</v>
      </c>
      <c r="AK113" s="95">
        <f t="shared" si="66"/>
        <v>3.3667459000477885E-2</v>
      </c>
      <c r="AL113" s="95">
        <f t="shared" si="67"/>
        <v>8.165724163131198E-2</v>
      </c>
      <c r="AM113" s="94">
        <f t="shared" si="68"/>
        <v>0.24554565688542837</v>
      </c>
      <c r="AN113" s="93">
        <f t="shared" si="69"/>
        <v>2.5880560935855605</v>
      </c>
      <c r="AO113" s="96">
        <f t="shared" si="70"/>
        <v>1.0381374395014978E-2</v>
      </c>
      <c r="AP113" s="95">
        <f t="shared" si="71"/>
        <v>5.7234680300812399E-2</v>
      </c>
      <c r="AQ113" s="93">
        <f t="shared" si="72"/>
        <v>0.27447396263207613</v>
      </c>
      <c r="AR113" s="31">
        <v>1.7</v>
      </c>
      <c r="AS113" s="31">
        <v>1.7</v>
      </c>
      <c r="AT113" s="31">
        <v>7</v>
      </c>
      <c r="AU113" s="43">
        <v>7.0000000000000007E-2</v>
      </c>
      <c r="AV113" s="44">
        <v>0.31</v>
      </c>
      <c r="AW113" s="19">
        <v>1.9E-2</v>
      </c>
      <c r="AX113" s="44">
        <v>0.13</v>
      </c>
      <c r="AY113" s="40">
        <v>6.638540530839391</v>
      </c>
      <c r="AZ113" s="41">
        <v>0.5</v>
      </c>
      <c r="BA113" s="40">
        <v>0.72</v>
      </c>
      <c r="BB113" s="45">
        <v>1</v>
      </c>
      <c r="BC113" s="41">
        <v>24.789531138900774</v>
      </c>
      <c r="BD113" s="41">
        <v>37.617868674255881</v>
      </c>
      <c r="BE113" s="41">
        <v>37.592600186843342</v>
      </c>
      <c r="BF113" s="125">
        <v>1</v>
      </c>
      <c r="BG113" s="48">
        <f t="shared" si="94"/>
        <v>3.849643072700166E-3</v>
      </c>
      <c r="BH113" s="48">
        <f t="shared" si="95"/>
        <v>3.849643072700166E-3</v>
      </c>
      <c r="BI113" s="99">
        <f t="shared" si="96"/>
        <v>9.5430846824354416E-4</v>
      </c>
      <c r="BJ113" s="99">
        <f t="shared" si="97"/>
        <v>1.4481536755159374E-3</v>
      </c>
      <c r="BK113" s="48">
        <f t="shared" si="98"/>
        <v>1.4471809289406845E-3</v>
      </c>
      <c r="BL113" s="99">
        <f t="shared" si="73"/>
        <v>2.2444436477346525E-4</v>
      </c>
      <c r="BM113" s="48">
        <f t="shared" si="74"/>
        <v>8.6874629332327452E-4</v>
      </c>
      <c r="BN113" s="48">
        <f t="shared" si="75"/>
        <v>2.4618612483770937E-3</v>
      </c>
      <c r="BO113" s="48">
        <f t="shared" si="76"/>
        <v>2.4602075791991637E-3</v>
      </c>
      <c r="BP113" s="99">
        <f t="shared" si="77"/>
        <v>3.8155542011489096E-4</v>
      </c>
      <c r="BQ113" s="48">
        <f t="shared" si="78"/>
        <v>1.4768686986495667E-3</v>
      </c>
      <c r="BR113" s="40">
        <f t="shared" si="79"/>
        <v>0.6240739981315665</v>
      </c>
      <c r="BS113" s="31">
        <v>1.7</v>
      </c>
      <c r="BT113" s="31">
        <v>1.7</v>
      </c>
      <c r="BU113" s="43">
        <v>0.13500000000000001</v>
      </c>
      <c r="BV113" s="44">
        <v>0.45</v>
      </c>
      <c r="BW113" s="19">
        <v>0.02</v>
      </c>
      <c r="BX113" s="44">
        <v>0.15</v>
      </c>
      <c r="BY113" s="40">
        <v>17.112011361211735</v>
      </c>
      <c r="BZ113" s="40">
        <v>0.52</v>
      </c>
      <c r="CA113" s="40">
        <v>0.65</v>
      </c>
      <c r="CB113" s="45">
        <v>1</v>
      </c>
      <c r="CC113" s="41">
        <v>7.5805512328903255</v>
      </c>
      <c r="CD113" s="41">
        <v>28.253993472423133</v>
      </c>
      <c r="CE113" s="41">
        <v>64.165455294686552</v>
      </c>
      <c r="CF113" s="125">
        <v>1</v>
      </c>
      <c r="CG113" s="40">
        <f t="shared" si="99"/>
        <v>2.2478192610920267E-2</v>
      </c>
      <c r="CH113" s="40">
        <f t="shared" si="100"/>
        <v>2.2478192610920267E-2</v>
      </c>
      <c r="CI113" s="99">
        <f t="shared" si="101"/>
        <v>1.7039709070985783E-3</v>
      </c>
      <c r="CJ113" s="100">
        <f t="shared" si="102"/>
        <v>6.3509870730081115E-3</v>
      </c>
      <c r="CK113" s="100">
        <f t="shared" si="103"/>
        <v>1.442323463081358E-2</v>
      </c>
      <c r="CL113" s="101">
        <f t="shared" si="80"/>
        <v>6.1462034869066398E-4</v>
      </c>
      <c r="CM113" s="100">
        <f t="shared" si="81"/>
        <v>4.0687813165244703E-3</v>
      </c>
      <c r="CN113" s="100">
        <f t="shared" si="82"/>
        <v>1.079667802411379E-2</v>
      </c>
      <c r="CO113" s="100">
        <f t="shared" si="83"/>
        <v>2.4519498872383087E-2</v>
      </c>
      <c r="CP113" s="101">
        <f t="shared" si="84"/>
        <v>1.0448545927741288E-3</v>
      </c>
      <c r="CQ113" s="100">
        <f t="shared" si="85"/>
        <v>6.9169282380915995E-3</v>
      </c>
      <c r="CR113" s="99">
        <f t="shared" si="86"/>
        <v>0.35834544705313459</v>
      </c>
      <c r="CS113" s="31">
        <v>1.7</v>
      </c>
      <c r="CT113" s="31">
        <v>1.7</v>
      </c>
      <c r="CU113" s="43">
        <v>0.04</v>
      </c>
      <c r="CV113" s="44">
        <v>0.3</v>
      </c>
      <c r="CW113" s="19">
        <v>2.5000000000000001E-2</v>
      </c>
      <c r="CX113" s="44">
        <v>0.15</v>
      </c>
      <c r="CY113" s="124"/>
    </row>
    <row r="114" spans="1:103" s="23" customFormat="1" x14ac:dyDescent="0.25">
      <c r="A114" s="31">
        <v>100</v>
      </c>
      <c r="B114" s="83">
        <v>3</v>
      </c>
      <c r="C114" s="31">
        <v>90</v>
      </c>
      <c r="D114" s="31" t="s">
        <v>26</v>
      </c>
      <c r="E114" s="31" t="s">
        <v>99</v>
      </c>
      <c r="F114" s="31" t="s">
        <v>70</v>
      </c>
      <c r="G114" s="31" t="str">
        <f t="shared" si="87"/>
        <v>Statlig 90 - 3 Ck</v>
      </c>
      <c r="H114" s="48">
        <f t="shared" si="53"/>
        <v>0.14669335376471274</v>
      </c>
      <c r="I114" s="40">
        <f t="shared" si="54"/>
        <v>0.22540907365174045</v>
      </c>
      <c r="J114" s="99">
        <f t="shared" si="55"/>
        <v>9.2672240983207761E-3</v>
      </c>
      <c r="K114" s="48">
        <f t="shared" si="56"/>
        <v>5.5832812296354624E-2</v>
      </c>
      <c r="L114" s="48">
        <f t="shared" si="57"/>
        <v>0.16030903725706508</v>
      </c>
      <c r="M114" s="48">
        <f t="shared" si="88"/>
        <v>0.36972229908365151</v>
      </c>
      <c r="N114" s="99">
        <f t="shared" si="58"/>
        <v>6.945755534061176E-3</v>
      </c>
      <c r="O114" s="48">
        <f t="shared" si="59"/>
        <v>3.8604986610325631E-2</v>
      </c>
      <c r="P114" s="48">
        <f t="shared" si="60"/>
        <v>9.4915780903802857E-2</v>
      </c>
      <c r="Q114" s="48">
        <f t="shared" si="61"/>
        <v>0.27252536333701061</v>
      </c>
      <c r="R114" s="40">
        <f t="shared" si="89"/>
        <v>2.5880560935855605</v>
      </c>
      <c r="S114" s="99">
        <f t="shared" si="62"/>
        <v>1.1807784407903997E-2</v>
      </c>
      <c r="T114" s="48">
        <f t="shared" si="63"/>
        <v>6.5628477237553565E-2</v>
      </c>
      <c r="U114" s="40">
        <v>8.7780000000000005</v>
      </c>
      <c r="V114" s="40">
        <v>1.25</v>
      </c>
      <c r="W114" s="40">
        <v>0.45</v>
      </c>
      <c r="X114" s="40">
        <v>1.6539723430924427</v>
      </c>
      <c r="Y114" s="42">
        <v>3.3197225366043686</v>
      </c>
      <c r="Z114" s="42">
        <v>24.127673726603245</v>
      </c>
      <c r="AA114" s="42">
        <v>72.552603736792392</v>
      </c>
      <c r="AB114" s="42">
        <v>1.8571428571428572</v>
      </c>
      <c r="AC114" s="125">
        <v>1</v>
      </c>
      <c r="AD114" s="94">
        <f t="shared" si="90"/>
        <v>0.1203655180810923</v>
      </c>
      <c r="AE114" s="94">
        <f t="shared" si="91"/>
        <v>0.19908123796812002</v>
      </c>
      <c r="AF114" s="96">
        <f t="shared" si="64"/>
        <v>6.6089447229786538E-3</v>
      </c>
      <c r="AG114" s="95">
        <f t="shared" si="104"/>
        <v>4.803367154783058E-2</v>
      </c>
      <c r="AH114" s="94">
        <f t="shared" si="92"/>
        <v>0.14443862169731081</v>
      </c>
      <c r="AI114" s="94">
        <f t="shared" si="93"/>
        <v>0.36972229908365151</v>
      </c>
      <c r="AJ114" s="96">
        <f t="shared" si="65"/>
        <v>6.1066908205970466E-3</v>
      </c>
      <c r="AK114" s="95">
        <f t="shared" si="66"/>
        <v>3.3667459000477885E-2</v>
      </c>
      <c r="AL114" s="95">
        <f t="shared" si="67"/>
        <v>8.165724163131198E-2</v>
      </c>
      <c r="AM114" s="94">
        <f t="shared" si="68"/>
        <v>0.24554565688542837</v>
      </c>
      <c r="AN114" s="93">
        <f t="shared" si="69"/>
        <v>2.5880560935855605</v>
      </c>
      <c r="AO114" s="96">
        <f t="shared" si="70"/>
        <v>1.0381374395014978E-2</v>
      </c>
      <c r="AP114" s="95">
        <f t="shared" si="71"/>
        <v>5.7234680300812399E-2</v>
      </c>
      <c r="AQ114" s="93">
        <f t="shared" si="72"/>
        <v>0.27447396263207613</v>
      </c>
      <c r="AR114" s="31">
        <v>1.7</v>
      </c>
      <c r="AS114" s="31">
        <v>1.7</v>
      </c>
      <c r="AT114" s="31">
        <v>7</v>
      </c>
      <c r="AU114" s="43">
        <v>7.0000000000000007E-2</v>
      </c>
      <c r="AV114" s="44">
        <v>0.31</v>
      </c>
      <c r="AW114" s="19">
        <v>1.9E-2</v>
      </c>
      <c r="AX114" s="44">
        <v>0.13</v>
      </c>
      <c r="AY114" s="40">
        <v>6.638540530839391</v>
      </c>
      <c r="AZ114" s="41">
        <v>0.5</v>
      </c>
      <c r="BA114" s="40">
        <v>0.72</v>
      </c>
      <c r="BB114" s="45">
        <v>1</v>
      </c>
      <c r="BC114" s="41">
        <v>24.789531138900774</v>
      </c>
      <c r="BD114" s="41">
        <v>37.617868674255881</v>
      </c>
      <c r="BE114" s="41">
        <v>37.592600186843342</v>
      </c>
      <c r="BF114" s="125">
        <v>1</v>
      </c>
      <c r="BG114" s="48">
        <f t="shared" si="94"/>
        <v>3.849643072700166E-3</v>
      </c>
      <c r="BH114" s="48">
        <f t="shared" si="95"/>
        <v>3.849643072700166E-3</v>
      </c>
      <c r="BI114" s="99">
        <f t="shared" si="96"/>
        <v>9.5430846824354416E-4</v>
      </c>
      <c r="BJ114" s="99">
        <f t="shared" si="97"/>
        <v>1.4481536755159374E-3</v>
      </c>
      <c r="BK114" s="48">
        <f t="shared" si="98"/>
        <v>1.4471809289406845E-3</v>
      </c>
      <c r="BL114" s="99">
        <f t="shared" si="73"/>
        <v>2.2444436477346525E-4</v>
      </c>
      <c r="BM114" s="48">
        <f t="shared" si="74"/>
        <v>8.6874629332327452E-4</v>
      </c>
      <c r="BN114" s="48">
        <f t="shared" si="75"/>
        <v>2.4618612483770937E-3</v>
      </c>
      <c r="BO114" s="48">
        <f t="shared" si="76"/>
        <v>2.4602075791991637E-3</v>
      </c>
      <c r="BP114" s="99">
        <f t="shared" si="77"/>
        <v>3.8155542011489096E-4</v>
      </c>
      <c r="BQ114" s="48">
        <f t="shared" si="78"/>
        <v>1.4768686986495667E-3</v>
      </c>
      <c r="BR114" s="40">
        <f t="shared" si="79"/>
        <v>0.6240739981315665</v>
      </c>
      <c r="BS114" s="31">
        <v>1.7</v>
      </c>
      <c r="BT114" s="31">
        <v>1.7</v>
      </c>
      <c r="BU114" s="43">
        <v>0.13500000000000001</v>
      </c>
      <c r="BV114" s="44">
        <v>0.45</v>
      </c>
      <c r="BW114" s="19">
        <v>0.02</v>
      </c>
      <c r="BX114" s="44">
        <v>0.15</v>
      </c>
      <c r="BY114" s="40">
        <v>17.112011361211735</v>
      </c>
      <c r="BZ114" s="40">
        <v>0.52</v>
      </c>
      <c r="CA114" s="40">
        <v>0.65</v>
      </c>
      <c r="CB114" s="45">
        <v>1</v>
      </c>
      <c r="CC114" s="41">
        <v>7.5805512328903255</v>
      </c>
      <c r="CD114" s="41">
        <v>28.253993472423133</v>
      </c>
      <c r="CE114" s="41">
        <v>64.165455294686552</v>
      </c>
      <c r="CF114" s="125">
        <v>1</v>
      </c>
      <c r="CG114" s="40">
        <f t="shared" si="99"/>
        <v>2.2478192610920267E-2</v>
      </c>
      <c r="CH114" s="40">
        <f t="shared" si="100"/>
        <v>2.2478192610920267E-2</v>
      </c>
      <c r="CI114" s="99">
        <f t="shared" si="101"/>
        <v>1.7039709070985783E-3</v>
      </c>
      <c r="CJ114" s="100">
        <f t="shared" si="102"/>
        <v>6.3509870730081115E-3</v>
      </c>
      <c r="CK114" s="100">
        <f t="shared" si="103"/>
        <v>1.442323463081358E-2</v>
      </c>
      <c r="CL114" s="101">
        <f t="shared" si="80"/>
        <v>6.1462034869066398E-4</v>
      </c>
      <c r="CM114" s="100">
        <f t="shared" si="81"/>
        <v>4.0687813165244703E-3</v>
      </c>
      <c r="CN114" s="100">
        <f t="shared" si="82"/>
        <v>1.079667802411379E-2</v>
      </c>
      <c r="CO114" s="100">
        <f t="shared" si="83"/>
        <v>2.4519498872383087E-2</v>
      </c>
      <c r="CP114" s="101">
        <f t="shared" si="84"/>
        <v>1.0448545927741288E-3</v>
      </c>
      <c r="CQ114" s="100">
        <f t="shared" si="85"/>
        <v>6.9169282380915995E-3</v>
      </c>
      <c r="CR114" s="99">
        <f t="shared" si="86"/>
        <v>0.35834544705313459</v>
      </c>
      <c r="CS114" s="31">
        <v>1.7</v>
      </c>
      <c r="CT114" s="31">
        <v>1.7</v>
      </c>
      <c r="CU114" s="43">
        <v>0.04</v>
      </c>
      <c r="CV114" s="44">
        <v>0.3</v>
      </c>
      <c r="CW114" s="19">
        <v>2.5000000000000001E-2</v>
      </c>
      <c r="CX114" s="44">
        <v>0.15</v>
      </c>
      <c r="CY114" s="124"/>
    </row>
    <row r="115" spans="1:103" s="23" customFormat="1" x14ac:dyDescent="0.25">
      <c r="A115" s="31">
        <v>101</v>
      </c>
      <c r="B115" s="83">
        <v>3</v>
      </c>
      <c r="C115" s="31">
        <v>90</v>
      </c>
      <c r="D115" s="31" t="s">
        <v>26</v>
      </c>
      <c r="E115" s="31" t="s">
        <v>99</v>
      </c>
      <c r="F115" s="31" t="s">
        <v>71</v>
      </c>
      <c r="G115" s="31" t="str">
        <f t="shared" si="87"/>
        <v>Statlig 90 - 3 Cm</v>
      </c>
      <c r="H115" s="48">
        <f t="shared" si="53"/>
        <v>0.12863852605254891</v>
      </c>
      <c r="I115" s="40">
        <f t="shared" si="54"/>
        <v>0.19554688795652245</v>
      </c>
      <c r="J115" s="99">
        <f t="shared" si="55"/>
        <v>8.2758823898739769E-3</v>
      </c>
      <c r="K115" s="48">
        <f t="shared" si="56"/>
        <v>4.8627761564180035E-2</v>
      </c>
      <c r="L115" s="48">
        <f t="shared" si="57"/>
        <v>0.13864324400246844</v>
      </c>
      <c r="M115" s="48">
        <f t="shared" si="88"/>
        <v>0.31426395422110381</v>
      </c>
      <c r="N115" s="99">
        <f t="shared" si="58"/>
        <v>6.0297519109716183E-3</v>
      </c>
      <c r="O115" s="48">
        <f t="shared" si="59"/>
        <v>3.3554867760253945E-2</v>
      </c>
      <c r="P115" s="48">
        <f t="shared" si="60"/>
        <v>8.2667194659106061E-2</v>
      </c>
      <c r="Q115" s="48">
        <f t="shared" si="61"/>
        <v>0.23569351480419634</v>
      </c>
      <c r="R115" s="40">
        <f t="shared" si="89"/>
        <v>2.1998476795477266</v>
      </c>
      <c r="S115" s="99">
        <f t="shared" si="62"/>
        <v>1.0250578248651752E-2</v>
      </c>
      <c r="T115" s="48">
        <f t="shared" si="63"/>
        <v>5.7043275192431707E-2</v>
      </c>
      <c r="U115" s="40">
        <v>7.4613000000000005</v>
      </c>
      <c r="V115" s="40">
        <v>1.25</v>
      </c>
      <c r="W115" s="40">
        <v>0.45</v>
      </c>
      <c r="X115" s="40">
        <v>1.6539723430924425</v>
      </c>
      <c r="Y115" s="42">
        <v>3.3197225366043686</v>
      </c>
      <c r="Z115" s="42">
        <v>24.127673726603245</v>
      </c>
      <c r="AA115" s="42">
        <v>72.552603736792392</v>
      </c>
      <c r="AB115" s="42">
        <v>1.8571428571428574</v>
      </c>
      <c r="AC115" s="125">
        <v>1</v>
      </c>
      <c r="AD115" s="94">
        <f t="shared" si="90"/>
        <v>0.10231069036892848</v>
      </c>
      <c r="AE115" s="94">
        <f t="shared" si="91"/>
        <v>0.16921905227290202</v>
      </c>
      <c r="AF115" s="96">
        <f t="shared" si="64"/>
        <v>5.6176030145318554E-3</v>
      </c>
      <c r="AG115" s="95">
        <f t="shared" si="104"/>
        <v>4.082862081565599E-2</v>
      </c>
      <c r="AH115" s="94">
        <f t="shared" si="92"/>
        <v>0.12277282844271419</v>
      </c>
      <c r="AI115" s="94">
        <f t="shared" si="93"/>
        <v>0.31426395422110381</v>
      </c>
      <c r="AJ115" s="96">
        <f t="shared" si="65"/>
        <v>5.1906871975074889E-3</v>
      </c>
      <c r="AK115" s="95">
        <f t="shared" si="66"/>
        <v>2.8617340150406199E-2</v>
      </c>
      <c r="AL115" s="95">
        <f t="shared" si="67"/>
        <v>6.9408655386615184E-2</v>
      </c>
      <c r="AM115" s="94">
        <f t="shared" si="68"/>
        <v>0.20871380835261411</v>
      </c>
      <c r="AN115" s="93">
        <f t="shared" si="69"/>
        <v>2.1998476795477266</v>
      </c>
      <c r="AO115" s="96">
        <f t="shared" si="70"/>
        <v>8.8241682357627308E-3</v>
      </c>
      <c r="AP115" s="95">
        <f t="shared" si="71"/>
        <v>4.8649478255690541E-2</v>
      </c>
      <c r="AQ115" s="93">
        <f t="shared" si="72"/>
        <v>0.27447396263207613</v>
      </c>
      <c r="AR115" s="31">
        <v>1.7</v>
      </c>
      <c r="AS115" s="31">
        <v>1.7</v>
      </c>
      <c r="AT115" s="31">
        <v>7</v>
      </c>
      <c r="AU115" s="43">
        <v>7.0000000000000007E-2</v>
      </c>
      <c r="AV115" s="44">
        <v>0.31</v>
      </c>
      <c r="AW115" s="19">
        <v>1.9E-2</v>
      </c>
      <c r="AX115" s="44">
        <v>0.13</v>
      </c>
      <c r="AY115" s="40">
        <v>6.638540530839391</v>
      </c>
      <c r="AZ115" s="41">
        <v>0.5</v>
      </c>
      <c r="BA115" s="40">
        <v>0.72</v>
      </c>
      <c r="BB115" s="45">
        <v>1</v>
      </c>
      <c r="BC115" s="41">
        <v>24.789531138900774</v>
      </c>
      <c r="BD115" s="41">
        <v>37.617868674255881</v>
      </c>
      <c r="BE115" s="41">
        <v>37.592600186843342</v>
      </c>
      <c r="BF115" s="125">
        <v>1</v>
      </c>
      <c r="BG115" s="48">
        <f t="shared" si="94"/>
        <v>3.849643072700166E-3</v>
      </c>
      <c r="BH115" s="48">
        <f t="shared" si="95"/>
        <v>3.849643072700166E-3</v>
      </c>
      <c r="BI115" s="99">
        <f t="shared" si="96"/>
        <v>9.5430846824354416E-4</v>
      </c>
      <c r="BJ115" s="99">
        <f t="shared" si="97"/>
        <v>1.4481536755159374E-3</v>
      </c>
      <c r="BK115" s="48">
        <f t="shared" si="98"/>
        <v>1.4471809289406845E-3</v>
      </c>
      <c r="BL115" s="99">
        <f t="shared" si="73"/>
        <v>2.2444436477346525E-4</v>
      </c>
      <c r="BM115" s="48">
        <f t="shared" si="74"/>
        <v>8.6874629332327452E-4</v>
      </c>
      <c r="BN115" s="48">
        <f t="shared" si="75"/>
        <v>2.4618612483770937E-3</v>
      </c>
      <c r="BO115" s="48">
        <f t="shared" si="76"/>
        <v>2.4602075791991637E-3</v>
      </c>
      <c r="BP115" s="99">
        <f t="shared" si="77"/>
        <v>3.8155542011489096E-4</v>
      </c>
      <c r="BQ115" s="48">
        <f t="shared" si="78"/>
        <v>1.4768686986495667E-3</v>
      </c>
      <c r="BR115" s="40">
        <f t="shared" si="79"/>
        <v>0.6240739981315665</v>
      </c>
      <c r="BS115" s="31">
        <v>1.7</v>
      </c>
      <c r="BT115" s="31">
        <v>1.7</v>
      </c>
      <c r="BU115" s="43">
        <v>0.13500000000000001</v>
      </c>
      <c r="BV115" s="44">
        <v>0.45</v>
      </c>
      <c r="BW115" s="19">
        <v>0.02</v>
      </c>
      <c r="BX115" s="44">
        <v>0.15</v>
      </c>
      <c r="BY115" s="40">
        <v>17.112011361211735</v>
      </c>
      <c r="BZ115" s="40">
        <v>0.52</v>
      </c>
      <c r="CA115" s="40">
        <v>0.65</v>
      </c>
      <c r="CB115" s="45">
        <v>1</v>
      </c>
      <c r="CC115" s="41">
        <v>7.5805512328903255</v>
      </c>
      <c r="CD115" s="41">
        <v>28.253993472423133</v>
      </c>
      <c r="CE115" s="41">
        <v>64.165455294686552</v>
      </c>
      <c r="CF115" s="125">
        <v>1</v>
      </c>
      <c r="CG115" s="40">
        <f t="shared" si="99"/>
        <v>2.2478192610920267E-2</v>
      </c>
      <c r="CH115" s="40">
        <f t="shared" si="100"/>
        <v>2.2478192610920267E-2</v>
      </c>
      <c r="CI115" s="99">
        <f t="shared" si="101"/>
        <v>1.7039709070985783E-3</v>
      </c>
      <c r="CJ115" s="100">
        <f t="shared" si="102"/>
        <v>6.3509870730081115E-3</v>
      </c>
      <c r="CK115" s="100">
        <f t="shared" si="103"/>
        <v>1.442323463081358E-2</v>
      </c>
      <c r="CL115" s="101">
        <f t="shared" si="80"/>
        <v>6.1462034869066398E-4</v>
      </c>
      <c r="CM115" s="100">
        <f t="shared" si="81"/>
        <v>4.0687813165244703E-3</v>
      </c>
      <c r="CN115" s="100">
        <f t="shared" si="82"/>
        <v>1.079667802411379E-2</v>
      </c>
      <c r="CO115" s="100">
        <f t="shared" si="83"/>
        <v>2.4519498872383087E-2</v>
      </c>
      <c r="CP115" s="101">
        <f t="shared" si="84"/>
        <v>1.0448545927741288E-3</v>
      </c>
      <c r="CQ115" s="100">
        <f t="shared" si="85"/>
        <v>6.9169282380915995E-3</v>
      </c>
      <c r="CR115" s="99">
        <f t="shared" si="86"/>
        <v>0.35834544705313459</v>
      </c>
      <c r="CS115" s="31">
        <v>1.7</v>
      </c>
      <c r="CT115" s="31">
        <v>1.7</v>
      </c>
      <c r="CU115" s="43">
        <v>0.04</v>
      </c>
      <c r="CV115" s="44">
        <v>0.3</v>
      </c>
      <c r="CW115" s="19">
        <v>2.5000000000000001E-2</v>
      </c>
      <c r="CX115" s="44">
        <v>0.15</v>
      </c>
    </row>
    <row r="116" spans="1:103" s="23" customFormat="1" x14ac:dyDescent="0.25">
      <c r="A116" s="31">
        <v>102</v>
      </c>
      <c r="B116" s="83">
        <v>3</v>
      </c>
      <c r="C116" s="31">
        <v>90</v>
      </c>
      <c r="D116" s="31" t="s">
        <v>26</v>
      </c>
      <c r="E116" s="31" t="s">
        <v>99</v>
      </c>
      <c r="F116" s="31" t="s">
        <v>64</v>
      </c>
      <c r="G116" s="31" t="str">
        <f t="shared" si="87"/>
        <v>Statlig 90 - 3 F</v>
      </c>
      <c r="H116" s="48">
        <f t="shared" si="53"/>
        <v>7.2754535514898924E-2</v>
      </c>
      <c r="I116" s="40">
        <f t="shared" si="54"/>
        <v>8.6875778453616576E-2</v>
      </c>
      <c r="J116" s="99">
        <f t="shared" si="55"/>
        <v>3.1539502295655228E-3</v>
      </c>
      <c r="K116" s="48">
        <f t="shared" si="56"/>
        <v>1.8329599510933062E-2</v>
      </c>
      <c r="L116" s="48">
        <f t="shared" si="57"/>
        <v>6.5392228713117992E-2</v>
      </c>
      <c r="M116" s="48">
        <f t="shared" si="88"/>
        <v>0.14127853312999097</v>
      </c>
      <c r="N116" s="99">
        <f t="shared" si="58"/>
        <v>2.517111276746671E-3</v>
      </c>
      <c r="O116" s="48">
        <f t="shared" si="59"/>
        <v>1.4639805536131822E-2</v>
      </c>
      <c r="P116" s="48">
        <f t="shared" si="60"/>
        <v>3.1160319168586206E-2</v>
      </c>
      <c r="Q116" s="48">
        <f t="shared" si="61"/>
        <v>0.11116678881230059</v>
      </c>
      <c r="R116" s="40">
        <f t="shared" si="89"/>
        <v>0.98894973190993685</v>
      </c>
      <c r="S116" s="99">
        <f t="shared" si="62"/>
        <v>4.2790891704693407E-3</v>
      </c>
      <c r="T116" s="48">
        <f t="shared" si="63"/>
        <v>2.4887669411424101E-2</v>
      </c>
      <c r="U116" s="40">
        <v>3.3858000000000015</v>
      </c>
      <c r="V116" s="40">
        <v>1.25</v>
      </c>
      <c r="W116" s="40">
        <v>0.45</v>
      </c>
      <c r="X116" s="40">
        <v>1.304162109088872</v>
      </c>
      <c r="Y116" s="42">
        <v>0.81864194148809855</v>
      </c>
      <c r="Z116" s="42">
        <v>17.391934854683896</v>
      </c>
      <c r="AA116" s="42">
        <v>81.789423203828022</v>
      </c>
      <c r="AB116" s="42">
        <v>2.3333333333333335</v>
      </c>
      <c r="AC116" s="125">
        <v>1</v>
      </c>
      <c r="AD116" s="94">
        <f t="shared" si="90"/>
        <v>4.6426699831278485E-2</v>
      </c>
      <c r="AE116" s="94">
        <f t="shared" si="91"/>
        <v>6.054794276999613E-2</v>
      </c>
      <c r="AF116" s="96">
        <f t="shared" si="64"/>
        <v>4.9567085422339908E-4</v>
      </c>
      <c r="AG116" s="95">
        <f t="shared" si="104"/>
        <v>1.0530458762409014E-2</v>
      </c>
      <c r="AH116" s="94">
        <f t="shared" si="92"/>
        <v>4.9521813153363722E-2</v>
      </c>
      <c r="AI116" s="94">
        <f t="shared" si="93"/>
        <v>0.14127853312999097</v>
      </c>
      <c r="AJ116" s="96">
        <f t="shared" si="65"/>
        <v>1.6780465632825416E-3</v>
      </c>
      <c r="AK116" s="95">
        <f t="shared" si="66"/>
        <v>9.7022779262840777E-3</v>
      </c>
      <c r="AL116" s="95">
        <f t="shared" si="67"/>
        <v>1.7901779896095323E-2</v>
      </c>
      <c r="AM116" s="94">
        <f t="shared" si="68"/>
        <v>8.4187082360718327E-2</v>
      </c>
      <c r="AN116" s="93">
        <f t="shared" si="69"/>
        <v>0.98894973190993685</v>
      </c>
      <c r="AO116" s="96">
        <f t="shared" si="70"/>
        <v>2.8526791575803206E-3</v>
      </c>
      <c r="AP116" s="95">
        <f t="shared" si="71"/>
        <v>1.6493872474682932E-2</v>
      </c>
      <c r="AQ116" s="93">
        <f t="shared" si="72"/>
        <v>0.18210576796171993</v>
      </c>
      <c r="AR116" s="31">
        <v>1.7</v>
      </c>
      <c r="AS116" s="31">
        <v>1.7</v>
      </c>
      <c r="AT116" s="31">
        <v>7</v>
      </c>
      <c r="AU116" s="43">
        <v>7.0000000000000007E-2</v>
      </c>
      <c r="AV116" s="44">
        <v>0.31</v>
      </c>
      <c r="AW116" s="19">
        <v>1.9E-2</v>
      </c>
      <c r="AX116" s="44">
        <v>0.13</v>
      </c>
      <c r="AY116" s="40">
        <v>6.6385405308393919</v>
      </c>
      <c r="AZ116" s="41">
        <v>0.5</v>
      </c>
      <c r="BA116" s="40">
        <v>0.72</v>
      </c>
      <c r="BB116" s="45">
        <v>1</v>
      </c>
      <c r="BC116" s="41">
        <v>24.789531138900777</v>
      </c>
      <c r="BD116" s="41">
        <v>37.617868674255881</v>
      </c>
      <c r="BE116" s="41">
        <v>37.592600186843342</v>
      </c>
      <c r="BF116" s="125">
        <v>1</v>
      </c>
      <c r="BG116" s="48">
        <f t="shared" si="94"/>
        <v>3.8496430727001664E-3</v>
      </c>
      <c r="BH116" s="48">
        <f t="shared" si="95"/>
        <v>3.8496430727001664E-3</v>
      </c>
      <c r="BI116" s="99">
        <f t="shared" si="96"/>
        <v>9.5430846824354448E-4</v>
      </c>
      <c r="BJ116" s="99">
        <f t="shared" si="97"/>
        <v>1.4481536755159374E-3</v>
      </c>
      <c r="BK116" s="48">
        <f t="shared" si="98"/>
        <v>1.4471809289406845E-3</v>
      </c>
      <c r="BL116" s="99">
        <f t="shared" si="73"/>
        <v>2.2444436477346525E-4</v>
      </c>
      <c r="BM116" s="48">
        <f t="shared" si="74"/>
        <v>8.6874629332327452E-4</v>
      </c>
      <c r="BN116" s="48">
        <f t="shared" si="75"/>
        <v>2.4618612483770937E-3</v>
      </c>
      <c r="BO116" s="48">
        <f t="shared" si="76"/>
        <v>2.4602075791991637E-3</v>
      </c>
      <c r="BP116" s="99">
        <f t="shared" si="77"/>
        <v>3.8155542011489096E-4</v>
      </c>
      <c r="BQ116" s="48">
        <f t="shared" si="78"/>
        <v>1.4768686986495667E-3</v>
      </c>
      <c r="BR116" s="40">
        <f t="shared" si="79"/>
        <v>0.62407399813156661</v>
      </c>
      <c r="BS116" s="31">
        <v>1.7</v>
      </c>
      <c r="BT116" s="31">
        <v>1.7</v>
      </c>
      <c r="BU116" s="43">
        <v>0.13500000000000001</v>
      </c>
      <c r="BV116" s="44">
        <v>0.45</v>
      </c>
      <c r="BW116" s="19">
        <v>0.02</v>
      </c>
      <c r="BX116" s="44">
        <v>0.15</v>
      </c>
      <c r="BY116" s="40">
        <v>17.112011361211739</v>
      </c>
      <c r="BZ116" s="40">
        <v>0.52</v>
      </c>
      <c r="CA116" s="40">
        <v>0.65</v>
      </c>
      <c r="CB116" s="45">
        <v>1</v>
      </c>
      <c r="CC116" s="41">
        <v>7.5805512328903255</v>
      </c>
      <c r="CD116" s="41">
        <v>28.253993472423122</v>
      </c>
      <c r="CE116" s="41">
        <v>64.165455294686552</v>
      </c>
      <c r="CF116" s="125">
        <v>1</v>
      </c>
      <c r="CG116" s="40">
        <f t="shared" si="99"/>
        <v>2.2478192610920277E-2</v>
      </c>
      <c r="CH116" s="40">
        <f t="shared" si="100"/>
        <v>2.2478192610920277E-2</v>
      </c>
      <c r="CI116" s="99">
        <f t="shared" si="101"/>
        <v>1.7039709070985792E-3</v>
      </c>
      <c r="CJ116" s="100">
        <f t="shared" si="102"/>
        <v>6.3509870730081115E-3</v>
      </c>
      <c r="CK116" s="100">
        <f t="shared" si="103"/>
        <v>1.4423234630813587E-2</v>
      </c>
      <c r="CL116" s="101">
        <f t="shared" si="80"/>
        <v>6.146203486906642E-4</v>
      </c>
      <c r="CM116" s="100">
        <f t="shared" si="81"/>
        <v>4.0687813165244712E-3</v>
      </c>
      <c r="CN116" s="100">
        <f t="shared" si="82"/>
        <v>1.079667802411379E-2</v>
      </c>
      <c r="CO116" s="100">
        <f t="shared" si="83"/>
        <v>2.4519498872383097E-2</v>
      </c>
      <c r="CP116" s="101">
        <f t="shared" si="84"/>
        <v>1.0448545927741291E-3</v>
      </c>
      <c r="CQ116" s="100">
        <f t="shared" si="85"/>
        <v>6.9169282380916013E-3</v>
      </c>
      <c r="CR116" s="99">
        <f t="shared" si="86"/>
        <v>0.35834544705313442</v>
      </c>
      <c r="CS116" s="31">
        <v>1.7</v>
      </c>
      <c r="CT116" s="31">
        <v>1.7</v>
      </c>
      <c r="CU116" s="43">
        <v>0.04</v>
      </c>
      <c r="CV116" s="44">
        <v>0.3</v>
      </c>
      <c r="CW116" s="19">
        <v>2.5000000000000001E-2</v>
      </c>
      <c r="CX116" s="44">
        <v>0.15</v>
      </c>
    </row>
    <row r="117" spans="1:103" s="23" customFormat="1" x14ac:dyDescent="0.25">
      <c r="A117" s="31">
        <v>103</v>
      </c>
      <c r="B117" s="83">
        <v>3</v>
      </c>
      <c r="C117" s="31">
        <v>100</v>
      </c>
      <c r="D117" s="31" t="s">
        <v>26</v>
      </c>
      <c r="E117" s="31" t="s">
        <v>99</v>
      </c>
      <c r="F117" s="31" t="s">
        <v>12</v>
      </c>
      <c r="G117" s="31" t="str">
        <f t="shared" si="87"/>
        <v>Statlig 100 - 3 A</v>
      </c>
      <c r="H117" s="48">
        <f t="shared" si="53"/>
        <v>0.16886177521047502</v>
      </c>
      <c r="I117" s="40">
        <f t="shared" si="54"/>
        <v>0.22037286912227136</v>
      </c>
      <c r="J117" s="99">
        <f t="shared" si="55"/>
        <v>1.1388307385489342E-2</v>
      </c>
      <c r="K117" s="48">
        <f t="shared" si="56"/>
        <v>5.4453860825778355E-2</v>
      </c>
      <c r="L117" s="48">
        <f t="shared" si="57"/>
        <v>0.15453070091100368</v>
      </c>
      <c r="M117" s="48">
        <f t="shared" si="88"/>
        <v>0.26806458773891395</v>
      </c>
      <c r="N117" s="99">
        <f t="shared" si="58"/>
        <v>6.6829959974762272E-3</v>
      </c>
      <c r="O117" s="48">
        <f t="shared" si="59"/>
        <v>3.7277407142410575E-2</v>
      </c>
      <c r="P117" s="48">
        <f t="shared" si="60"/>
        <v>9.2571563403823193E-2</v>
      </c>
      <c r="Q117" s="48">
        <f t="shared" si="61"/>
        <v>0.26270219154870622</v>
      </c>
      <c r="R117" s="40">
        <f t="shared" si="89"/>
        <v>1.8764521141723978</v>
      </c>
      <c r="S117" s="99">
        <f t="shared" si="62"/>
        <v>1.1361093195709588E-2</v>
      </c>
      <c r="T117" s="48">
        <f t="shared" si="63"/>
        <v>6.3371592142097977E-2</v>
      </c>
      <c r="U117" s="40">
        <v>10.633920000000002</v>
      </c>
      <c r="V117" s="40">
        <v>1.25</v>
      </c>
      <c r="W117" s="40">
        <v>0.45</v>
      </c>
      <c r="X117" s="40">
        <v>1.3532652111744523</v>
      </c>
      <c r="Y117" s="42">
        <v>3.764432480501803</v>
      </c>
      <c r="Z117" s="42">
        <v>23.825100429537908</v>
      </c>
      <c r="AA117" s="42">
        <v>72.410467089960292</v>
      </c>
      <c r="AB117" s="42">
        <v>1.3584905660377358</v>
      </c>
      <c r="AC117" s="125">
        <v>1</v>
      </c>
      <c r="AD117" s="94">
        <f t="shared" si="90"/>
        <v>0.14581422761823756</v>
      </c>
      <c r="AE117" s="94">
        <f t="shared" si="91"/>
        <v>0.1973253215300339</v>
      </c>
      <c r="AF117" s="96">
        <f t="shared" si="64"/>
        <v>7.4281784959312133E-3</v>
      </c>
      <c r="AG117" s="95">
        <f t="shared" si="104"/>
        <v>4.7012956027439171E-2</v>
      </c>
      <c r="AH117" s="94">
        <f t="shared" si="92"/>
        <v>0.14288418700666353</v>
      </c>
      <c r="AI117" s="94">
        <f t="shared" si="93"/>
        <v>0.26806458773891395</v>
      </c>
      <c r="AJ117" s="96">
        <f t="shared" si="65"/>
        <v>6.0057064750473491E-3</v>
      </c>
      <c r="AK117" s="95">
        <f t="shared" si="66"/>
        <v>3.3148960679372404E-2</v>
      </c>
      <c r="AL117" s="95">
        <f t="shared" si="67"/>
        <v>7.9922025246646586E-2</v>
      </c>
      <c r="AM117" s="94">
        <f t="shared" si="68"/>
        <v>0.24290311791132799</v>
      </c>
      <c r="AN117" s="93">
        <f t="shared" si="69"/>
        <v>1.8764521141723978</v>
      </c>
      <c r="AO117" s="96">
        <f t="shared" si="70"/>
        <v>1.0209701007580493E-2</v>
      </c>
      <c r="AP117" s="95">
        <f t="shared" si="71"/>
        <v>5.6353233154933083E-2</v>
      </c>
      <c r="AQ117" s="93">
        <f t="shared" si="72"/>
        <v>0.27589532910039716</v>
      </c>
      <c r="AR117" s="31">
        <v>1.7</v>
      </c>
      <c r="AS117" s="31">
        <v>1.7</v>
      </c>
      <c r="AT117" s="31">
        <v>7</v>
      </c>
      <c r="AU117" s="43">
        <v>7.0000000000000007E-2</v>
      </c>
      <c r="AV117" s="44">
        <v>0.31</v>
      </c>
      <c r="AW117" s="19">
        <v>1.9E-2</v>
      </c>
      <c r="AX117" s="44">
        <v>0.13</v>
      </c>
      <c r="AY117" s="40">
        <v>5.7364015212287551</v>
      </c>
      <c r="AZ117" s="41">
        <v>0.5</v>
      </c>
      <c r="BA117" s="40">
        <v>0.72</v>
      </c>
      <c r="BB117" s="45">
        <v>1</v>
      </c>
      <c r="BC117" s="41">
        <v>34.015858318041701</v>
      </c>
      <c r="BD117" s="41">
        <v>29.900893458486223</v>
      </c>
      <c r="BE117" s="41">
        <v>36.083248223472076</v>
      </c>
      <c r="BF117" s="125">
        <v>1</v>
      </c>
      <c r="BG117" s="48">
        <f t="shared" si="94"/>
        <v>3.3264989911318261E-3</v>
      </c>
      <c r="BH117" s="48">
        <f t="shared" si="95"/>
        <v>3.3264989911318261E-3</v>
      </c>
      <c r="BI117" s="99">
        <f t="shared" si="96"/>
        <v>1.1315371837744884E-3</v>
      </c>
      <c r="BJ117" s="99">
        <f t="shared" si="97"/>
        <v>9.9465291923594643E-4</v>
      </c>
      <c r="BK117" s="48">
        <f t="shared" si="98"/>
        <v>1.2003088881213913E-3</v>
      </c>
      <c r="BL117" s="99">
        <f t="shared" si="73"/>
        <v>1.5828432185928059E-4</v>
      </c>
      <c r="BM117" s="48">
        <f t="shared" si="74"/>
        <v>6.2764014687438456E-4</v>
      </c>
      <c r="BN117" s="48">
        <f t="shared" si="75"/>
        <v>1.6909099627011089E-3</v>
      </c>
      <c r="BO117" s="48">
        <f t="shared" si="76"/>
        <v>2.040525109806365E-3</v>
      </c>
      <c r="BP117" s="99">
        <f t="shared" si="77"/>
        <v>2.69083347160777E-4</v>
      </c>
      <c r="BQ117" s="48">
        <f t="shared" si="78"/>
        <v>1.0669882496864539E-3</v>
      </c>
      <c r="BR117" s="40">
        <f t="shared" si="79"/>
        <v>0.63916751776527925</v>
      </c>
      <c r="BS117" s="31">
        <v>1.7</v>
      </c>
      <c r="BT117" s="31">
        <v>1.7</v>
      </c>
      <c r="BU117" s="43">
        <v>0.13500000000000001</v>
      </c>
      <c r="BV117" s="44">
        <v>0.45</v>
      </c>
      <c r="BW117" s="19">
        <v>0.02</v>
      </c>
      <c r="BX117" s="44">
        <v>0.15</v>
      </c>
      <c r="BY117" s="40">
        <v>15.013075720028375</v>
      </c>
      <c r="BZ117" s="40">
        <v>0.52</v>
      </c>
      <c r="CA117" s="40">
        <v>0.65</v>
      </c>
      <c r="CB117" s="45">
        <v>1</v>
      </c>
      <c r="CC117" s="41">
        <v>14.343008645215042</v>
      </c>
      <c r="CD117" s="41">
        <v>32.687165928599939</v>
      </c>
      <c r="CE117" s="41">
        <v>52.969825426185011</v>
      </c>
      <c r="CF117" s="125">
        <v>1</v>
      </c>
      <c r="CG117" s="40">
        <f t="shared" si="99"/>
        <v>1.9721048601105629E-2</v>
      </c>
      <c r="CH117" s="40">
        <f t="shared" si="100"/>
        <v>1.9721048601105629E-2</v>
      </c>
      <c r="CI117" s="99">
        <f t="shared" si="101"/>
        <v>2.8285917057836404E-3</v>
      </c>
      <c r="CJ117" s="100">
        <f t="shared" si="102"/>
        <v>6.4462518791032338E-3</v>
      </c>
      <c r="CK117" s="100">
        <f t="shared" si="103"/>
        <v>1.0446205016218754E-2</v>
      </c>
      <c r="CL117" s="101">
        <f t="shared" si="80"/>
        <v>5.1900520056959816E-4</v>
      </c>
      <c r="CM117" s="100">
        <f t="shared" si="81"/>
        <v>3.5008063161637831E-3</v>
      </c>
      <c r="CN117" s="100">
        <f t="shared" si="82"/>
        <v>1.0958628194475498E-2</v>
      </c>
      <c r="CO117" s="100">
        <f t="shared" si="83"/>
        <v>1.7758548527571881E-2</v>
      </c>
      <c r="CP117" s="101">
        <f t="shared" si="84"/>
        <v>8.8230884096831695E-4</v>
      </c>
      <c r="CQ117" s="100">
        <f t="shared" si="85"/>
        <v>5.9513707374784317E-3</v>
      </c>
      <c r="CR117" s="99">
        <f t="shared" si="86"/>
        <v>0.47030174573814981</v>
      </c>
      <c r="CS117" s="31">
        <v>1.7</v>
      </c>
      <c r="CT117" s="31">
        <v>1.7</v>
      </c>
      <c r="CU117" s="43">
        <v>0.04</v>
      </c>
      <c r="CV117" s="44">
        <v>0.3</v>
      </c>
      <c r="CW117" s="19">
        <v>2.5000000000000001E-2</v>
      </c>
      <c r="CX117" s="44">
        <v>0.15</v>
      </c>
    </row>
    <row r="118" spans="1:103" s="23" customFormat="1" x14ac:dyDescent="0.25">
      <c r="A118" s="31">
        <v>104</v>
      </c>
      <c r="B118" s="83">
        <v>3</v>
      </c>
      <c r="C118" s="31">
        <v>100</v>
      </c>
      <c r="D118" s="31" t="s">
        <v>26</v>
      </c>
      <c r="E118" s="31" t="s">
        <v>99</v>
      </c>
      <c r="F118" s="31" t="s">
        <v>13</v>
      </c>
      <c r="G118" s="31" t="str">
        <f t="shared" si="87"/>
        <v>Statlig 100 - 3 B</v>
      </c>
      <c r="H118" s="48">
        <f t="shared" si="53"/>
        <v>0.16886177521047502</v>
      </c>
      <c r="I118" s="40">
        <f t="shared" si="54"/>
        <v>0.22037286912227136</v>
      </c>
      <c r="J118" s="99">
        <f t="shared" si="55"/>
        <v>1.1388307385489342E-2</v>
      </c>
      <c r="K118" s="48">
        <f t="shared" si="56"/>
        <v>5.4453860825778355E-2</v>
      </c>
      <c r="L118" s="48">
        <f t="shared" si="57"/>
        <v>0.15453070091100368</v>
      </c>
      <c r="M118" s="48">
        <f t="shared" si="88"/>
        <v>0.26806458773891395</v>
      </c>
      <c r="N118" s="99">
        <f t="shared" si="58"/>
        <v>6.6829959974762272E-3</v>
      </c>
      <c r="O118" s="48">
        <f t="shared" si="59"/>
        <v>3.7277407142410575E-2</v>
      </c>
      <c r="P118" s="48">
        <f t="shared" si="60"/>
        <v>9.2571563403823193E-2</v>
      </c>
      <c r="Q118" s="48">
        <f t="shared" si="61"/>
        <v>0.26270219154870622</v>
      </c>
      <c r="R118" s="40">
        <f t="shared" si="89"/>
        <v>1.8764521141723978</v>
      </c>
      <c r="S118" s="99">
        <f t="shared" si="62"/>
        <v>1.1361093195709588E-2</v>
      </c>
      <c r="T118" s="48">
        <f t="shared" si="63"/>
        <v>6.3371592142097977E-2</v>
      </c>
      <c r="U118" s="40">
        <v>10.633920000000002</v>
      </c>
      <c r="V118" s="40">
        <v>1.25</v>
      </c>
      <c r="W118" s="40">
        <v>0.45</v>
      </c>
      <c r="X118" s="40">
        <v>1.3532652111744523</v>
      </c>
      <c r="Y118" s="42">
        <v>3.764432480501803</v>
      </c>
      <c r="Z118" s="42">
        <v>23.825100429537908</v>
      </c>
      <c r="AA118" s="42">
        <v>72.410467089960292</v>
      </c>
      <c r="AB118" s="42">
        <v>1.3584905660377358</v>
      </c>
      <c r="AC118" s="125">
        <v>1</v>
      </c>
      <c r="AD118" s="94">
        <f t="shared" si="90"/>
        <v>0.14581422761823756</v>
      </c>
      <c r="AE118" s="94">
        <f t="shared" si="91"/>
        <v>0.1973253215300339</v>
      </c>
      <c r="AF118" s="96">
        <f t="shared" si="64"/>
        <v>7.4281784959312133E-3</v>
      </c>
      <c r="AG118" s="95">
        <f t="shared" si="104"/>
        <v>4.7012956027439171E-2</v>
      </c>
      <c r="AH118" s="94">
        <f t="shared" si="92"/>
        <v>0.14288418700666353</v>
      </c>
      <c r="AI118" s="94">
        <f t="shared" si="93"/>
        <v>0.26806458773891395</v>
      </c>
      <c r="AJ118" s="96">
        <f t="shared" si="65"/>
        <v>6.0057064750473491E-3</v>
      </c>
      <c r="AK118" s="95">
        <f t="shared" si="66"/>
        <v>3.3148960679372404E-2</v>
      </c>
      <c r="AL118" s="95">
        <f t="shared" si="67"/>
        <v>7.9922025246646586E-2</v>
      </c>
      <c r="AM118" s="94">
        <f t="shared" si="68"/>
        <v>0.24290311791132799</v>
      </c>
      <c r="AN118" s="93">
        <f t="shared" si="69"/>
        <v>1.8764521141723978</v>
      </c>
      <c r="AO118" s="96">
        <f t="shared" si="70"/>
        <v>1.0209701007580493E-2</v>
      </c>
      <c r="AP118" s="95">
        <f t="shared" si="71"/>
        <v>5.6353233154933083E-2</v>
      </c>
      <c r="AQ118" s="93">
        <f t="shared" si="72"/>
        <v>0.27589532910039716</v>
      </c>
      <c r="AR118" s="31">
        <v>1.7</v>
      </c>
      <c r="AS118" s="31">
        <v>1.7</v>
      </c>
      <c r="AT118" s="31">
        <v>7</v>
      </c>
      <c r="AU118" s="43">
        <v>7.0000000000000007E-2</v>
      </c>
      <c r="AV118" s="44">
        <v>0.31</v>
      </c>
      <c r="AW118" s="19">
        <v>1.9E-2</v>
      </c>
      <c r="AX118" s="44">
        <v>0.13</v>
      </c>
      <c r="AY118" s="40">
        <v>5.7364015212287551</v>
      </c>
      <c r="AZ118" s="41">
        <v>0.5</v>
      </c>
      <c r="BA118" s="40">
        <v>0.72</v>
      </c>
      <c r="BB118" s="45">
        <v>1</v>
      </c>
      <c r="BC118" s="41">
        <v>34.015858318041701</v>
      </c>
      <c r="BD118" s="41">
        <v>29.900893458486223</v>
      </c>
      <c r="BE118" s="41">
        <v>36.083248223472076</v>
      </c>
      <c r="BF118" s="125">
        <v>1</v>
      </c>
      <c r="BG118" s="48">
        <f t="shared" si="94"/>
        <v>3.3264989911318261E-3</v>
      </c>
      <c r="BH118" s="48">
        <f t="shared" si="95"/>
        <v>3.3264989911318261E-3</v>
      </c>
      <c r="BI118" s="99">
        <f t="shared" si="96"/>
        <v>1.1315371837744884E-3</v>
      </c>
      <c r="BJ118" s="99">
        <f t="shared" si="97"/>
        <v>9.9465291923594643E-4</v>
      </c>
      <c r="BK118" s="48">
        <f t="shared" si="98"/>
        <v>1.2003088881213913E-3</v>
      </c>
      <c r="BL118" s="99">
        <f t="shared" si="73"/>
        <v>1.5828432185928059E-4</v>
      </c>
      <c r="BM118" s="48">
        <f t="shared" si="74"/>
        <v>6.2764014687438456E-4</v>
      </c>
      <c r="BN118" s="48">
        <f t="shared" si="75"/>
        <v>1.6909099627011089E-3</v>
      </c>
      <c r="BO118" s="48">
        <f t="shared" si="76"/>
        <v>2.040525109806365E-3</v>
      </c>
      <c r="BP118" s="99">
        <f t="shared" si="77"/>
        <v>2.69083347160777E-4</v>
      </c>
      <c r="BQ118" s="48">
        <f t="shared" si="78"/>
        <v>1.0669882496864539E-3</v>
      </c>
      <c r="BR118" s="40">
        <f t="shared" si="79"/>
        <v>0.63916751776527925</v>
      </c>
      <c r="BS118" s="31">
        <v>1.7</v>
      </c>
      <c r="BT118" s="31">
        <v>1.7</v>
      </c>
      <c r="BU118" s="43">
        <v>0.13500000000000001</v>
      </c>
      <c r="BV118" s="44">
        <v>0.45</v>
      </c>
      <c r="BW118" s="19">
        <v>0.02</v>
      </c>
      <c r="BX118" s="44">
        <v>0.15</v>
      </c>
      <c r="BY118" s="40">
        <v>15.013075720028375</v>
      </c>
      <c r="BZ118" s="40">
        <v>0.52</v>
      </c>
      <c r="CA118" s="40">
        <v>0.65</v>
      </c>
      <c r="CB118" s="45">
        <v>1</v>
      </c>
      <c r="CC118" s="41">
        <v>14.343008645215042</v>
      </c>
      <c r="CD118" s="41">
        <v>32.687165928599939</v>
      </c>
      <c r="CE118" s="41">
        <v>52.969825426185011</v>
      </c>
      <c r="CF118" s="125">
        <v>1</v>
      </c>
      <c r="CG118" s="40">
        <f t="shared" si="99"/>
        <v>1.9721048601105629E-2</v>
      </c>
      <c r="CH118" s="40">
        <f t="shared" si="100"/>
        <v>1.9721048601105629E-2</v>
      </c>
      <c r="CI118" s="99">
        <f t="shared" si="101"/>
        <v>2.8285917057836404E-3</v>
      </c>
      <c r="CJ118" s="100">
        <f t="shared" si="102"/>
        <v>6.4462518791032338E-3</v>
      </c>
      <c r="CK118" s="100">
        <f t="shared" si="103"/>
        <v>1.0446205016218754E-2</v>
      </c>
      <c r="CL118" s="101">
        <f t="shared" si="80"/>
        <v>5.1900520056959816E-4</v>
      </c>
      <c r="CM118" s="100">
        <f t="shared" si="81"/>
        <v>3.5008063161637831E-3</v>
      </c>
      <c r="CN118" s="100">
        <f t="shared" si="82"/>
        <v>1.0958628194475498E-2</v>
      </c>
      <c r="CO118" s="100">
        <f t="shared" si="83"/>
        <v>1.7758548527571881E-2</v>
      </c>
      <c r="CP118" s="101">
        <f t="shared" si="84"/>
        <v>8.8230884096831695E-4</v>
      </c>
      <c r="CQ118" s="100">
        <f t="shared" si="85"/>
        <v>5.9513707374784317E-3</v>
      </c>
      <c r="CR118" s="99">
        <f t="shared" si="86"/>
        <v>0.47030174573814981</v>
      </c>
      <c r="CS118" s="31">
        <v>1.7</v>
      </c>
      <c r="CT118" s="31">
        <v>1.7</v>
      </c>
      <c r="CU118" s="43">
        <v>0.04</v>
      </c>
      <c r="CV118" s="44">
        <v>0.3</v>
      </c>
      <c r="CW118" s="19">
        <v>2.5000000000000001E-2</v>
      </c>
      <c r="CX118" s="44">
        <v>0.15</v>
      </c>
    </row>
    <row r="119" spans="1:103" s="23" customFormat="1" x14ac:dyDescent="0.25">
      <c r="A119" s="31">
        <v>105</v>
      </c>
      <c r="B119" s="83">
        <v>3</v>
      </c>
      <c r="C119" s="31">
        <v>100</v>
      </c>
      <c r="D119" s="31" t="s">
        <v>26</v>
      </c>
      <c r="E119" s="31" t="s">
        <v>99</v>
      </c>
      <c r="F119" s="31" t="s">
        <v>70</v>
      </c>
      <c r="G119" s="31" t="str">
        <f t="shared" si="87"/>
        <v>Statlig 100 - 3 Ck</v>
      </c>
      <c r="H119" s="48">
        <f t="shared" si="53"/>
        <v>0.16886177521047502</v>
      </c>
      <c r="I119" s="40">
        <f t="shared" si="54"/>
        <v>0.22037286912227136</v>
      </c>
      <c r="J119" s="99">
        <f t="shared" si="55"/>
        <v>1.1388307385489342E-2</v>
      </c>
      <c r="K119" s="48">
        <f t="shared" si="56"/>
        <v>5.4453860825778355E-2</v>
      </c>
      <c r="L119" s="48">
        <f t="shared" si="57"/>
        <v>0.15453070091100368</v>
      </c>
      <c r="M119" s="48">
        <f t="shared" si="88"/>
        <v>0.26806458773891395</v>
      </c>
      <c r="N119" s="99">
        <f t="shared" si="58"/>
        <v>6.6829959974762272E-3</v>
      </c>
      <c r="O119" s="48">
        <f t="shared" si="59"/>
        <v>3.7277407142410575E-2</v>
      </c>
      <c r="P119" s="48">
        <f t="shared" si="60"/>
        <v>9.2571563403823193E-2</v>
      </c>
      <c r="Q119" s="48">
        <f t="shared" si="61"/>
        <v>0.26270219154870622</v>
      </c>
      <c r="R119" s="40">
        <f t="shared" si="89"/>
        <v>1.8764521141723978</v>
      </c>
      <c r="S119" s="99">
        <f t="shared" si="62"/>
        <v>1.1361093195709588E-2</v>
      </c>
      <c r="T119" s="48">
        <f t="shared" si="63"/>
        <v>6.3371592142097977E-2</v>
      </c>
      <c r="U119" s="40">
        <v>10.633920000000002</v>
      </c>
      <c r="V119" s="40">
        <v>1.25</v>
      </c>
      <c r="W119" s="40">
        <v>0.45</v>
      </c>
      <c r="X119" s="40">
        <v>1.3532652111744523</v>
      </c>
      <c r="Y119" s="42">
        <v>3.764432480501803</v>
      </c>
      <c r="Z119" s="42">
        <v>23.825100429537908</v>
      </c>
      <c r="AA119" s="42">
        <v>72.410467089960292</v>
      </c>
      <c r="AB119" s="42">
        <v>1.3584905660377358</v>
      </c>
      <c r="AC119" s="125">
        <v>1</v>
      </c>
      <c r="AD119" s="94">
        <f t="shared" si="90"/>
        <v>0.14581422761823756</v>
      </c>
      <c r="AE119" s="94">
        <f t="shared" si="91"/>
        <v>0.1973253215300339</v>
      </c>
      <c r="AF119" s="96">
        <f t="shared" si="64"/>
        <v>7.4281784959312133E-3</v>
      </c>
      <c r="AG119" s="95">
        <f t="shared" si="104"/>
        <v>4.7012956027439171E-2</v>
      </c>
      <c r="AH119" s="94">
        <f t="shared" si="92"/>
        <v>0.14288418700666353</v>
      </c>
      <c r="AI119" s="94">
        <f t="shared" si="93"/>
        <v>0.26806458773891395</v>
      </c>
      <c r="AJ119" s="96">
        <f t="shared" si="65"/>
        <v>6.0057064750473491E-3</v>
      </c>
      <c r="AK119" s="95">
        <f t="shared" si="66"/>
        <v>3.3148960679372404E-2</v>
      </c>
      <c r="AL119" s="95">
        <f t="shared" si="67"/>
        <v>7.9922025246646586E-2</v>
      </c>
      <c r="AM119" s="94">
        <f t="shared" si="68"/>
        <v>0.24290311791132799</v>
      </c>
      <c r="AN119" s="93">
        <f t="shared" si="69"/>
        <v>1.8764521141723978</v>
      </c>
      <c r="AO119" s="96">
        <f t="shared" si="70"/>
        <v>1.0209701007580493E-2</v>
      </c>
      <c r="AP119" s="95">
        <f t="shared" si="71"/>
        <v>5.6353233154933083E-2</v>
      </c>
      <c r="AQ119" s="93">
        <f t="shared" si="72"/>
        <v>0.27589532910039716</v>
      </c>
      <c r="AR119" s="31">
        <v>1.7</v>
      </c>
      <c r="AS119" s="31">
        <v>1.7</v>
      </c>
      <c r="AT119" s="31">
        <v>7</v>
      </c>
      <c r="AU119" s="43">
        <v>7.0000000000000007E-2</v>
      </c>
      <c r="AV119" s="44">
        <v>0.31</v>
      </c>
      <c r="AW119" s="19">
        <v>1.9E-2</v>
      </c>
      <c r="AX119" s="44">
        <v>0.13</v>
      </c>
      <c r="AY119" s="40">
        <v>5.7364015212287551</v>
      </c>
      <c r="AZ119" s="41">
        <v>0.5</v>
      </c>
      <c r="BA119" s="40">
        <v>0.72</v>
      </c>
      <c r="BB119" s="45">
        <v>1</v>
      </c>
      <c r="BC119" s="41">
        <v>34.015858318041701</v>
      </c>
      <c r="BD119" s="41">
        <v>29.900893458486223</v>
      </c>
      <c r="BE119" s="41">
        <v>36.083248223472076</v>
      </c>
      <c r="BF119" s="125">
        <v>1</v>
      </c>
      <c r="BG119" s="48">
        <f t="shared" si="94"/>
        <v>3.3264989911318261E-3</v>
      </c>
      <c r="BH119" s="48">
        <f t="shared" si="95"/>
        <v>3.3264989911318261E-3</v>
      </c>
      <c r="BI119" s="99">
        <f t="shared" si="96"/>
        <v>1.1315371837744884E-3</v>
      </c>
      <c r="BJ119" s="99">
        <f t="shared" si="97"/>
        <v>9.9465291923594643E-4</v>
      </c>
      <c r="BK119" s="48">
        <f t="shared" si="98"/>
        <v>1.2003088881213913E-3</v>
      </c>
      <c r="BL119" s="99">
        <f t="shared" si="73"/>
        <v>1.5828432185928059E-4</v>
      </c>
      <c r="BM119" s="48">
        <f t="shared" si="74"/>
        <v>6.2764014687438456E-4</v>
      </c>
      <c r="BN119" s="48">
        <f t="shared" si="75"/>
        <v>1.6909099627011089E-3</v>
      </c>
      <c r="BO119" s="48">
        <f t="shared" si="76"/>
        <v>2.040525109806365E-3</v>
      </c>
      <c r="BP119" s="99">
        <f t="shared" si="77"/>
        <v>2.69083347160777E-4</v>
      </c>
      <c r="BQ119" s="48">
        <f t="shared" si="78"/>
        <v>1.0669882496864539E-3</v>
      </c>
      <c r="BR119" s="40">
        <f t="shared" si="79"/>
        <v>0.63916751776527925</v>
      </c>
      <c r="BS119" s="31">
        <v>1.7</v>
      </c>
      <c r="BT119" s="31">
        <v>1.7</v>
      </c>
      <c r="BU119" s="43">
        <v>0.13500000000000001</v>
      </c>
      <c r="BV119" s="44">
        <v>0.45</v>
      </c>
      <c r="BW119" s="19">
        <v>0.02</v>
      </c>
      <c r="BX119" s="44">
        <v>0.15</v>
      </c>
      <c r="BY119" s="40">
        <v>15.013075720028375</v>
      </c>
      <c r="BZ119" s="40">
        <v>0.52</v>
      </c>
      <c r="CA119" s="40">
        <v>0.65</v>
      </c>
      <c r="CB119" s="45">
        <v>1</v>
      </c>
      <c r="CC119" s="41">
        <v>14.343008645215042</v>
      </c>
      <c r="CD119" s="41">
        <v>32.687165928599939</v>
      </c>
      <c r="CE119" s="41">
        <v>52.969825426185011</v>
      </c>
      <c r="CF119" s="125">
        <v>1</v>
      </c>
      <c r="CG119" s="40">
        <f t="shared" si="99"/>
        <v>1.9721048601105629E-2</v>
      </c>
      <c r="CH119" s="40">
        <f t="shared" si="100"/>
        <v>1.9721048601105629E-2</v>
      </c>
      <c r="CI119" s="99">
        <f t="shared" si="101"/>
        <v>2.8285917057836404E-3</v>
      </c>
      <c r="CJ119" s="100">
        <f t="shared" si="102"/>
        <v>6.4462518791032338E-3</v>
      </c>
      <c r="CK119" s="100">
        <f t="shared" si="103"/>
        <v>1.0446205016218754E-2</v>
      </c>
      <c r="CL119" s="101">
        <f t="shared" si="80"/>
        <v>5.1900520056959816E-4</v>
      </c>
      <c r="CM119" s="100">
        <f t="shared" si="81"/>
        <v>3.5008063161637831E-3</v>
      </c>
      <c r="CN119" s="100">
        <f t="shared" si="82"/>
        <v>1.0958628194475498E-2</v>
      </c>
      <c r="CO119" s="100">
        <f t="shared" si="83"/>
        <v>1.7758548527571881E-2</v>
      </c>
      <c r="CP119" s="101">
        <f t="shared" si="84"/>
        <v>8.8230884096831695E-4</v>
      </c>
      <c r="CQ119" s="100">
        <f t="shared" si="85"/>
        <v>5.9513707374784317E-3</v>
      </c>
      <c r="CR119" s="99">
        <f t="shared" si="86"/>
        <v>0.47030174573814981</v>
      </c>
      <c r="CS119" s="31">
        <v>1.7</v>
      </c>
      <c r="CT119" s="31">
        <v>1.7</v>
      </c>
      <c r="CU119" s="43">
        <v>0.04</v>
      </c>
      <c r="CV119" s="44">
        <v>0.3</v>
      </c>
      <c r="CW119" s="19">
        <v>2.5000000000000001E-2</v>
      </c>
      <c r="CX119" s="44">
        <v>0.15</v>
      </c>
    </row>
    <row r="120" spans="1:103" s="23" customFormat="1" x14ac:dyDescent="0.25">
      <c r="A120" s="31">
        <v>106</v>
      </c>
      <c r="B120" s="83">
        <v>3</v>
      </c>
      <c r="C120" s="31">
        <v>100</v>
      </c>
      <c r="D120" s="31" t="s">
        <v>26</v>
      </c>
      <c r="E120" s="31" t="s">
        <v>99</v>
      </c>
      <c r="F120" s="31" t="s">
        <v>71</v>
      </c>
      <c r="G120" s="31" t="str">
        <f t="shared" si="87"/>
        <v>Statlig 100 - 3 Cm</v>
      </c>
      <c r="H120" s="48">
        <f t="shared" si="53"/>
        <v>0.1469896410677394</v>
      </c>
      <c r="I120" s="40">
        <f t="shared" si="54"/>
        <v>0.19077407089276632</v>
      </c>
      <c r="J120" s="99">
        <f t="shared" si="55"/>
        <v>1.0274080611099662E-2</v>
      </c>
      <c r="K120" s="48">
        <f t="shared" si="56"/>
        <v>4.7401917421662484E-2</v>
      </c>
      <c r="L120" s="48">
        <f t="shared" si="57"/>
        <v>0.13309807286000419</v>
      </c>
      <c r="M120" s="48">
        <f t="shared" si="88"/>
        <v>0.22785489957807689</v>
      </c>
      <c r="N120" s="99">
        <f t="shared" si="58"/>
        <v>5.7821400262191274E-3</v>
      </c>
      <c r="O120" s="48">
        <f t="shared" si="59"/>
        <v>3.2305063040504713E-2</v>
      </c>
      <c r="P120" s="48">
        <f t="shared" si="60"/>
        <v>8.0583259616826233E-2</v>
      </c>
      <c r="Q120" s="48">
        <f t="shared" si="61"/>
        <v>0.22626672386200711</v>
      </c>
      <c r="R120" s="40">
        <f t="shared" si="89"/>
        <v>1.5949842970465382</v>
      </c>
      <c r="S120" s="99">
        <f t="shared" si="62"/>
        <v>9.8296380445725175E-3</v>
      </c>
      <c r="T120" s="48">
        <f t="shared" si="63"/>
        <v>5.4918607168858019E-2</v>
      </c>
      <c r="U120" s="40">
        <v>9.0388320000000029</v>
      </c>
      <c r="V120" s="40">
        <v>1.25</v>
      </c>
      <c r="W120" s="40">
        <v>0.45</v>
      </c>
      <c r="X120" s="40">
        <v>1.3532652111744523</v>
      </c>
      <c r="Y120" s="42">
        <v>3.7644324805018026</v>
      </c>
      <c r="Z120" s="42">
        <v>23.825100429537908</v>
      </c>
      <c r="AA120" s="42">
        <v>72.410467089960292</v>
      </c>
      <c r="AB120" s="42">
        <v>1.3584905660377355</v>
      </c>
      <c r="AC120" s="125">
        <v>1</v>
      </c>
      <c r="AD120" s="94">
        <f t="shared" si="90"/>
        <v>0.12394209347550196</v>
      </c>
      <c r="AE120" s="94">
        <f t="shared" si="91"/>
        <v>0.16772652330052887</v>
      </c>
      <c r="AF120" s="96">
        <f t="shared" si="64"/>
        <v>6.3139517215415331E-3</v>
      </c>
      <c r="AG120" s="95">
        <f t="shared" si="104"/>
        <v>3.9961012623323307E-2</v>
      </c>
      <c r="AH120" s="94">
        <f t="shared" si="92"/>
        <v>0.12145155895566404</v>
      </c>
      <c r="AI120" s="94">
        <f t="shared" si="93"/>
        <v>0.22785489957807689</v>
      </c>
      <c r="AJ120" s="96">
        <f t="shared" si="65"/>
        <v>5.1048505037902484E-3</v>
      </c>
      <c r="AK120" s="95">
        <f t="shared" si="66"/>
        <v>2.8176616577466548E-2</v>
      </c>
      <c r="AL120" s="95">
        <f t="shared" si="67"/>
        <v>6.7933721459649626E-2</v>
      </c>
      <c r="AM120" s="94">
        <f t="shared" si="68"/>
        <v>0.20646765022462885</v>
      </c>
      <c r="AN120" s="93">
        <f t="shared" si="69"/>
        <v>1.5949842970465382</v>
      </c>
      <c r="AO120" s="96">
        <f t="shared" si="70"/>
        <v>8.6782458564434225E-3</v>
      </c>
      <c r="AP120" s="95">
        <f t="shared" si="71"/>
        <v>4.7900248181693132E-2</v>
      </c>
      <c r="AQ120" s="93">
        <f t="shared" si="72"/>
        <v>0.27589532910039716</v>
      </c>
      <c r="AR120" s="31">
        <v>1.7</v>
      </c>
      <c r="AS120" s="31">
        <v>1.7</v>
      </c>
      <c r="AT120" s="31">
        <v>7</v>
      </c>
      <c r="AU120" s="43">
        <v>7.0000000000000007E-2</v>
      </c>
      <c r="AV120" s="44">
        <v>0.31</v>
      </c>
      <c r="AW120" s="19">
        <v>1.9E-2</v>
      </c>
      <c r="AX120" s="44">
        <v>0.13</v>
      </c>
      <c r="AY120" s="40">
        <v>5.7364015212287551</v>
      </c>
      <c r="AZ120" s="41">
        <v>0.5</v>
      </c>
      <c r="BA120" s="40">
        <v>0.72</v>
      </c>
      <c r="BB120" s="45">
        <v>1</v>
      </c>
      <c r="BC120" s="41">
        <v>34.015858318041701</v>
      </c>
      <c r="BD120" s="41">
        <v>29.900893458486223</v>
      </c>
      <c r="BE120" s="41">
        <v>36.083248223472076</v>
      </c>
      <c r="BF120" s="125">
        <v>1</v>
      </c>
      <c r="BG120" s="48">
        <f t="shared" si="94"/>
        <v>3.3264989911318261E-3</v>
      </c>
      <c r="BH120" s="48">
        <f t="shared" si="95"/>
        <v>3.3264989911318261E-3</v>
      </c>
      <c r="BI120" s="99">
        <f t="shared" si="96"/>
        <v>1.1315371837744884E-3</v>
      </c>
      <c r="BJ120" s="99">
        <f t="shared" si="97"/>
        <v>9.9465291923594643E-4</v>
      </c>
      <c r="BK120" s="48">
        <f t="shared" si="98"/>
        <v>1.2003088881213913E-3</v>
      </c>
      <c r="BL120" s="99">
        <f t="shared" si="73"/>
        <v>1.5828432185928059E-4</v>
      </c>
      <c r="BM120" s="48">
        <f t="shared" si="74"/>
        <v>6.2764014687438456E-4</v>
      </c>
      <c r="BN120" s="48">
        <f t="shared" si="75"/>
        <v>1.6909099627011089E-3</v>
      </c>
      <c r="BO120" s="48">
        <f t="shared" si="76"/>
        <v>2.040525109806365E-3</v>
      </c>
      <c r="BP120" s="99">
        <f t="shared" si="77"/>
        <v>2.69083347160777E-4</v>
      </c>
      <c r="BQ120" s="48">
        <f t="shared" si="78"/>
        <v>1.0669882496864539E-3</v>
      </c>
      <c r="BR120" s="40">
        <f t="shared" si="79"/>
        <v>0.63916751776527925</v>
      </c>
      <c r="BS120" s="31">
        <v>1.7</v>
      </c>
      <c r="BT120" s="31">
        <v>1.7</v>
      </c>
      <c r="BU120" s="43">
        <v>0.13500000000000001</v>
      </c>
      <c r="BV120" s="44">
        <v>0.45</v>
      </c>
      <c r="BW120" s="19">
        <v>0.02</v>
      </c>
      <c r="BX120" s="44">
        <v>0.15</v>
      </c>
      <c r="BY120" s="40">
        <v>15.013075720028375</v>
      </c>
      <c r="BZ120" s="40">
        <v>0.52</v>
      </c>
      <c r="CA120" s="40">
        <v>0.65</v>
      </c>
      <c r="CB120" s="45">
        <v>1</v>
      </c>
      <c r="CC120" s="41">
        <v>14.343008645215042</v>
      </c>
      <c r="CD120" s="41">
        <v>32.687165928599939</v>
      </c>
      <c r="CE120" s="41">
        <v>52.969825426185011</v>
      </c>
      <c r="CF120" s="125">
        <v>1</v>
      </c>
      <c r="CG120" s="40">
        <f t="shared" si="99"/>
        <v>1.9721048601105629E-2</v>
      </c>
      <c r="CH120" s="40">
        <f t="shared" si="100"/>
        <v>1.9721048601105629E-2</v>
      </c>
      <c r="CI120" s="99">
        <f t="shared" si="101"/>
        <v>2.8285917057836404E-3</v>
      </c>
      <c r="CJ120" s="100">
        <f t="shared" si="102"/>
        <v>6.4462518791032338E-3</v>
      </c>
      <c r="CK120" s="100">
        <f t="shared" si="103"/>
        <v>1.0446205016218754E-2</v>
      </c>
      <c r="CL120" s="101">
        <f t="shared" si="80"/>
        <v>5.1900520056959816E-4</v>
      </c>
      <c r="CM120" s="100">
        <f t="shared" si="81"/>
        <v>3.5008063161637831E-3</v>
      </c>
      <c r="CN120" s="100">
        <f t="shared" si="82"/>
        <v>1.0958628194475498E-2</v>
      </c>
      <c r="CO120" s="100">
        <f t="shared" si="83"/>
        <v>1.7758548527571881E-2</v>
      </c>
      <c r="CP120" s="101">
        <f t="shared" si="84"/>
        <v>8.8230884096831695E-4</v>
      </c>
      <c r="CQ120" s="100">
        <f t="shared" si="85"/>
        <v>5.9513707374784317E-3</v>
      </c>
      <c r="CR120" s="99">
        <f t="shared" si="86"/>
        <v>0.47030174573814981</v>
      </c>
      <c r="CS120" s="31">
        <v>1.7</v>
      </c>
      <c r="CT120" s="31">
        <v>1.7</v>
      </c>
      <c r="CU120" s="43">
        <v>0.04</v>
      </c>
      <c r="CV120" s="44">
        <v>0.3</v>
      </c>
      <c r="CW120" s="19">
        <v>2.5000000000000001E-2</v>
      </c>
      <c r="CX120" s="44">
        <v>0.15</v>
      </c>
    </row>
    <row r="121" spans="1:103" s="23" customFormat="1" x14ac:dyDescent="0.25">
      <c r="A121" s="31">
        <v>107</v>
      </c>
      <c r="B121" s="83">
        <v>3</v>
      </c>
      <c r="C121" s="31">
        <v>100</v>
      </c>
      <c r="D121" s="31" t="s">
        <v>26</v>
      </c>
      <c r="E121" s="31" t="s">
        <v>99</v>
      </c>
      <c r="F121" s="31" t="s">
        <v>64</v>
      </c>
      <c r="G121" s="31" t="str">
        <f t="shared" si="87"/>
        <v>Statlig 100 - 3 F</v>
      </c>
      <c r="H121" s="48">
        <f t="shared" si="53"/>
        <v>7.3807406074435256E-2</v>
      </c>
      <c r="I121" s="40">
        <f t="shared" si="54"/>
        <v>8.1798130183199827E-2</v>
      </c>
      <c r="J121" s="99">
        <f t="shared" si="55"/>
        <v>4.8240831884695133E-3</v>
      </c>
      <c r="K121" s="48">
        <f t="shared" si="56"/>
        <v>1.7060478877799809E-2</v>
      </c>
      <c r="L121" s="48">
        <f t="shared" si="57"/>
        <v>5.99135681169305E-2</v>
      </c>
      <c r="M121" s="48">
        <f t="shared" si="88"/>
        <v>0.12036704725953266</v>
      </c>
      <c r="N121" s="99">
        <f t="shared" si="58"/>
        <v>2.2677337380303396E-3</v>
      </c>
      <c r="O121" s="48">
        <f t="shared" si="59"/>
        <v>1.3385231475307711E-2</v>
      </c>
      <c r="P121" s="48">
        <f t="shared" si="60"/>
        <v>2.9002814092259681E-2</v>
      </c>
      <c r="Q121" s="48">
        <f t="shared" si="61"/>
        <v>0.10185306579878184</v>
      </c>
      <c r="R121" s="40">
        <f t="shared" si="89"/>
        <v>0.84256933081672869</v>
      </c>
      <c r="S121" s="99">
        <f t="shared" si="62"/>
        <v>3.8551473546515774E-3</v>
      </c>
      <c r="T121" s="48">
        <f t="shared" si="63"/>
        <v>2.2754893508023104E-2</v>
      </c>
      <c r="U121" s="40">
        <v>3.7018080000000011</v>
      </c>
      <c r="V121" s="40">
        <v>1.25</v>
      </c>
      <c r="W121" s="40">
        <v>0.45</v>
      </c>
      <c r="X121" s="40">
        <v>1.1574221116390038</v>
      </c>
      <c r="Y121" s="42">
        <v>1.4705459262020781</v>
      </c>
      <c r="Z121" s="42">
        <v>16.37358074631317</v>
      </c>
      <c r="AA121" s="42">
        <v>82.155873327484755</v>
      </c>
      <c r="AB121" s="42">
        <v>2.0487804878048781</v>
      </c>
      <c r="AC121" s="125">
        <v>1</v>
      </c>
      <c r="AD121" s="94">
        <f t="shared" si="90"/>
        <v>5.07598584821978E-2</v>
      </c>
      <c r="AE121" s="94">
        <f t="shared" si="91"/>
        <v>5.8750582590962372E-2</v>
      </c>
      <c r="AF121" s="96">
        <f t="shared" si="64"/>
        <v>8.6395429891138447E-4</v>
      </c>
      <c r="AG121" s="95">
        <f t="shared" si="104"/>
        <v>9.6195740794606313E-3</v>
      </c>
      <c r="AH121" s="94">
        <f t="shared" si="92"/>
        <v>4.8267054212590359E-2</v>
      </c>
      <c r="AI121" s="94">
        <f t="shared" si="93"/>
        <v>0.12036704725953266</v>
      </c>
      <c r="AJ121" s="96">
        <f t="shared" si="65"/>
        <v>1.590444215601461E-3</v>
      </c>
      <c r="AK121" s="95">
        <f t="shared" si="66"/>
        <v>9.256785012269543E-3</v>
      </c>
      <c r="AL121" s="95">
        <f t="shared" si="67"/>
        <v>1.6353275935083074E-2</v>
      </c>
      <c r="AM121" s="94">
        <f t="shared" si="68"/>
        <v>8.2053992161403605E-2</v>
      </c>
      <c r="AN121" s="93">
        <f t="shared" si="69"/>
        <v>0.84256933081672869</v>
      </c>
      <c r="AO121" s="96">
        <f t="shared" si="70"/>
        <v>2.7037551665224837E-3</v>
      </c>
      <c r="AP121" s="95">
        <f t="shared" si="71"/>
        <v>1.5736534520858221E-2</v>
      </c>
      <c r="AQ121" s="93">
        <f t="shared" si="72"/>
        <v>0.17844126672515248</v>
      </c>
      <c r="AR121" s="31">
        <v>1.7</v>
      </c>
      <c r="AS121" s="31">
        <v>1.7</v>
      </c>
      <c r="AT121" s="31">
        <v>7</v>
      </c>
      <c r="AU121" s="43">
        <v>7.0000000000000007E-2</v>
      </c>
      <c r="AV121" s="44">
        <v>0.31</v>
      </c>
      <c r="AW121" s="19">
        <v>1.9E-2</v>
      </c>
      <c r="AX121" s="44">
        <v>0.13</v>
      </c>
      <c r="AY121" s="40">
        <v>5.7364015212287551</v>
      </c>
      <c r="AZ121" s="41">
        <v>0.5</v>
      </c>
      <c r="BA121" s="40">
        <v>0.72</v>
      </c>
      <c r="BB121" s="45">
        <v>1</v>
      </c>
      <c r="BC121" s="41">
        <v>34.015858318041694</v>
      </c>
      <c r="BD121" s="41">
        <v>29.900893458486227</v>
      </c>
      <c r="BE121" s="41">
        <v>36.083248223472083</v>
      </c>
      <c r="BF121" s="125">
        <v>1</v>
      </c>
      <c r="BG121" s="48">
        <f t="shared" si="94"/>
        <v>3.3264989911318261E-3</v>
      </c>
      <c r="BH121" s="48">
        <f t="shared" si="95"/>
        <v>3.3264989911318261E-3</v>
      </c>
      <c r="BI121" s="99">
        <f t="shared" si="96"/>
        <v>1.1315371837744884E-3</v>
      </c>
      <c r="BJ121" s="99">
        <f t="shared" si="97"/>
        <v>9.9465291923594664E-4</v>
      </c>
      <c r="BK121" s="48">
        <f t="shared" si="98"/>
        <v>1.2003088881213913E-3</v>
      </c>
      <c r="BL121" s="99">
        <f t="shared" si="73"/>
        <v>1.5828432185928062E-4</v>
      </c>
      <c r="BM121" s="48">
        <f t="shared" si="74"/>
        <v>6.2764014687438467E-4</v>
      </c>
      <c r="BN121" s="48">
        <f t="shared" si="75"/>
        <v>1.6909099627011091E-3</v>
      </c>
      <c r="BO121" s="48">
        <f t="shared" si="76"/>
        <v>2.040525109806365E-3</v>
      </c>
      <c r="BP121" s="99">
        <f t="shared" si="77"/>
        <v>2.6908334716077705E-4</v>
      </c>
      <c r="BQ121" s="48">
        <f t="shared" si="78"/>
        <v>1.0669882496864539E-3</v>
      </c>
      <c r="BR121" s="40">
        <f t="shared" si="79"/>
        <v>0.63916751776527936</v>
      </c>
      <c r="BS121" s="31">
        <v>1.7</v>
      </c>
      <c r="BT121" s="31">
        <v>1.7</v>
      </c>
      <c r="BU121" s="43">
        <v>0.13500000000000001</v>
      </c>
      <c r="BV121" s="44">
        <v>0.45</v>
      </c>
      <c r="BW121" s="19">
        <v>0.02</v>
      </c>
      <c r="BX121" s="44">
        <v>0.15</v>
      </c>
      <c r="BY121" s="40">
        <v>15.013075720028374</v>
      </c>
      <c r="BZ121" s="40">
        <v>0.52</v>
      </c>
      <c r="CA121" s="40">
        <v>0.65</v>
      </c>
      <c r="CB121" s="45">
        <v>1</v>
      </c>
      <c r="CC121" s="41">
        <v>14.343008645215043</v>
      </c>
      <c r="CD121" s="41">
        <v>32.687165928599939</v>
      </c>
      <c r="CE121" s="41">
        <v>52.969825426185011</v>
      </c>
      <c r="CF121" s="125">
        <v>1</v>
      </c>
      <c r="CG121" s="40">
        <f t="shared" si="99"/>
        <v>1.9721048601105625E-2</v>
      </c>
      <c r="CH121" s="40">
        <f t="shared" si="100"/>
        <v>1.9721048601105625E-2</v>
      </c>
      <c r="CI121" s="99">
        <f t="shared" si="101"/>
        <v>2.8285917057836404E-3</v>
      </c>
      <c r="CJ121" s="100">
        <f t="shared" si="102"/>
        <v>6.4462518791032321E-3</v>
      </c>
      <c r="CK121" s="100">
        <f t="shared" si="103"/>
        <v>1.044620501621875E-2</v>
      </c>
      <c r="CL121" s="101">
        <f t="shared" si="80"/>
        <v>5.1900520056959805E-4</v>
      </c>
      <c r="CM121" s="100">
        <f t="shared" si="81"/>
        <v>3.5008063161637822E-3</v>
      </c>
      <c r="CN121" s="100">
        <f t="shared" si="82"/>
        <v>1.0958628194475495E-2</v>
      </c>
      <c r="CO121" s="100">
        <f t="shared" si="83"/>
        <v>1.7758548527571874E-2</v>
      </c>
      <c r="CP121" s="101">
        <f t="shared" si="84"/>
        <v>8.8230884096831663E-4</v>
      </c>
      <c r="CQ121" s="100">
        <f t="shared" si="85"/>
        <v>5.9513707374784291E-3</v>
      </c>
      <c r="CR121" s="99">
        <f t="shared" si="86"/>
        <v>0.47030174573814981</v>
      </c>
      <c r="CS121" s="31">
        <v>1.7</v>
      </c>
      <c r="CT121" s="31">
        <v>1.7</v>
      </c>
      <c r="CU121" s="43">
        <v>0.04</v>
      </c>
      <c r="CV121" s="44">
        <v>0.3</v>
      </c>
      <c r="CW121" s="19">
        <v>2.5000000000000001E-2</v>
      </c>
      <c r="CX121" s="44">
        <v>0.15</v>
      </c>
    </row>
    <row r="122" spans="1:103" s="23" customFormat="1" x14ac:dyDescent="0.25">
      <c r="A122" s="31">
        <v>108</v>
      </c>
      <c r="B122" s="83">
        <v>3</v>
      </c>
      <c r="C122" s="31">
        <v>110</v>
      </c>
      <c r="D122" s="31" t="s">
        <v>26</v>
      </c>
      <c r="E122" s="31" t="s">
        <v>99</v>
      </c>
      <c r="F122" s="31" t="s">
        <v>12</v>
      </c>
      <c r="G122" s="31" t="str">
        <f t="shared" si="87"/>
        <v>Statlig 110 - 3 A</v>
      </c>
      <c r="H122" s="48">
        <f t="shared" si="53"/>
        <v>0.16327450426354514</v>
      </c>
      <c r="I122" s="40">
        <f t="shared" si="54"/>
        <v>0.24070585957028587</v>
      </c>
      <c r="J122" s="99">
        <f t="shared" si="55"/>
        <v>1.3720852271673908E-2</v>
      </c>
      <c r="K122" s="48">
        <f t="shared" si="56"/>
        <v>6.2590644627331452E-2</v>
      </c>
      <c r="L122" s="48">
        <f t="shared" si="57"/>
        <v>0.16439436267128052</v>
      </c>
      <c r="M122" s="48">
        <f t="shared" si="88"/>
        <v>0.3224879210991265</v>
      </c>
      <c r="N122" s="99">
        <f t="shared" si="58"/>
        <v>7.4248214449584736E-3</v>
      </c>
      <c r="O122" s="48">
        <f t="shared" si="59"/>
        <v>4.1108129391183336E-2</v>
      </c>
      <c r="P122" s="48">
        <f t="shared" si="60"/>
        <v>0.10640409586646346</v>
      </c>
      <c r="Q122" s="48">
        <f t="shared" si="61"/>
        <v>0.27947041654117688</v>
      </c>
      <c r="R122" s="40">
        <f t="shared" si="89"/>
        <v>2.2574154476938855</v>
      </c>
      <c r="S122" s="99">
        <f t="shared" si="62"/>
        <v>1.2622196456429405E-2</v>
      </c>
      <c r="T122" s="48">
        <f t="shared" si="63"/>
        <v>6.9883819965011668E-2</v>
      </c>
      <c r="U122" s="40">
        <v>10.032000000000002</v>
      </c>
      <c r="V122" s="40">
        <v>1.25</v>
      </c>
      <c r="W122" s="40">
        <v>0.45</v>
      </c>
      <c r="X122" s="40">
        <v>1.5628890813044325</v>
      </c>
      <c r="Y122" s="42">
        <v>4.1627664449559276</v>
      </c>
      <c r="Z122" s="42">
        <v>25.13483930210484</v>
      </c>
      <c r="AA122" s="42">
        <v>70.702394252939229</v>
      </c>
      <c r="AB122" s="42">
        <v>1.5</v>
      </c>
      <c r="AC122" s="125">
        <v>1</v>
      </c>
      <c r="AD122" s="94">
        <f t="shared" si="90"/>
        <v>0.13756059209267696</v>
      </c>
      <c r="AE122" s="94">
        <f t="shared" si="91"/>
        <v>0.21499194739941768</v>
      </c>
      <c r="AF122" s="96">
        <f t="shared" si="64"/>
        <v>8.949612645700258E-3</v>
      </c>
      <c r="AG122" s="95">
        <f t="shared" si="104"/>
        <v>5.4037880491309399E-2</v>
      </c>
      <c r="AH122" s="94">
        <f t="shared" si="92"/>
        <v>0.15200445426240802</v>
      </c>
      <c r="AI122" s="94">
        <f t="shared" si="93"/>
        <v>0.3224879210991265</v>
      </c>
      <c r="AJ122" s="96">
        <f t="shared" si="65"/>
        <v>6.670736265377411E-3</v>
      </c>
      <c r="AK122" s="95">
        <f t="shared" si="66"/>
        <v>3.6512322006418962E-2</v>
      </c>
      <c r="AL122" s="95">
        <f t="shared" si="67"/>
        <v>9.1864396835225973E-2</v>
      </c>
      <c r="AM122" s="94">
        <f t="shared" si="68"/>
        <v>0.25840757224609362</v>
      </c>
      <c r="AN122" s="93">
        <f t="shared" si="69"/>
        <v>2.2574154476938855</v>
      </c>
      <c r="AO122" s="96">
        <f t="shared" si="70"/>
        <v>1.1340251651141598E-2</v>
      </c>
      <c r="AP122" s="95">
        <f t="shared" si="71"/>
        <v>6.2070947410912222E-2</v>
      </c>
      <c r="AQ122" s="93">
        <f t="shared" si="72"/>
        <v>0.29297605747060768</v>
      </c>
      <c r="AR122" s="31">
        <v>1.7</v>
      </c>
      <c r="AS122" s="31">
        <v>1.7</v>
      </c>
      <c r="AT122" s="31">
        <v>7</v>
      </c>
      <c r="AU122" s="43">
        <v>7.0000000000000007E-2</v>
      </c>
      <c r="AV122" s="44">
        <v>0.31</v>
      </c>
      <c r="AW122" s="19">
        <v>1.9E-2</v>
      </c>
      <c r="AX122" s="44">
        <v>0.13</v>
      </c>
      <c r="AY122" s="40">
        <v>6.5244820816790936</v>
      </c>
      <c r="AZ122" s="41">
        <v>0.5</v>
      </c>
      <c r="BA122" s="40">
        <v>0.72</v>
      </c>
      <c r="BB122" s="45">
        <v>1</v>
      </c>
      <c r="BC122" s="41">
        <v>36.032702923699006</v>
      </c>
      <c r="BD122" s="41">
        <v>30.217491767106107</v>
      </c>
      <c r="BE122" s="41">
        <v>33.74980530919489</v>
      </c>
      <c r="BF122" s="125">
        <v>1</v>
      </c>
      <c r="BG122" s="48">
        <f t="shared" si="94"/>
        <v>3.7835013783543842E-3</v>
      </c>
      <c r="BH122" s="48">
        <f t="shared" si="95"/>
        <v>3.7835013783543842E-3</v>
      </c>
      <c r="BI122" s="99">
        <f t="shared" si="96"/>
        <v>1.3632978117764925E-3</v>
      </c>
      <c r="BJ122" s="99">
        <f t="shared" si="97"/>
        <v>1.143279217512582E-3</v>
      </c>
      <c r="BK122" s="48">
        <f t="shared" si="98"/>
        <v>1.2769243490653099E-3</v>
      </c>
      <c r="BL122" s="99">
        <f t="shared" si="73"/>
        <v>1.7988118134550478E-4</v>
      </c>
      <c r="BM122" s="48">
        <f t="shared" si="74"/>
        <v>7.060143002404584E-4</v>
      </c>
      <c r="BN122" s="48">
        <f t="shared" si="75"/>
        <v>1.9435746697713894E-3</v>
      </c>
      <c r="BO122" s="48">
        <f t="shared" si="76"/>
        <v>2.1707713934110266E-3</v>
      </c>
      <c r="BP122" s="99">
        <f t="shared" si="77"/>
        <v>3.0579800828735813E-4</v>
      </c>
      <c r="BQ122" s="48">
        <f t="shared" si="78"/>
        <v>1.2002243104087791E-3</v>
      </c>
      <c r="BR122" s="40">
        <f t="shared" si="79"/>
        <v>0.66250194690805109</v>
      </c>
      <c r="BS122" s="31">
        <v>1.7</v>
      </c>
      <c r="BT122" s="31">
        <v>1.7</v>
      </c>
      <c r="BU122" s="43">
        <v>0.13500000000000001</v>
      </c>
      <c r="BV122" s="44">
        <v>0.45</v>
      </c>
      <c r="BW122" s="19">
        <v>0.02</v>
      </c>
      <c r="BX122" s="44">
        <v>0.15</v>
      </c>
      <c r="BY122" s="40">
        <v>16.695000578259251</v>
      </c>
      <c r="BZ122" s="40">
        <v>0.52</v>
      </c>
      <c r="CA122" s="40">
        <v>0.65</v>
      </c>
      <c r="CB122" s="45">
        <v>1</v>
      </c>
      <c r="CC122" s="41">
        <v>15.539799260670925</v>
      </c>
      <c r="CD122" s="41">
        <v>33.786348047063377</v>
      </c>
      <c r="CE122" s="41">
        <v>50.673852692265697</v>
      </c>
      <c r="CF122" s="125">
        <v>1</v>
      </c>
      <c r="CG122" s="40">
        <f t="shared" si="99"/>
        <v>2.1930410792513809E-2</v>
      </c>
      <c r="CH122" s="40">
        <f t="shared" si="100"/>
        <v>2.1930410792513809E-2</v>
      </c>
      <c r="CI122" s="99">
        <f t="shared" si="101"/>
        <v>3.4079418141971574E-3</v>
      </c>
      <c r="CJ122" s="100">
        <f t="shared" si="102"/>
        <v>7.4094849185094647E-3</v>
      </c>
      <c r="CK122" s="100">
        <f t="shared" si="103"/>
        <v>1.1112984059807186E-2</v>
      </c>
      <c r="CL122" s="101">
        <f t="shared" si="80"/>
        <v>5.7420399823555825E-4</v>
      </c>
      <c r="CM122" s="100">
        <f t="shared" si="81"/>
        <v>3.8897930845239173E-3</v>
      </c>
      <c r="CN122" s="100">
        <f t="shared" si="82"/>
        <v>1.259612436146609E-2</v>
      </c>
      <c r="CO122" s="100">
        <f t="shared" si="83"/>
        <v>1.8892072901672215E-2</v>
      </c>
      <c r="CP122" s="101">
        <f t="shared" si="84"/>
        <v>9.7614679700044893E-4</v>
      </c>
      <c r="CQ122" s="100">
        <f t="shared" si="85"/>
        <v>6.6126482436906584E-3</v>
      </c>
      <c r="CR122" s="99">
        <f t="shared" si="86"/>
        <v>0.49326147307734303</v>
      </c>
      <c r="CS122" s="31">
        <v>1.7</v>
      </c>
      <c r="CT122" s="31">
        <v>1.7</v>
      </c>
      <c r="CU122" s="43">
        <v>0.04</v>
      </c>
      <c r="CV122" s="44">
        <v>0.3</v>
      </c>
      <c r="CW122" s="19">
        <v>2.5000000000000001E-2</v>
      </c>
      <c r="CX122" s="44">
        <v>0.15</v>
      </c>
    </row>
    <row r="123" spans="1:103" s="23" customFormat="1" x14ac:dyDescent="0.25">
      <c r="A123" s="31">
        <v>109</v>
      </c>
      <c r="B123" s="83">
        <v>3</v>
      </c>
      <c r="C123" s="31">
        <v>110</v>
      </c>
      <c r="D123" s="31" t="s">
        <v>26</v>
      </c>
      <c r="E123" s="31" t="s">
        <v>99</v>
      </c>
      <c r="F123" s="31" t="s">
        <v>13</v>
      </c>
      <c r="G123" s="31" t="str">
        <f t="shared" si="87"/>
        <v>Statlig 110 - 3 B</v>
      </c>
      <c r="H123" s="48">
        <f t="shared" si="53"/>
        <v>0.16327450426354514</v>
      </c>
      <c r="I123" s="40">
        <f t="shared" si="54"/>
        <v>0.24070585957028587</v>
      </c>
      <c r="J123" s="99">
        <f t="shared" si="55"/>
        <v>1.3720852271673908E-2</v>
      </c>
      <c r="K123" s="48">
        <f t="shared" si="56"/>
        <v>6.2590644627331452E-2</v>
      </c>
      <c r="L123" s="48">
        <f t="shared" si="57"/>
        <v>0.16439436267128052</v>
      </c>
      <c r="M123" s="48">
        <f t="shared" si="88"/>
        <v>0.3224879210991265</v>
      </c>
      <c r="N123" s="99">
        <f t="shared" si="58"/>
        <v>7.4248214449584736E-3</v>
      </c>
      <c r="O123" s="48">
        <f t="shared" si="59"/>
        <v>4.1108129391183336E-2</v>
      </c>
      <c r="P123" s="48">
        <f t="shared" si="60"/>
        <v>0.10640409586646346</v>
      </c>
      <c r="Q123" s="48">
        <f t="shared" si="61"/>
        <v>0.27947041654117688</v>
      </c>
      <c r="R123" s="40">
        <f t="shared" si="89"/>
        <v>2.2574154476938855</v>
      </c>
      <c r="S123" s="99">
        <f t="shared" si="62"/>
        <v>1.2622196456429405E-2</v>
      </c>
      <c r="T123" s="48">
        <f t="shared" si="63"/>
        <v>6.9883819965011668E-2</v>
      </c>
      <c r="U123" s="40">
        <v>10.032000000000002</v>
      </c>
      <c r="V123" s="40">
        <v>1.25</v>
      </c>
      <c r="W123" s="40">
        <v>0.45</v>
      </c>
      <c r="X123" s="40">
        <v>1.5628890813044325</v>
      </c>
      <c r="Y123" s="42">
        <v>4.1627664449559276</v>
      </c>
      <c r="Z123" s="42">
        <v>25.13483930210484</v>
      </c>
      <c r="AA123" s="42">
        <v>70.702394252939229</v>
      </c>
      <c r="AB123" s="42">
        <v>1.5</v>
      </c>
      <c r="AC123" s="125">
        <v>1</v>
      </c>
      <c r="AD123" s="94">
        <f t="shared" si="90"/>
        <v>0.13756059209267696</v>
      </c>
      <c r="AE123" s="94">
        <f t="shared" si="91"/>
        <v>0.21499194739941768</v>
      </c>
      <c r="AF123" s="96">
        <f t="shared" si="64"/>
        <v>8.949612645700258E-3</v>
      </c>
      <c r="AG123" s="95">
        <f t="shared" si="104"/>
        <v>5.4037880491309399E-2</v>
      </c>
      <c r="AH123" s="94">
        <f t="shared" si="92"/>
        <v>0.15200445426240802</v>
      </c>
      <c r="AI123" s="94">
        <f t="shared" si="93"/>
        <v>0.3224879210991265</v>
      </c>
      <c r="AJ123" s="96">
        <f t="shared" si="65"/>
        <v>6.670736265377411E-3</v>
      </c>
      <c r="AK123" s="95">
        <f t="shared" si="66"/>
        <v>3.6512322006418962E-2</v>
      </c>
      <c r="AL123" s="95">
        <f t="shared" si="67"/>
        <v>9.1864396835225973E-2</v>
      </c>
      <c r="AM123" s="94">
        <f t="shared" si="68"/>
        <v>0.25840757224609362</v>
      </c>
      <c r="AN123" s="93">
        <f t="shared" si="69"/>
        <v>2.2574154476938855</v>
      </c>
      <c r="AO123" s="96">
        <f t="shared" si="70"/>
        <v>1.1340251651141598E-2</v>
      </c>
      <c r="AP123" s="95">
        <f t="shared" si="71"/>
        <v>6.2070947410912222E-2</v>
      </c>
      <c r="AQ123" s="93">
        <f t="shared" si="72"/>
        <v>0.29297605747060768</v>
      </c>
      <c r="AR123" s="31">
        <v>1.7</v>
      </c>
      <c r="AS123" s="31">
        <v>1.7</v>
      </c>
      <c r="AT123" s="31">
        <v>7</v>
      </c>
      <c r="AU123" s="43">
        <v>7.0000000000000007E-2</v>
      </c>
      <c r="AV123" s="44">
        <v>0.31</v>
      </c>
      <c r="AW123" s="19">
        <v>1.9E-2</v>
      </c>
      <c r="AX123" s="44">
        <v>0.13</v>
      </c>
      <c r="AY123" s="40">
        <v>6.5244820816790936</v>
      </c>
      <c r="AZ123" s="41">
        <v>0.5</v>
      </c>
      <c r="BA123" s="40">
        <v>0.72</v>
      </c>
      <c r="BB123" s="45">
        <v>1</v>
      </c>
      <c r="BC123" s="41">
        <v>36.032702923699006</v>
      </c>
      <c r="BD123" s="41">
        <v>30.217491767106107</v>
      </c>
      <c r="BE123" s="41">
        <v>33.74980530919489</v>
      </c>
      <c r="BF123" s="125">
        <v>1</v>
      </c>
      <c r="BG123" s="48">
        <f t="shared" si="94"/>
        <v>3.7835013783543842E-3</v>
      </c>
      <c r="BH123" s="48">
        <f t="shared" si="95"/>
        <v>3.7835013783543842E-3</v>
      </c>
      <c r="BI123" s="99">
        <f t="shared" si="96"/>
        <v>1.3632978117764925E-3</v>
      </c>
      <c r="BJ123" s="99">
        <f t="shared" si="97"/>
        <v>1.143279217512582E-3</v>
      </c>
      <c r="BK123" s="48">
        <f t="shared" si="98"/>
        <v>1.2769243490653099E-3</v>
      </c>
      <c r="BL123" s="99">
        <f t="shared" si="73"/>
        <v>1.7988118134550478E-4</v>
      </c>
      <c r="BM123" s="48">
        <f t="shared" si="74"/>
        <v>7.060143002404584E-4</v>
      </c>
      <c r="BN123" s="48">
        <f t="shared" si="75"/>
        <v>1.9435746697713894E-3</v>
      </c>
      <c r="BO123" s="48">
        <f t="shared" si="76"/>
        <v>2.1707713934110266E-3</v>
      </c>
      <c r="BP123" s="99">
        <f t="shared" si="77"/>
        <v>3.0579800828735813E-4</v>
      </c>
      <c r="BQ123" s="48">
        <f t="shared" si="78"/>
        <v>1.2002243104087791E-3</v>
      </c>
      <c r="BR123" s="40">
        <f t="shared" si="79"/>
        <v>0.66250194690805109</v>
      </c>
      <c r="BS123" s="31">
        <v>1.7</v>
      </c>
      <c r="BT123" s="31">
        <v>1.7</v>
      </c>
      <c r="BU123" s="43">
        <v>0.13500000000000001</v>
      </c>
      <c r="BV123" s="44">
        <v>0.45</v>
      </c>
      <c r="BW123" s="19">
        <v>0.02</v>
      </c>
      <c r="BX123" s="44">
        <v>0.15</v>
      </c>
      <c r="BY123" s="40">
        <v>16.695000578259251</v>
      </c>
      <c r="BZ123" s="40">
        <v>0.52</v>
      </c>
      <c r="CA123" s="40">
        <v>0.65</v>
      </c>
      <c r="CB123" s="45">
        <v>1</v>
      </c>
      <c r="CC123" s="41">
        <v>15.539799260670925</v>
      </c>
      <c r="CD123" s="41">
        <v>33.786348047063377</v>
      </c>
      <c r="CE123" s="41">
        <v>50.673852692265697</v>
      </c>
      <c r="CF123" s="125">
        <v>1</v>
      </c>
      <c r="CG123" s="40">
        <f t="shared" si="99"/>
        <v>2.1930410792513809E-2</v>
      </c>
      <c r="CH123" s="40">
        <f t="shared" si="100"/>
        <v>2.1930410792513809E-2</v>
      </c>
      <c r="CI123" s="99">
        <f t="shared" si="101"/>
        <v>3.4079418141971574E-3</v>
      </c>
      <c r="CJ123" s="100">
        <f t="shared" si="102"/>
        <v>7.4094849185094647E-3</v>
      </c>
      <c r="CK123" s="100">
        <f t="shared" si="103"/>
        <v>1.1112984059807186E-2</v>
      </c>
      <c r="CL123" s="101">
        <f t="shared" si="80"/>
        <v>5.7420399823555825E-4</v>
      </c>
      <c r="CM123" s="100">
        <f t="shared" si="81"/>
        <v>3.8897930845239173E-3</v>
      </c>
      <c r="CN123" s="100">
        <f t="shared" si="82"/>
        <v>1.259612436146609E-2</v>
      </c>
      <c r="CO123" s="100">
        <f t="shared" si="83"/>
        <v>1.8892072901672215E-2</v>
      </c>
      <c r="CP123" s="101">
        <f t="shared" si="84"/>
        <v>9.7614679700044893E-4</v>
      </c>
      <c r="CQ123" s="100">
        <f t="shared" si="85"/>
        <v>6.6126482436906584E-3</v>
      </c>
      <c r="CR123" s="99">
        <f t="shared" si="86"/>
        <v>0.49326147307734303</v>
      </c>
      <c r="CS123" s="31">
        <v>1.7</v>
      </c>
      <c r="CT123" s="31">
        <v>1.7</v>
      </c>
      <c r="CU123" s="43">
        <v>0.04</v>
      </c>
      <c r="CV123" s="44">
        <v>0.3</v>
      </c>
      <c r="CW123" s="19">
        <v>2.5000000000000001E-2</v>
      </c>
      <c r="CX123" s="44">
        <v>0.15</v>
      </c>
    </row>
    <row r="124" spans="1:103" s="23" customFormat="1" x14ac:dyDescent="0.25">
      <c r="A124" s="31">
        <v>110</v>
      </c>
      <c r="B124" s="83">
        <v>3</v>
      </c>
      <c r="C124" s="31">
        <v>110</v>
      </c>
      <c r="D124" s="31" t="s">
        <v>26</v>
      </c>
      <c r="E124" s="31" t="s">
        <v>99</v>
      </c>
      <c r="F124" s="31" t="s">
        <v>70</v>
      </c>
      <c r="G124" s="31" t="str">
        <f t="shared" si="87"/>
        <v>Statlig 110 - 3 Ck</v>
      </c>
      <c r="H124" s="48">
        <f t="shared" si="53"/>
        <v>0.16327450426354514</v>
      </c>
      <c r="I124" s="40">
        <f t="shared" si="54"/>
        <v>0.24070585957028587</v>
      </c>
      <c r="J124" s="99">
        <f t="shared" si="55"/>
        <v>1.3720852271673908E-2</v>
      </c>
      <c r="K124" s="48">
        <f t="shared" si="56"/>
        <v>6.2590644627331452E-2</v>
      </c>
      <c r="L124" s="48">
        <f t="shared" si="57"/>
        <v>0.16439436267128052</v>
      </c>
      <c r="M124" s="48">
        <f t="shared" si="88"/>
        <v>0.3224879210991265</v>
      </c>
      <c r="N124" s="99">
        <f t="shared" si="58"/>
        <v>7.4248214449584736E-3</v>
      </c>
      <c r="O124" s="48">
        <f t="shared" si="59"/>
        <v>4.1108129391183336E-2</v>
      </c>
      <c r="P124" s="48">
        <f t="shared" si="60"/>
        <v>0.10640409586646346</v>
      </c>
      <c r="Q124" s="48">
        <f t="shared" si="61"/>
        <v>0.27947041654117688</v>
      </c>
      <c r="R124" s="40">
        <f t="shared" si="89"/>
        <v>2.2574154476938855</v>
      </c>
      <c r="S124" s="99">
        <f t="shared" si="62"/>
        <v>1.2622196456429405E-2</v>
      </c>
      <c r="T124" s="48">
        <f t="shared" si="63"/>
        <v>6.9883819965011668E-2</v>
      </c>
      <c r="U124" s="40">
        <v>10.032000000000002</v>
      </c>
      <c r="V124" s="40">
        <v>1.25</v>
      </c>
      <c r="W124" s="40">
        <v>0.45</v>
      </c>
      <c r="X124" s="40">
        <v>1.5628890813044325</v>
      </c>
      <c r="Y124" s="42">
        <v>4.1627664449559276</v>
      </c>
      <c r="Z124" s="42">
        <v>25.13483930210484</v>
      </c>
      <c r="AA124" s="42">
        <v>70.702394252939229</v>
      </c>
      <c r="AB124" s="42">
        <v>1.5</v>
      </c>
      <c r="AC124" s="125">
        <v>1</v>
      </c>
      <c r="AD124" s="94">
        <f t="shared" si="90"/>
        <v>0.13756059209267696</v>
      </c>
      <c r="AE124" s="94">
        <f t="shared" si="91"/>
        <v>0.21499194739941768</v>
      </c>
      <c r="AF124" s="96">
        <f t="shared" si="64"/>
        <v>8.949612645700258E-3</v>
      </c>
      <c r="AG124" s="95">
        <f t="shared" si="104"/>
        <v>5.4037880491309399E-2</v>
      </c>
      <c r="AH124" s="94">
        <f t="shared" si="92"/>
        <v>0.15200445426240802</v>
      </c>
      <c r="AI124" s="94">
        <f t="shared" si="93"/>
        <v>0.3224879210991265</v>
      </c>
      <c r="AJ124" s="96">
        <f t="shared" si="65"/>
        <v>6.670736265377411E-3</v>
      </c>
      <c r="AK124" s="95">
        <f t="shared" si="66"/>
        <v>3.6512322006418962E-2</v>
      </c>
      <c r="AL124" s="95">
        <f t="shared" si="67"/>
        <v>9.1864396835225973E-2</v>
      </c>
      <c r="AM124" s="94">
        <f t="shared" si="68"/>
        <v>0.25840757224609362</v>
      </c>
      <c r="AN124" s="93">
        <f t="shared" si="69"/>
        <v>2.2574154476938855</v>
      </c>
      <c r="AO124" s="96">
        <f t="shared" si="70"/>
        <v>1.1340251651141598E-2</v>
      </c>
      <c r="AP124" s="95">
        <f t="shared" si="71"/>
        <v>6.2070947410912222E-2</v>
      </c>
      <c r="AQ124" s="93">
        <f t="shared" si="72"/>
        <v>0.29297605747060768</v>
      </c>
      <c r="AR124" s="31">
        <v>1.7</v>
      </c>
      <c r="AS124" s="31">
        <v>1.7</v>
      </c>
      <c r="AT124" s="31">
        <v>7</v>
      </c>
      <c r="AU124" s="43">
        <v>7.0000000000000007E-2</v>
      </c>
      <c r="AV124" s="44">
        <v>0.31</v>
      </c>
      <c r="AW124" s="19">
        <v>1.9E-2</v>
      </c>
      <c r="AX124" s="44">
        <v>0.13</v>
      </c>
      <c r="AY124" s="40">
        <v>6.5244820816790936</v>
      </c>
      <c r="AZ124" s="41">
        <v>0.5</v>
      </c>
      <c r="BA124" s="40">
        <v>0.72</v>
      </c>
      <c r="BB124" s="45">
        <v>1</v>
      </c>
      <c r="BC124" s="41">
        <v>36.032702923699006</v>
      </c>
      <c r="BD124" s="41">
        <v>30.217491767106107</v>
      </c>
      <c r="BE124" s="41">
        <v>33.74980530919489</v>
      </c>
      <c r="BF124" s="125">
        <v>1</v>
      </c>
      <c r="BG124" s="48">
        <f t="shared" si="94"/>
        <v>3.7835013783543842E-3</v>
      </c>
      <c r="BH124" s="48">
        <f t="shared" si="95"/>
        <v>3.7835013783543842E-3</v>
      </c>
      <c r="BI124" s="99">
        <f t="shared" si="96"/>
        <v>1.3632978117764925E-3</v>
      </c>
      <c r="BJ124" s="99">
        <f t="shared" si="97"/>
        <v>1.143279217512582E-3</v>
      </c>
      <c r="BK124" s="48">
        <f t="shared" si="98"/>
        <v>1.2769243490653099E-3</v>
      </c>
      <c r="BL124" s="99">
        <f t="shared" si="73"/>
        <v>1.7988118134550478E-4</v>
      </c>
      <c r="BM124" s="48">
        <f t="shared" si="74"/>
        <v>7.060143002404584E-4</v>
      </c>
      <c r="BN124" s="48">
        <f t="shared" si="75"/>
        <v>1.9435746697713894E-3</v>
      </c>
      <c r="BO124" s="48">
        <f t="shared" si="76"/>
        <v>2.1707713934110266E-3</v>
      </c>
      <c r="BP124" s="99">
        <f t="shared" si="77"/>
        <v>3.0579800828735813E-4</v>
      </c>
      <c r="BQ124" s="48">
        <f t="shared" si="78"/>
        <v>1.2002243104087791E-3</v>
      </c>
      <c r="BR124" s="40">
        <f t="shared" si="79"/>
        <v>0.66250194690805109</v>
      </c>
      <c r="BS124" s="31">
        <v>1.7</v>
      </c>
      <c r="BT124" s="31">
        <v>1.7</v>
      </c>
      <c r="BU124" s="43">
        <v>0.13500000000000001</v>
      </c>
      <c r="BV124" s="44">
        <v>0.45</v>
      </c>
      <c r="BW124" s="19">
        <v>0.02</v>
      </c>
      <c r="BX124" s="44">
        <v>0.15</v>
      </c>
      <c r="BY124" s="40">
        <v>16.695000578259251</v>
      </c>
      <c r="BZ124" s="40">
        <v>0.52</v>
      </c>
      <c r="CA124" s="40">
        <v>0.65</v>
      </c>
      <c r="CB124" s="45">
        <v>1</v>
      </c>
      <c r="CC124" s="41">
        <v>15.539799260670925</v>
      </c>
      <c r="CD124" s="41">
        <v>33.786348047063377</v>
      </c>
      <c r="CE124" s="41">
        <v>50.673852692265697</v>
      </c>
      <c r="CF124" s="125">
        <v>1</v>
      </c>
      <c r="CG124" s="40">
        <f t="shared" si="99"/>
        <v>2.1930410792513809E-2</v>
      </c>
      <c r="CH124" s="40">
        <f t="shared" si="100"/>
        <v>2.1930410792513809E-2</v>
      </c>
      <c r="CI124" s="99">
        <f t="shared" si="101"/>
        <v>3.4079418141971574E-3</v>
      </c>
      <c r="CJ124" s="100">
        <f t="shared" si="102"/>
        <v>7.4094849185094647E-3</v>
      </c>
      <c r="CK124" s="100">
        <f t="shared" si="103"/>
        <v>1.1112984059807186E-2</v>
      </c>
      <c r="CL124" s="101">
        <f t="shared" si="80"/>
        <v>5.7420399823555825E-4</v>
      </c>
      <c r="CM124" s="100">
        <f t="shared" si="81"/>
        <v>3.8897930845239173E-3</v>
      </c>
      <c r="CN124" s="100">
        <f t="shared" si="82"/>
        <v>1.259612436146609E-2</v>
      </c>
      <c r="CO124" s="100">
        <f t="shared" si="83"/>
        <v>1.8892072901672215E-2</v>
      </c>
      <c r="CP124" s="101">
        <f t="shared" si="84"/>
        <v>9.7614679700044893E-4</v>
      </c>
      <c r="CQ124" s="100">
        <f t="shared" si="85"/>
        <v>6.6126482436906584E-3</v>
      </c>
      <c r="CR124" s="99">
        <f t="shared" si="86"/>
        <v>0.49326147307734303</v>
      </c>
      <c r="CS124" s="31">
        <v>1.7</v>
      </c>
      <c r="CT124" s="31">
        <v>1.7</v>
      </c>
      <c r="CU124" s="43">
        <v>0.04</v>
      </c>
      <c r="CV124" s="44">
        <v>0.3</v>
      </c>
      <c r="CW124" s="19">
        <v>2.5000000000000001E-2</v>
      </c>
      <c r="CX124" s="44">
        <v>0.15</v>
      </c>
    </row>
    <row r="125" spans="1:103" s="23" customFormat="1" x14ac:dyDescent="0.25">
      <c r="A125" s="31">
        <v>111</v>
      </c>
      <c r="B125" s="83">
        <v>3</v>
      </c>
      <c r="C125" s="31">
        <v>110</v>
      </c>
      <c r="D125" s="31" t="s">
        <v>26</v>
      </c>
      <c r="E125" s="31" t="s">
        <v>99</v>
      </c>
      <c r="F125" s="31" t="s">
        <v>71</v>
      </c>
      <c r="G125" s="31" t="str">
        <f t="shared" si="87"/>
        <v>Statlig 110 - 3 Cm</v>
      </c>
      <c r="H125" s="48">
        <f t="shared" si="53"/>
        <v>0.14264041544964359</v>
      </c>
      <c r="I125" s="40">
        <f t="shared" si="54"/>
        <v>0.20845706746037321</v>
      </c>
      <c r="J125" s="99">
        <f t="shared" si="55"/>
        <v>1.2378410374818868E-2</v>
      </c>
      <c r="K125" s="48">
        <f t="shared" si="56"/>
        <v>5.4484962553635018E-2</v>
      </c>
      <c r="L125" s="48">
        <f t="shared" si="57"/>
        <v>0.14159369453191933</v>
      </c>
      <c r="M125" s="48">
        <f t="shared" si="88"/>
        <v>0.27411473293425753</v>
      </c>
      <c r="N125" s="99">
        <f t="shared" si="58"/>
        <v>6.4242110051518607E-3</v>
      </c>
      <c r="O125" s="48">
        <f t="shared" si="59"/>
        <v>3.5631281090220485E-2</v>
      </c>
      <c r="P125" s="48">
        <f t="shared" si="60"/>
        <v>9.2624436341179534E-2</v>
      </c>
      <c r="Q125" s="48">
        <f t="shared" si="61"/>
        <v>0.24070928070426284</v>
      </c>
      <c r="R125" s="40">
        <f t="shared" si="89"/>
        <v>1.9188031305398028</v>
      </c>
      <c r="S125" s="99">
        <f t="shared" si="62"/>
        <v>1.0921158708758162E-2</v>
      </c>
      <c r="T125" s="48">
        <f t="shared" si="63"/>
        <v>6.0573177853374828E-2</v>
      </c>
      <c r="U125" s="40">
        <v>8.5272000000000023</v>
      </c>
      <c r="V125" s="40">
        <v>1.25</v>
      </c>
      <c r="W125" s="40">
        <v>0.45</v>
      </c>
      <c r="X125" s="40">
        <v>1.5628890813044327</v>
      </c>
      <c r="Y125" s="42">
        <v>4.1627664449559276</v>
      </c>
      <c r="Z125" s="42">
        <v>25.134839302104833</v>
      </c>
      <c r="AA125" s="42">
        <v>70.702394252939243</v>
      </c>
      <c r="AB125" s="42">
        <v>1.5</v>
      </c>
      <c r="AC125" s="125">
        <v>1</v>
      </c>
      <c r="AD125" s="94">
        <f t="shared" si="90"/>
        <v>0.11692650327877541</v>
      </c>
      <c r="AE125" s="94">
        <f t="shared" si="91"/>
        <v>0.18274315528950502</v>
      </c>
      <c r="AF125" s="96">
        <f t="shared" si="64"/>
        <v>7.6071707488452192E-3</v>
      </c>
      <c r="AG125" s="95">
        <f t="shared" si="104"/>
        <v>4.5932198417612972E-2</v>
      </c>
      <c r="AH125" s="94">
        <f t="shared" si="92"/>
        <v>0.12920378612304684</v>
      </c>
      <c r="AI125" s="94">
        <f t="shared" si="93"/>
        <v>0.27411473293425753</v>
      </c>
      <c r="AJ125" s="96">
        <f t="shared" si="65"/>
        <v>5.6701258255707982E-3</v>
      </c>
      <c r="AK125" s="95">
        <f t="shared" si="66"/>
        <v>3.1035473705456111E-2</v>
      </c>
      <c r="AL125" s="95">
        <f t="shared" si="67"/>
        <v>7.8084737309942046E-2</v>
      </c>
      <c r="AM125" s="94">
        <f t="shared" si="68"/>
        <v>0.21964643640917961</v>
      </c>
      <c r="AN125" s="93">
        <f t="shared" si="69"/>
        <v>1.9188031305398028</v>
      </c>
      <c r="AO125" s="96">
        <f t="shared" si="70"/>
        <v>9.6392139034703547E-3</v>
      </c>
      <c r="AP125" s="95">
        <f t="shared" si="71"/>
        <v>5.276030529927539E-2</v>
      </c>
      <c r="AQ125" s="93">
        <f t="shared" si="72"/>
        <v>0.29297605747060756</v>
      </c>
      <c r="AR125" s="31">
        <v>1.7</v>
      </c>
      <c r="AS125" s="31">
        <v>1.7</v>
      </c>
      <c r="AT125" s="31">
        <v>7</v>
      </c>
      <c r="AU125" s="43">
        <v>7.0000000000000007E-2</v>
      </c>
      <c r="AV125" s="44">
        <v>0.31</v>
      </c>
      <c r="AW125" s="19">
        <v>1.9E-2</v>
      </c>
      <c r="AX125" s="44">
        <v>0.13</v>
      </c>
      <c r="AY125" s="40">
        <v>6.5244820816790936</v>
      </c>
      <c r="AZ125" s="41">
        <v>0.5</v>
      </c>
      <c r="BA125" s="40">
        <v>0.72</v>
      </c>
      <c r="BB125" s="45">
        <v>1</v>
      </c>
      <c r="BC125" s="41">
        <v>36.032702923699006</v>
      </c>
      <c r="BD125" s="41">
        <v>30.217491767106107</v>
      </c>
      <c r="BE125" s="41">
        <v>33.74980530919489</v>
      </c>
      <c r="BF125" s="125">
        <v>1</v>
      </c>
      <c r="BG125" s="48">
        <f t="shared" si="94"/>
        <v>3.7835013783543842E-3</v>
      </c>
      <c r="BH125" s="48">
        <f t="shared" si="95"/>
        <v>3.7835013783543842E-3</v>
      </c>
      <c r="BI125" s="99">
        <f t="shared" si="96"/>
        <v>1.3632978117764925E-3</v>
      </c>
      <c r="BJ125" s="99">
        <f t="shared" si="97"/>
        <v>1.143279217512582E-3</v>
      </c>
      <c r="BK125" s="48">
        <f t="shared" si="98"/>
        <v>1.2769243490653099E-3</v>
      </c>
      <c r="BL125" s="99">
        <f t="shared" si="73"/>
        <v>1.7988118134550478E-4</v>
      </c>
      <c r="BM125" s="48">
        <f t="shared" si="74"/>
        <v>7.060143002404584E-4</v>
      </c>
      <c r="BN125" s="48">
        <f t="shared" si="75"/>
        <v>1.9435746697713894E-3</v>
      </c>
      <c r="BO125" s="48">
        <f t="shared" si="76"/>
        <v>2.1707713934110266E-3</v>
      </c>
      <c r="BP125" s="99">
        <f t="shared" si="77"/>
        <v>3.0579800828735813E-4</v>
      </c>
      <c r="BQ125" s="48">
        <f t="shared" si="78"/>
        <v>1.2002243104087791E-3</v>
      </c>
      <c r="BR125" s="40">
        <f t="shared" si="79"/>
        <v>0.66250194690805109</v>
      </c>
      <c r="BS125" s="31">
        <v>1.7</v>
      </c>
      <c r="BT125" s="31">
        <v>1.7</v>
      </c>
      <c r="BU125" s="43">
        <v>0.13500000000000001</v>
      </c>
      <c r="BV125" s="44">
        <v>0.45</v>
      </c>
      <c r="BW125" s="19">
        <v>0.02</v>
      </c>
      <c r="BX125" s="44">
        <v>0.15</v>
      </c>
      <c r="BY125" s="40">
        <v>16.695000578259251</v>
      </c>
      <c r="BZ125" s="40">
        <v>0.52</v>
      </c>
      <c r="CA125" s="40">
        <v>0.65</v>
      </c>
      <c r="CB125" s="45">
        <v>1</v>
      </c>
      <c r="CC125" s="41">
        <v>15.539799260670925</v>
      </c>
      <c r="CD125" s="41">
        <v>33.786348047063377</v>
      </c>
      <c r="CE125" s="41">
        <v>50.673852692265697</v>
      </c>
      <c r="CF125" s="125">
        <v>1</v>
      </c>
      <c r="CG125" s="40">
        <f t="shared" si="99"/>
        <v>2.1930410792513809E-2</v>
      </c>
      <c r="CH125" s="40">
        <f t="shared" si="100"/>
        <v>2.1930410792513809E-2</v>
      </c>
      <c r="CI125" s="99">
        <f t="shared" si="101"/>
        <v>3.4079418141971574E-3</v>
      </c>
      <c r="CJ125" s="100">
        <f t="shared" si="102"/>
        <v>7.4094849185094647E-3</v>
      </c>
      <c r="CK125" s="100">
        <f t="shared" si="103"/>
        <v>1.1112984059807186E-2</v>
      </c>
      <c r="CL125" s="101">
        <f t="shared" si="80"/>
        <v>5.7420399823555825E-4</v>
      </c>
      <c r="CM125" s="100">
        <f t="shared" si="81"/>
        <v>3.8897930845239173E-3</v>
      </c>
      <c r="CN125" s="100">
        <f t="shared" si="82"/>
        <v>1.259612436146609E-2</v>
      </c>
      <c r="CO125" s="100">
        <f t="shared" si="83"/>
        <v>1.8892072901672215E-2</v>
      </c>
      <c r="CP125" s="101">
        <f t="shared" si="84"/>
        <v>9.7614679700044893E-4</v>
      </c>
      <c r="CQ125" s="100">
        <f t="shared" si="85"/>
        <v>6.6126482436906584E-3</v>
      </c>
      <c r="CR125" s="99">
        <f t="shared" si="86"/>
        <v>0.49326147307734303</v>
      </c>
      <c r="CS125" s="31">
        <v>1.7</v>
      </c>
      <c r="CT125" s="31">
        <v>1.7</v>
      </c>
      <c r="CU125" s="43">
        <v>0.04</v>
      </c>
      <c r="CV125" s="44">
        <v>0.3</v>
      </c>
      <c r="CW125" s="19">
        <v>2.5000000000000001E-2</v>
      </c>
      <c r="CX125" s="44">
        <v>0.15</v>
      </c>
    </row>
    <row r="126" spans="1:103" s="23" customFormat="1" x14ac:dyDescent="0.25">
      <c r="A126" s="31">
        <v>112</v>
      </c>
      <c r="B126" s="83">
        <v>3</v>
      </c>
      <c r="C126" s="31">
        <v>110</v>
      </c>
      <c r="D126" s="31" t="s">
        <v>26</v>
      </c>
      <c r="E126" s="31" t="s">
        <v>99</v>
      </c>
      <c r="F126" s="31" t="s">
        <v>64</v>
      </c>
      <c r="G126" s="31" t="str">
        <f t="shared" si="87"/>
        <v>Statlig 110 - 3 F</v>
      </c>
      <c r="H126" s="48">
        <f t="shared" si="53"/>
        <v>7.2140612002146678E-2</v>
      </c>
      <c r="I126" s="40">
        <f t="shared" si="54"/>
        <v>8.9159732678660814E-2</v>
      </c>
      <c r="J126" s="99">
        <f t="shared" si="55"/>
        <v>5.8121484198427886E-3</v>
      </c>
      <c r="K126" s="48">
        <f t="shared" si="56"/>
        <v>1.960974583655151E-2</v>
      </c>
      <c r="L126" s="48">
        <f t="shared" si="57"/>
        <v>6.3737838422266505E-2</v>
      </c>
      <c r="M126" s="48">
        <f t="shared" si="88"/>
        <v>0.14804024785151612</v>
      </c>
      <c r="N126" s="99">
        <f t="shared" si="58"/>
        <v>2.5036845688726117E-3</v>
      </c>
      <c r="O126" s="48">
        <f t="shared" si="59"/>
        <v>1.4698702613669731E-2</v>
      </c>
      <c r="P126" s="48">
        <f t="shared" si="60"/>
        <v>3.3336567922137565E-2</v>
      </c>
      <c r="Q126" s="48">
        <f t="shared" si="61"/>
        <v>0.10835432531785306</v>
      </c>
      <c r="R126" s="40">
        <f t="shared" si="89"/>
        <v>1.0362817349606128</v>
      </c>
      <c r="S126" s="99">
        <f t="shared" si="62"/>
        <v>4.2562637670834399E-3</v>
      </c>
      <c r="T126" s="48">
        <f t="shared" si="63"/>
        <v>2.4987794443238544E-2</v>
      </c>
      <c r="U126" s="40">
        <v>3.3858000000000015</v>
      </c>
      <c r="V126" s="40">
        <v>1.25</v>
      </c>
      <c r="W126" s="40">
        <v>0.45</v>
      </c>
      <c r="X126" s="40">
        <v>1.3665804534538128</v>
      </c>
      <c r="Y126" s="42">
        <v>1.6406262627516817</v>
      </c>
      <c r="Z126" s="42">
        <v>17.427439052776393</v>
      </c>
      <c r="AA126" s="42">
        <v>80.931934684471912</v>
      </c>
      <c r="AB126" s="42">
        <v>2.3333333333333335</v>
      </c>
      <c r="AC126" s="125">
        <v>1</v>
      </c>
      <c r="AD126" s="94">
        <f t="shared" si="90"/>
        <v>4.6426699831278485E-2</v>
      </c>
      <c r="AE126" s="94">
        <f t="shared" si="91"/>
        <v>6.3445820507792614E-2</v>
      </c>
      <c r="AF126" s="96">
        <f t="shared" si="64"/>
        <v>1.0409087938691381E-3</v>
      </c>
      <c r="AG126" s="95">
        <f t="shared" si="104"/>
        <v>1.1056981700529463E-2</v>
      </c>
      <c r="AH126" s="94">
        <f t="shared" si="92"/>
        <v>5.1347930013394008E-2</v>
      </c>
      <c r="AI126" s="94">
        <f t="shared" si="93"/>
        <v>0.14804024785151612</v>
      </c>
      <c r="AJ126" s="96">
        <f t="shared" si="65"/>
        <v>1.7495993892915488E-3</v>
      </c>
      <c r="AK126" s="95">
        <f t="shared" si="66"/>
        <v>1.0102895228905355E-2</v>
      </c>
      <c r="AL126" s="95">
        <f t="shared" si="67"/>
        <v>1.8796868890900088E-2</v>
      </c>
      <c r="AM126" s="94">
        <f t="shared" si="68"/>
        <v>8.7291481022769818E-2</v>
      </c>
      <c r="AN126" s="93">
        <f t="shared" si="69"/>
        <v>1.0362817349606128</v>
      </c>
      <c r="AO126" s="96">
        <f t="shared" si="70"/>
        <v>2.9743189617956328E-3</v>
      </c>
      <c r="AP126" s="95">
        <f t="shared" si="71"/>
        <v>1.7174921889139105E-2</v>
      </c>
      <c r="AQ126" s="93">
        <f t="shared" si="72"/>
        <v>0.19068065315528077</v>
      </c>
      <c r="AR126" s="31">
        <v>1.7</v>
      </c>
      <c r="AS126" s="31">
        <v>1.7</v>
      </c>
      <c r="AT126" s="31">
        <v>7</v>
      </c>
      <c r="AU126" s="43">
        <v>7.0000000000000007E-2</v>
      </c>
      <c r="AV126" s="44">
        <v>0.31</v>
      </c>
      <c r="AW126" s="19">
        <v>1.9E-2</v>
      </c>
      <c r="AX126" s="44">
        <v>0.13</v>
      </c>
      <c r="AY126" s="40">
        <v>6.5244820816790945</v>
      </c>
      <c r="AZ126" s="41">
        <v>0.5</v>
      </c>
      <c r="BA126" s="40">
        <v>0.72</v>
      </c>
      <c r="BB126" s="45">
        <v>1</v>
      </c>
      <c r="BC126" s="41">
        <v>36.032702923698999</v>
      </c>
      <c r="BD126" s="41">
        <v>30.217491767106107</v>
      </c>
      <c r="BE126" s="41">
        <v>33.74980530919489</v>
      </c>
      <c r="BF126" s="125">
        <v>1</v>
      </c>
      <c r="BG126" s="48">
        <f t="shared" si="94"/>
        <v>3.7835013783543846E-3</v>
      </c>
      <c r="BH126" s="48">
        <f t="shared" si="95"/>
        <v>3.7835013783543846E-3</v>
      </c>
      <c r="BI126" s="99">
        <f t="shared" si="96"/>
        <v>1.363297811776492E-3</v>
      </c>
      <c r="BJ126" s="99">
        <f t="shared" si="97"/>
        <v>1.1432792175125822E-3</v>
      </c>
      <c r="BK126" s="48">
        <f t="shared" si="98"/>
        <v>1.2769243490653099E-3</v>
      </c>
      <c r="BL126" s="99">
        <f t="shared" si="73"/>
        <v>1.7988118134550481E-4</v>
      </c>
      <c r="BM126" s="48">
        <f t="shared" si="74"/>
        <v>7.0601430024045851E-4</v>
      </c>
      <c r="BN126" s="48">
        <f t="shared" si="75"/>
        <v>1.9435746697713898E-3</v>
      </c>
      <c r="BO126" s="48">
        <f t="shared" si="76"/>
        <v>2.1707713934110266E-3</v>
      </c>
      <c r="BP126" s="99">
        <f t="shared" si="77"/>
        <v>3.0579800828735819E-4</v>
      </c>
      <c r="BQ126" s="48">
        <f t="shared" si="78"/>
        <v>1.2002243104087796E-3</v>
      </c>
      <c r="BR126" s="40">
        <f t="shared" si="79"/>
        <v>0.66250194690805098</v>
      </c>
      <c r="BS126" s="31">
        <v>1.7</v>
      </c>
      <c r="BT126" s="31">
        <v>1.7</v>
      </c>
      <c r="BU126" s="43">
        <v>0.13500000000000001</v>
      </c>
      <c r="BV126" s="44">
        <v>0.45</v>
      </c>
      <c r="BW126" s="19">
        <v>0.02</v>
      </c>
      <c r="BX126" s="44">
        <v>0.15</v>
      </c>
      <c r="BY126" s="40">
        <v>16.695000578259251</v>
      </c>
      <c r="BZ126" s="40">
        <v>0.52</v>
      </c>
      <c r="CA126" s="40">
        <v>0.65</v>
      </c>
      <c r="CB126" s="45">
        <v>1</v>
      </c>
      <c r="CC126" s="41">
        <v>15.539799260670929</v>
      </c>
      <c r="CD126" s="41">
        <v>33.78634804706337</v>
      </c>
      <c r="CE126" s="41">
        <v>50.673852692265697</v>
      </c>
      <c r="CF126" s="125">
        <v>1</v>
      </c>
      <c r="CG126" s="40">
        <f t="shared" si="99"/>
        <v>2.1930410792513809E-2</v>
      </c>
      <c r="CH126" s="40">
        <f t="shared" si="100"/>
        <v>2.1930410792513809E-2</v>
      </c>
      <c r="CI126" s="99">
        <f t="shared" si="101"/>
        <v>3.4079418141971583E-3</v>
      </c>
      <c r="CJ126" s="100">
        <f t="shared" si="102"/>
        <v>7.4094849185094638E-3</v>
      </c>
      <c r="CK126" s="100">
        <f t="shared" si="103"/>
        <v>1.1112984059807186E-2</v>
      </c>
      <c r="CL126" s="101">
        <f t="shared" si="80"/>
        <v>5.7420399823555814E-4</v>
      </c>
      <c r="CM126" s="100">
        <f t="shared" si="81"/>
        <v>3.8897930845239173E-3</v>
      </c>
      <c r="CN126" s="100">
        <f t="shared" si="82"/>
        <v>1.2596124361466088E-2</v>
      </c>
      <c r="CO126" s="100">
        <f t="shared" si="83"/>
        <v>1.8892072901672215E-2</v>
      </c>
      <c r="CP126" s="101">
        <f t="shared" si="84"/>
        <v>9.7614679700044893E-4</v>
      </c>
      <c r="CQ126" s="100">
        <f t="shared" si="85"/>
        <v>6.6126482436906584E-3</v>
      </c>
      <c r="CR126" s="99">
        <f t="shared" si="86"/>
        <v>0.49326147307734303</v>
      </c>
      <c r="CS126" s="31">
        <v>1.7</v>
      </c>
      <c r="CT126" s="31">
        <v>1.7</v>
      </c>
      <c r="CU126" s="43">
        <v>0.04</v>
      </c>
      <c r="CV126" s="44">
        <v>0.3</v>
      </c>
      <c r="CW126" s="19">
        <v>2.5000000000000001E-2</v>
      </c>
      <c r="CX126" s="44">
        <v>0.15</v>
      </c>
    </row>
    <row r="127" spans="1:103" s="27" customFormat="1" x14ac:dyDescent="0.25">
      <c r="A127" s="31">
        <v>113</v>
      </c>
      <c r="B127" s="84" t="s">
        <v>91</v>
      </c>
      <c r="C127" s="19">
        <v>40</v>
      </c>
      <c r="D127" s="31" t="s">
        <v>36</v>
      </c>
      <c r="E127" s="31" t="s">
        <v>4</v>
      </c>
      <c r="F127" s="31" t="s">
        <v>12</v>
      </c>
      <c r="G127" s="31" t="str">
        <f t="shared" si="87"/>
        <v>Kommunal 40 C 4L A</v>
      </c>
      <c r="H127" s="48">
        <f t="shared" si="53"/>
        <v>8.333268347525466E-2</v>
      </c>
      <c r="I127" s="40">
        <f t="shared" si="54"/>
        <v>7.4233411172773739E-2</v>
      </c>
      <c r="J127" s="99">
        <f t="shared" si="55"/>
        <v>6.1943672852910413E-4</v>
      </c>
      <c r="K127" s="48">
        <f t="shared" si="56"/>
        <v>1.2657803831117781E-2</v>
      </c>
      <c r="L127" s="48">
        <f t="shared" si="57"/>
        <v>6.0956170613126859E-2</v>
      </c>
      <c r="M127" s="48">
        <f t="shared" si="88"/>
        <v>0.12549460135036955</v>
      </c>
      <c r="N127" s="99">
        <f t="shared" si="58"/>
        <v>2.2421273890426826E-3</v>
      </c>
      <c r="O127" s="48">
        <f t="shared" si="59"/>
        <v>1.2638038424738837E-2</v>
      </c>
      <c r="P127" s="48">
        <f t="shared" si="60"/>
        <v>1.8986705746676671E-2</v>
      </c>
      <c r="Q127" s="48">
        <f t="shared" si="61"/>
        <v>9.1434255919690302E-2</v>
      </c>
      <c r="R127" s="40">
        <f t="shared" si="89"/>
        <v>0.87846220945258691</v>
      </c>
      <c r="S127" s="99">
        <f t="shared" si="62"/>
        <v>3.3631910835640244E-3</v>
      </c>
      <c r="T127" s="48">
        <f t="shared" si="63"/>
        <v>1.8957057637108254E-2</v>
      </c>
      <c r="U127" s="44">
        <v>1.1026477440000002</v>
      </c>
      <c r="V127" s="19">
        <v>1.45</v>
      </c>
      <c r="W127" s="46">
        <v>0.6</v>
      </c>
      <c r="X127" s="44">
        <v>0.84441875974571101</v>
      </c>
      <c r="Y127" s="46">
        <v>0.70597856203922871</v>
      </c>
      <c r="Z127" s="46">
        <v>14.586561093428779</v>
      </c>
      <c r="AA127" s="46">
        <v>84.707460344532009</v>
      </c>
      <c r="AB127" s="46">
        <v>2.5410764872521248</v>
      </c>
      <c r="AC127" s="125">
        <v>1</v>
      </c>
      <c r="AD127" s="94">
        <f t="shared" si="90"/>
        <v>5.848566503010684E-2</v>
      </c>
      <c r="AE127" s="94">
        <f t="shared" si="91"/>
        <v>4.9386392727625919E-2</v>
      </c>
      <c r="AF127" s="96">
        <f t="shared" si="64"/>
        <v>3.4865734522153966E-4</v>
      </c>
      <c r="AG127" s="95">
        <f t="shared" si="104"/>
        <v>7.2037763470558227E-3</v>
      </c>
      <c r="AH127" s="94">
        <f t="shared" si="92"/>
        <v>4.1833959035348568E-2</v>
      </c>
      <c r="AI127" s="94">
        <f t="shared" si="93"/>
        <v>0.12549460135036955</v>
      </c>
      <c r="AJ127" s="96">
        <f t="shared" si="65"/>
        <v>1.2644793832772374E-3</v>
      </c>
      <c r="AK127" s="95">
        <f t="shared" si="66"/>
        <v>7.4554720517709446E-3</v>
      </c>
      <c r="AL127" s="95">
        <f t="shared" si="67"/>
        <v>1.0805664520583734E-2</v>
      </c>
      <c r="AM127" s="94">
        <f t="shared" si="68"/>
        <v>6.2750938553022856E-2</v>
      </c>
      <c r="AN127" s="93">
        <f t="shared" si="69"/>
        <v>0.87846220945258691</v>
      </c>
      <c r="AO127" s="96">
        <f t="shared" si="70"/>
        <v>1.8967190749158563E-3</v>
      </c>
      <c r="AP127" s="95">
        <f t="shared" si="71"/>
        <v>1.1183208077656416E-2</v>
      </c>
      <c r="AQ127" s="93">
        <f t="shared" si="72"/>
        <v>0.15292539655468007</v>
      </c>
      <c r="AR127" s="31">
        <v>1.5</v>
      </c>
      <c r="AS127" s="31">
        <v>1.5</v>
      </c>
      <c r="AT127" s="31">
        <v>7</v>
      </c>
      <c r="AU127" s="43">
        <v>7.0999999999999994E-2</v>
      </c>
      <c r="AV127" s="44">
        <v>0.28000000000000003</v>
      </c>
      <c r="AW127" s="43">
        <v>1.7999999999999999E-2</v>
      </c>
      <c r="AX127" s="44">
        <v>0.13</v>
      </c>
      <c r="AY127" s="44">
        <v>7.3400000000000007</v>
      </c>
      <c r="AZ127" s="46">
        <v>0.5</v>
      </c>
      <c r="BA127" s="44">
        <v>0.72</v>
      </c>
      <c r="BB127" s="47">
        <v>1</v>
      </c>
      <c r="BC127" s="46">
        <v>2.8979862246705479</v>
      </c>
      <c r="BD127" s="47">
        <v>22.894025067660387</v>
      </c>
      <c r="BE127" s="47">
        <v>74.20798870766906</v>
      </c>
      <c r="BF127" s="125">
        <v>1</v>
      </c>
      <c r="BG127" s="48">
        <f t="shared" si="94"/>
        <v>4.2564144968843661E-3</v>
      </c>
      <c r="BH127" s="48">
        <f t="shared" si="95"/>
        <v>4.2564144968843661E-3</v>
      </c>
      <c r="BI127" s="99">
        <f t="shared" si="96"/>
        <v>1.2335030578458913E-4</v>
      </c>
      <c r="BJ127" s="99">
        <f t="shared" si="97"/>
        <v>9.7446460190023741E-4</v>
      </c>
      <c r="BK127" s="48">
        <f t="shared" si="98"/>
        <v>3.1585995891995396E-3</v>
      </c>
      <c r="BL127" s="99">
        <f t="shared" si="73"/>
        <v>1.9445586578911909E-4</v>
      </c>
      <c r="BM127" s="48">
        <f t="shared" si="74"/>
        <v>1.0409950506380077E-3</v>
      </c>
      <c r="BN127" s="48">
        <f t="shared" si="75"/>
        <v>1.4616969028503561E-3</v>
      </c>
      <c r="BO127" s="48">
        <f t="shared" si="76"/>
        <v>4.7378993837993095E-3</v>
      </c>
      <c r="BP127" s="99">
        <f t="shared" si="77"/>
        <v>2.9168379868367859E-4</v>
      </c>
      <c r="BQ127" s="48">
        <f t="shared" si="78"/>
        <v>1.5614925759570115E-3</v>
      </c>
      <c r="BR127" s="40">
        <f t="shared" si="79"/>
        <v>0.2579201129233093</v>
      </c>
      <c r="BS127" s="31">
        <v>1.5</v>
      </c>
      <c r="BT127" s="31">
        <v>1.5</v>
      </c>
      <c r="BU127" s="43">
        <v>0.125</v>
      </c>
      <c r="BV127" s="44">
        <v>0.42</v>
      </c>
      <c r="BW127" s="43">
        <v>2.3E-2</v>
      </c>
      <c r="BX127" s="44">
        <v>0.2</v>
      </c>
      <c r="BY127" s="44">
        <v>15.675043576489315</v>
      </c>
      <c r="BZ127" s="44">
        <v>0.52</v>
      </c>
      <c r="CA127" s="44">
        <v>0.65</v>
      </c>
      <c r="CB127" s="47">
        <v>1</v>
      </c>
      <c r="CC127" s="46">
        <v>0.71600171560489412</v>
      </c>
      <c r="CD127" s="46">
        <v>21.755373924034487</v>
      </c>
      <c r="CE127" s="46">
        <v>77.528624360360624</v>
      </c>
      <c r="CF127" s="125">
        <v>1</v>
      </c>
      <c r="CG127" s="40">
        <f t="shared" si="99"/>
        <v>2.0590603948263449E-2</v>
      </c>
      <c r="CH127" s="40">
        <f t="shared" si="100"/>
        <v>2.0590603948263449E-2</v>
      </c>
      <c r="CI127" s="99">
        <f t="shared" si="101"/>
        <v>1.4742907752297537E-4</v>
      </c>
      <c r="CJ127" s="100">
        <f t="shared" si="102"/>
        <v>4.4795628821617224E-3</v>
      </c>
      <c r="CK127" s="100">
        <f t="shared" si="103"/>
        <v>1.5963611988578753E-2</v>
      </c>
      <c r="CL127" s="101">
        <f t="shared" si="80"/>
        <v>7.8319213997632615E-4</v>
      </c>
      <c r="CM127" s="100">
        <f t="shared" si="81"/>
        <v>4.1415713223298851E-3</v>
      </c>
      <c r="CN127" s="100">
        <f t="shared" si="82"/>
        <v>6.7193443232425841E-3</v>
      </c>
      <c r="CO127" s="100">
        <f t="shared" si="83"/>
        <v>2.3945417982868131E-2</v>
      </c>
      <c r="CP127" s="101">
        <f t="shared" si="84"/>
        <v>1.1747882099644893E-3</v>
      </c>
      <c r="CQ127" s="100">
        <f t="shared" si="85"/>
        <v>6.2123569834948277E-3</v>
      </c>
      <c r="CR127" s="99">
        <f t="shared" si="86"/>
        <v>0.22471375639639382</v>
      </c>
      <c r="CS127" s="31">
        <v>1.5</v>
      </c>
      <c r="CT127" s="31">
        <v>1.5</v>
      </c>
      <c r="CU127" s="43">
        <v>0.1</v>
      </c>
      <c r="CV127" s="44">
        <v>0.39</v>
      </c>
      <c r="CW127" s="43">
        <v>2.1000000000000001E-2</v>
      </c>
      <c r="CX127" s="44">
        <v>0.15</v>
      </c>
    </row>
    <row r="128" spans="1:103" s="27" customFormat="1" x14ac:dyDescent="0.25">
      <c r="A128" s="31">
        <v>114</v>
      </c>
      <c r="B128" s="84" t="s">
        <v>91</v>
      </c>
      <c r="C128" s="19">
        <v>40</v>
      </c>
      <c r="D128" s="31" t="s">
        <v>36</v>
      </c>
      <c r="E128" s="31" t="s">
        <v>4</v>
      </c>
      <c r="F128" s="31" t="s">
        <v>13</v>
      </c>
      <c r="G128" s="31" t="str">
        <f t="shared" si="87"/>
        <v>Kommunal 40 C 4L B</v>
      </c>
      <c r="H128" s="48">
        <f t="shared" si="53"/>
        <v>7.9815162719976074E-2</v>
      </c>
      <c r="I128" s="40">
        <f t="shared" si="54"/>
        <v>7.1170854032619191E-2</v>
      </c>
      <c r="J128" s="99">
        <f t="shared" si="55"/>
        <v>5.8481192012909918E-4</v>
      </c>
      <c r="K128" s="48">
        <f t="shared" si="56"/>
        <v>1.2161799070940383E-2</v>
      </c>
      <c r="L128" s="48">
        <f t="shared" si="57"/>
        <v>5.8424243041549709E-2</v>
      </c>
      <c r="M128" s="48">
        <f t="shared" si="88"/>
        <v>0.11921987128285107</v>
      </c>
      <c r="N128" s="99">
        <f t="shared" si="58"/>
        <v>2.1518011457701217E-3</v>
      </c>
      <c r="O128" s="48">
        <f t="shared" si="59"/>
        <v>1.2120176202202012E-2</v>
      </c>
      <c r="P128" s="48">
        <f t="shared" si="60"/>
        <v>1.8242698606410576E-2</v>
      </c>
      <c r="Q128" s="48">
        <f t="shared" si="61"/>
        <v>8.763636456232457E-2</v>
      </c>
      <c r="R128" s="40">
        <f t="shared" si="89"/>
        <v>0.83453909897995748</v>
      </c>
      <c r="S128" s="99">
        <f t="shared" si="62"/>
        <v>3.2277017186551822E-3</v>
      </c>
      <c r="T128" s="48">
        <f t="shared" si="63"/>
        <v>1.818026430330302E-2</v>
      </c>
      <c r="U128" s="44">
        <v>1.0475153568000002</v>
      </c>
      <c r="V128" s="19">
        <v>1.45</v>
      </c>
      <c r="W128" s="46">
        <v>0.6</v>
      </c>
      <c r="X128" s="44">
        <v>0.8444187597457109</v>
      </c>
      <c r="Y128" s="46">
        <v>0.7059785620392286</v>
      </c>
      <c r="Z128" s="46">
        <v>14.586561093428779</v>
      </c>
      <c r="AA128" s="46">
        <v>84.707460344531995</v>
      </c>
      <c r="AB128" s="46">
        <v>2.5410764872521252</v>
      </c>
      <c r="AC128" s="125">
        <v>1</v>
      </c>
      <c r="AD128" s="94">
        <f t="shared" si="90"/>
        <v>5.5561381778601489E-2</v>
      </c>
      <c r="AE128" s="94">
        <f t="shared" si="91"/>
        <v>4.6917073091244613E-2</v>
      </c>
      <c r="AF128" s="96">
        <f t="shared" si="64"/>
        <v>3.3122447796046258E-4</v>
      </c>
      <c r="AG128" s="95">
        <f t="shared" si="104"/>
        <v>6.8435875297030305E-3</v>
      </c>
      <c r="AH128" s="94">
        <f t="shared" si="92"/>
        <v>3.9742261083581122E-2</v>
      </c>
      <c r="AI128" s="94">
        <f t="shared" si="93"/>
        <v>0.11921987128285107</v>
      </c>
      <c r="AJ128" s="96">
        <f t="shared" si="65"/>
        <v>1.2012554141133753E-3</v>
      </c>
      <c r="AK128" s="95">
        <f t="shared" si="66"/>
        <v>7.0826984491823954E-3</v>
      </c>
      <c r="AL128" s="95">
        <f t="shared" si="67"/>
        <v>1.0265381294554546E-2</v>
      </c>
      <c r="AM128" s="94">
        <f t="shared" si="68"/>
        <v>5.9613391625371687E-2</v>
      </c>
      <c r="AN128" s="93">
        <f t="shared" si="69"/>
        <v>0.83453909897995748</v>
      </c>
      <c r="AO128" s="96">
        <f t="shared" si="70"/>
        <v>1.8018831211700629E-3</v>
      </c>
      <c r="AP128" s="95">
        <f t="shared" si="71"/>
        <v>1.0624047673773594E-2</v>
      </c>
      <c r="AQ128" s="93">
        <f t="shared" si="72"/>
        <v>0.1529253965546801</v>
      </c>
      <c r="AR128" s="31">
        <v>1.5</v>
      </c>
      <c r="AS128" s="31">
        <v>1.5</v>
      </c>
      <c r="AT128" s="31">
        <v>7</v>
      </c>
      <c r="AU128" s="43">
        <v>7.0999999999999994E-2</v>
      </c>
      <c r="AV128" s="44">
        <v>0.28000000000000003</v>
      </c>
      <c r="AW128" s="43">
        <v>1.7999999999999999E-2</v>
      </c>
      <c r="AX128" s="44">
        <v>0.13</v>
      </c>
      <c r="AY128" s="44">
        <v>6.3169879599642167</v>
      </c>
      <c r="AZ128" s="46">
        <v>0.5</v>
      </c>
      <c r="BA128" s="44">
        <v>0.72</v>
      </c>
      <c r="BB128" s="47">
        <v>1</v>
      </c>
      <c r="BC128" s="46">
        <v>2.8979862246705479</v>
      </c>
      <c r="BD128" s="47">
        <v>22.894025067660387</v>
      </c>
      <c r="BE128" s="47">
        <v>74.20798870766906</v>
      </c>
      <c r="BF128" s="125">
        <v>1</v>
      </c>
      <c r="BG128" s="48">
        <f t="shared" si="94"/>
        <v>3.6631769931111291E-3</v>
      </c>
      <c r="BH128" s="48">
        <f t="shared" si="95"/>
        <v>3.6631769931111291E-3</v>
      </c>
      <c r="BI128" s="99">
        <f t="shared" si="96"/>
        <v>1.061583646456613E-4</v>
      </c>
      <c r="BJ128" s="99">
        <f t="shared" si="97"/>
        <v>8.386486590756299E-4</v>
      </c>
      <c r="BK128" s="48">
        <f t="shared" si="98"/>
        <v>2.7183699693898379E-3</v>
      </c>
      <c r="BL128" s="99">
        <f t="shared" si="73"/>
        <v>1.6735359168042001E-4</v>
      </c>
      <c r="BM128" s="48">
        <f t="shared" si="74"/>
        <v>8.9590643068973217E-4</v>
      </c>
      <c r="BN128" s="48">
        <f t="shared" si="75"/>
        <v>1.2579729886134448E-3</v>
      </c>
      <c r="BO128" s="48">
        <f t="shared" si="76"/>
        <v>4.0775549540847571E-3</v>
      </c>
      <c r="BP128" s="99">
        <f t="shared" si="77"/>
        <v>2.5103038752063002E-4</v>
      </c>
      <c r="BQ128" s="48">
        <f t="shared" si="78"/>
        <v>1.3438596460345984E-3</v>
      </c>
      <c r="BR128" s="40">
        <f t="shared" si="79"/>
        <v>0.25792011292330935</v>
      </c>
      <c r="BS128" s="31">
        <v>1.5</v>
      </c>
      <c r="BT128" s="31">
        <v>1.5</v>
      </c>
      <c r="BU128" s="43">
        <v>0.125</v>
      </c>
      <c r="BV128" s="44">
        <v>0.42</v>
      </c>
      <c r="BW128" s="43">
        <v>2.3E-2</v>
      </c>
      <c r="BX128" s="44">
        <v>0.2</v>
      </c>
      <c r="BY128" s="44">
        <v>15.675043576489315</v>
      </c>
      <c r="BZ128" s="44">
        <v>0.52</v>
      </c>
      <c r="CA128" s="44">
        <v>0.65</v>
      </c>
      <c r="CB128" s="47">
        <v>1</v>
      </c>
      <c r="CC128" s="46">
        <v>0.71600171560489412</v>
      </c>
      <c r="CD128" s="46">
        <v>21.755373924034487</v>
      </c>
      <c r="CE128" s="46">
        <v>77.528624360360624</v>
      </c>
      <c r="CF128" s="125">
        <v>1</v>
      </c>
      <c r="CG128" s="40">
        <f t="shared" si="99"/>
        <v>2.0590603948263449E-2</v>
      </c>
      <c r="CH128" s="40">
        <f t="shared" si="100"/>
        <v>2.0590603948263449E-2</v>
      </c>
      <c r="CI128" s="99">
        <f t="shared" si="101"/>
        <v>1.4742907752297537E-4</v>
      </c>
      <c r="CJ128" s="100">
        <f t="shared" si="102"/>
        <v>4.4795628821617224E-3</v>
      </c>
      <c r="CK128" s="100">
        <f t="shared" si="103"/>
        <v>1.5963611988578753E-2</v>
      </c>
      <c r="CL128" s="101">
        <f t="shared" si="80"/>
        <v>7.8319213997632615E-4</v>
      </c>
      <c r="CM128" s="100">
        <f t="shared" si="81"/>
        <v>4.1415713223298851E-3</v>
      </c>
      <c r="CN128" s="100">
        <f t="shared" si="82"/>
        <v>6.7193443232425841E-3</v>
      </c>
      <c r="CO128" s="100">
        <f t="shared" si="83"/>
        <v>2.3945417982868131E-2</v>
      </c>
      <c r="CP128" s="101">
        <f t="shared" si="84"/>
        <v>1.1747882099644893E-3</v>
      </c>
      <c r="CQ128" s="100">
        <f t="shared" si="85"/>
        <v>6.2123569834948277E-3</v>
      </c>
      <c r="CR128" s="99">
        <f t="shared" si="86"/>
        <v>0.22471375639639382</v>
      </c>
      <c r="CS128" s="31">
        <v>1.5</v>
      </c>
      <c r="CT128" s="31">
        <v>1.5</v>
      </c>
      <c r="CU128" s="43">
        <v>0.1</v>
      </c>
      <c r="CV128" s="44">
        <v>0.39</v>
      </c>
      <c r="CW128" s="43">
        <v>2.1000000000000001E-2</v>
      </c>
      <c r="CX128" s="44">
        <v>0.15</v>
      </c>
    </row>
    <row r="129" spans="1:102" s="27" customFormat="1" x14ac:dyDescent="0.25">
      <c r="A129" s="31">
        <v>115</v>
      </c>
      <c r="B129" s="84" t="s">
        <v>91</v>
      </c>
      <c r="C129" s="19">
        <v>40</v>
      </c>
      <c r="D129" s="31" t="s">
        <v>36</v>
      </c>
      <c r="E129" s="31" t="s">
        <v>4</v>
      </c>
      <c r="F129" s="31" t="s">
        <v>70</v>
      </c>
      <c r="G129" s="31" t="str">
        <f t="shared" si="87"/>
        <v>Kommunal 40 C 4L Ck</v>
      </c>
      <c r="H129" s="48">
        <f t="shared" si="53"/>
        <v>7.689087946847073E-2</v>
      </c>
      <c r="I129" s="40">
        <f t="shared" si="54"/>
        <v>6.8701534396237898E-2</v>
      </c>
      <c r="J129" s="99">
        <f t="shared" si="55"/>
        <v>5.6737905286802215E-4</v>
      </c>
      <c r="K129" s="48">
        <f t="shared" si="56"/>
        <v>1.1801610253587589E-2</v>
      </c>
      <c r="L129" s="48">
        <f t="shared" si="57"/>
        <v>5.6332545089782277E-2</v>
      </c>
      <c r="M129" s="48">
        <f t="shared" si="88"/>
        <v>0.11294514121533256</v>
      </c>
      <c r="N129" s="99">
        <f t="shared" si="58"/>
        <v>2.0885771766062594E-3</v>
      </c>
      <c r="O129" s="48">
        <f t="shared" si="59"/>
        <v>1.1747402599613464E-2</v>
      </c>
      <c r="P129" s="48">
        <f t="shared" si="60"/>
        <v>1.7702415380381385E-2</v>
      </c>
      <c r="Q129" s="48">
        <f t="shared" si="61"/>
        <v>8.4498817634673429E-2</v>
      </c>
      <c r="R129" s="40">
        <f t="shared" si="89"/>
        <v>0.79061598850732784</v>
      </c>
      <c r="S129" s="99">
        <f t="shared" si="62"/>
        <v>3.1328657649093887E-3</v>
      </c>
      <c r="T129" s="48">
        <f t="shared" si="63"/>
        <v>1.7621103899420197E-2</v>
      </c>
      <c r="U129" s="44">
        <v>0.99238296959999994</v>
      </c>
      <c r="V129" s="19">
        <v>1.45</v>
      </c>
      <c r="W129" s="46">
        <v>0.6</v>
      </c>
      <c r="X129" s="44">
        <v>0.8444187597457109</v>
      </c>
      <c r="Y129" s="46">
        <v>0.70597856203922849</v>
      </c>
      <c r="Z129" s="46">
        <v>14.586561093428777</v>
      </c>
      <c r="AA129" s="46">
        <v>84.707460344531995</v>
      </c>
      <c r="AB129" s="46">
        <v>2.5410764872521248</v>
      </c>
      <c r="AC129" s="125">
        <v>1</v>
      </c>
      <c r="AD129" s="94">
        <f t="shared" si="90"/>
        <v>5.2637098527096145E-2</v>
      </c>
      <c r="AE129" s="94">
        <f t="shared" si="91"/>
        <v>4.4447753454863313E-2</v>
      </c>
      <c r="AF129" s="96">
        <f t="shared" si="64"/>
        <v>3.1379161069938549E-4</v>
      </c>
      <c r="AG129" s="95">
        <f t="shared" si="104"/>
        <v>6.4833987123502365E-3</v>
      </c>
      <c r="AH129" s="94">
        <f t="shared" si="92"/>
        <v>3.765056313181369E-2</v>
      </c>
      <c r="AI129" s="94">
        <f t="shared" si="93"/>
        <v>0.11294514121533256</v>
      </c>
      <c r="AJ129" s="96">
        <f t="shared" si="65"/>
        <v>1.1380314449495131E-3</v>
      </c>
      <c r="AK129" s="95">
        <f t="shared" si="66"/>
        <v>6.7099248465938462E-3</v>
      </c>
      <c r="AL129" s="95">
        <f t="shared" si="67"/>
        <v>9.7250980685253553E-3</v>
      </c>
      <c r="AM129" s="94">
        <f t="shared" si="68"/>
        <v>5.6475844697720531E-2</v>
      </c>
      <c r="AN129" s="93">
        <f t="shared" si="69"/>
        <v>0.79061598850732784</v>
      </c>
      <c r="AO129" s="96">
        <f t="shared" si="70"/>
        <v>1.7070471674242695E-3</v>
      </c>
      <c r="AP129" s="95">
        <f t="shared" si="71"/>
        <v>1.0064887269890769E-2</v>
      </c>
      <c r="AQ129" s="93">
        <f t="shared" si="72"/>
        <v>0.15292539655468004</v>
      </c>
      <c r="AR129" s="31">
        <v>1.5</v>
      </c>
      <c r="AS129" s="31">
        <v>1.5</v>
      </c>
      <c r="AT129" s="31">
        <v>7</v>
      </c>
      <c r="AU129" s="43">
        <v>7.0999999999999994E-2</v>
      </c>
      <c r="AV129" s="44">
        <v>0.28000000000000003</v>
      </c>
      <c r="AW129" s="43">
        <v>1.7999999999999999E-2</v>
      </c>
      <c r="AX129" s="44">
        <v>0.13</v>
      </c>
      <c r="AY129" s="44">
        <v>6.3169879599642167</v>
      </c>
      <c r="AZ129" s="46">
        <v>0.5</v>
      </c>
      <c r="BA129" s="44">
        <v>0.72</v>
      </c>
      <c r="BB129" s="47">
        <v>1</v>
      </c>
      <c r="BC129" s="46">
        <v>2.8979862246705479</v>
      </c>
      <c r="BD129" s="47">
        <v>22.894025067660387</v>
      </c>
      <c r="BE129" s="47">
        <v>74.20798870766906</v>
      </c>
      <c r="BF129" s="125">
        <v>1</v>
      </c>
      <c r="BG129" s="48">
        <f t="shared" si="94"/>
        <v>3.6631769931111291E-3</v>
      </c>
      <c r="BH129" s="48">
        <f t="shared" si="95"/>
        <v>3.6631769931111291E-3</v>
      </c>
      <c r="BI129" s="99">
        <f t="shared" si="96"/>
        <v>1.061583646456613E-4</v>
      </c>
      <c r="BJ129" s="99">
        <f t="shared" si="97"/>
        <v>8.386486590756299E-4</v>
      </c>
      <c r="BK129" s="48">
        <f t="shared" si="98"/>
        <v>2.7183699693898379E-3</v>
      </c>
      <c r="BL129" s="99">
        <f t="shared" si="73"/>
        <v>1.6735359168042001E-4</v>
      </c>
      <c r="BM129" s="48">
        <f t="shared" si="74"/>
        <v>8.9590643068973217E-4</v>
      </c>
      <c r="BN129" s="48">
        <f t="shared" si="75"/>
        <v>1.2579729886134448E-3</v>
      </c>
      <c r="BO129" s="48">
        <f t="shared" si="76"/>
        <v>4.0775549540847571E-3</v>
      </c>
      <c r="BP129" s="99">
        <f t="shared" si="77"/>
        <v>2.5103038752063002E-4</v>
      </c>
      <c r="BQ129" s="48">
        <f t="shared" si="78"/>
        <v>1.3438596460345984E-3</v>
      </c>
      <c r="BR129" s="40">
        <f t="shared" si="79"/>
        <v>0.25792011292330935</v>
      </c>
      <c r="BS129" s="31">
        <v>1.5</v>
      </c>
      <c r="BT129" s="31">
        <v>1.5</v>
      </c>
      <c r="BU129" s="43">
        <v>0.125</v>
      </c>
      <c r="BV129" s="44">
        <v>0.42</v>
      </c>
      <c r="BW129" s="43">
        <v>2.3E-2</v>
      </c>
      <c r="BX129" s="44">
        <v>0.2</v>
      </c>
      <c r="BY129" s="44">
        <v>15.675043576489315</v>
      </c>
      <c r="BZ129" s="44">
        <v>0.52</v>
      </c>
      <c r="CA129" s="44">
        <v>0.65</v>
      </c>
      <c r="CB129" s="47">
        <v>1</v>
      </c>
      <c r="CC129" s="46">
        <v>0.71600171560489412</v>
      </c>
      <c r="CD129" s="46">
        <v>21.755373924034487</v>
      </c>
      <c r="CE129" s="46">
        <v>77.528624360360624</v>
      </c>
      <c r="CF129" s="125">
        <v>1</v>
      </c>
      <c r="CG129" s="40">
        <f t="shared" si="99"/>
        <v>2.0590603948263449E-2</v>
      </c>
      <c r="CH129" s="40">
        <f t="shared" si="100"/>
        <v>2.0590603948263449E-2</v>
      </c>
      <c r="CI129" s="99">
        <f t="shared" si="101"/>
        <v>1.4742907752297537E-4</v>
      </c>
      <c r="CJ129" s="100">
        <f t="shared" si="102"/>
        <v>4.4795628821617224E-3</v>
      </c>
      <c r="CK129" s="100">
        <f t="shared" si="103"/>
        <v>1.5963611988578753E-2</v>
      </c>
      <c r="CL129" s="101">
        <f t="shared" si="80"/>
        <v>7.8319213997632615E-4</v>
      </c>
      <c r="CM129" s="100">
        <f t="shared" si="81"/>
        <v>4.1415713223298851E-3</v>
      </c>
      <c r="CN129" s="100">
        <f t="shared" si="82"/>
        <v>6.7193443232425841E-3</v>
      </c>
      <c r="CO129" s="100">
        <f t="shared" si="83"/>
        <v>2.3945417982868131E-2</v>
      </c>
      <c r="CP129" s="101">
        <f t="shared" si="84"/>
        <v>1.1747882099644893E-3</v>
      </c>
      <c r="CQ129" s="100">
        <f t="shared" si="85"/>
        <v>6.2123569834948277E-3</v>
      </c>
      <c r="CR129" s="99">
        <f t="shared" si="86"/>
        <v>0.22471375639639382</v>
      </c>
      <c r="CS129" s="31">
        <v>1.5</v>
      </c>
      <c r="CT129" s="31">
        <v>1.5</v>
      </c>
      <c r="CU129" s="43">
        <v>0.1</v>
      </c>
      <c r="CV129" s="44">
        <v>0.39</v>
      </c>
      <c r="CW129" s="43">
        <v>2.1000000000000001E-2</v>
      </c>
      <c r="CX129" s="44">
        <v>0.15</v>
      </c>
    </row>
    <row r="130" spans="1:102" s="27" customFormat="1" x14ac:dyDescent="0.25">
      <c r="A130" s="31">
        <v>116</v>
      </c>
      <c r="B130" s="84" t="s">
        <v>91</v>
      </c>
      <c r="C130" s="19">
        <v>40</v>
      </c>
      <c r="D130" s="31" t="s">
        <v>36</v>
      </c>
      <c r="E130" s="31" t="s">
        <v>4</v>
      </c>
      <c r="F130" s="31" t="s">
        <v>71</v>
      </c>
      <c r="G130" s="31" t="str">
        <f t="shared" si="87"/>
        <v>Kommunal 40 C 4L Cm</v>
      </c>
      <c r="H130" s="48">
        <f t="shared" si="53"/>
        <v>7.689087946847073E-2</v>
      </c>
      <c r="I130" s="40">
        <f t="shared" si="54"/>
        <v>6.8701534396237898E-2</v>
      </c>
      <c r="J130" s="99">
        <f t="shared" si="55"/>
        <v>5.6737905286802215E-4</v>
      </c>
      <c r="K130" s="48">
        <f t="shared" si="56"/>
        <v>1.1801610253587589E-2</v>
      </c>
      <c r="L130" s="48">
        <f t="shared" si="57"/>
        <v>5.6332545089782277E-2</v>
      </c>
      <c r="M130" s="48">
        <f t="shared" si="88"/>
        <v>0.11294514121533256</v>
      </c>
      <c r="N130" s="99">
        <f t="shared" si="58"/>
        <v>2.0885771766062594E-3</v>
      </c>
      <c r="O130" s="48">
        <f t="shared" si="59"/>
        <v>1.1747402599613464E-2</v>
      </c>
      <c r="P130" s="48">
        <f t="shared" si="60"/>
        <v>1.7702415380381385E-2</v>
      </c>
      <c r="Q130" s="48">
        <f t="shared" si="61"/>
        <v>8.4498817634673429E-2</v>
      </c>
      <c r="R130" s="40">
        <f t="shared" si="89"/>
        <v>0.79061598850732784</v>
      </c>
      <c r="S130" s="99">
        <f t="shared" si="62"/>
        <v>3.1328657649093887E-3</v>
      </c>
      <c r="T130" s="48">
        <f t="shared" si="63"/>
        <v>1.7621103899420197E-2</v>
      </c>
      <c r="U130" s="44">
        <v>0.99238296959999994</v>
      </c>
      <c r="V130" s="19">
        <v>1.45</v>
      </c>
      <c r="W130" s="46">
        <v>0.6</v>
      </c>
      <c r="X130" s="44">
        <v>0.8444187597457109</v>
      </c>
      <c r="Y130" s="46">
        <v>0.70597856203922849</v>
      </c>
      <c r="Z130" s="46">
        <v>14.586561093428777</v>
      </c>
      <c r="AA130" s="46">
        <v>84.707460344531995</v>
      </c>
      <c r="AB130" s="46">
        <v>2.5410764872521248</v>
      </c>
      <c r="AC130" s="125">
        <v>1</v>
      </c>
      <c r="AD130" s="94">
        <f t="shared" si="90"/>
        <v>5.2637098527096145E-2</v>
      </c>
      <c r="AE130" s="94">
        <f t="shared" si="91"/>
        <v>4.4447753454863313E-2</v>
      </c>
      <c r="AF130" s="96">
        <f t="shared" si="64"/>
        <v>3.1379161069938549E-4</v>
      </c>
      <c r="AG130" s="95">
        <f t="shared" si="104"/>
        <v>6.4833987123502365E-3</v>
      </c>
      <c r="AH130" s="94">
        <f t="shared" si="92"/>
        <v>3.765056313181369E-2</v>
      </c>
      <c r="AI130" s="94">
        <f t="shared" si="93"/>
        <v>0.11294514121533256</v>
      </c>
      <c r="AJ130" s="96">
        <f t="shared" si="65"/>
        <v>1.1380314449495131E-3</v>
      </c>
      <c r="AK130" s="95">
        <f t="shared" si="66"/>
        <v>6.7099248465938462E-3</v>
      </c>
      <c r="AL130" s="95">
        <f t="shared" si="67"/>
        <v>9.7250980685253553E-3</v>
      </c>
      <c r="AM130" s="94">
        <f t="shared" si="68"/>
        <v>5.6475844697720531E-2</v>
      </c>
      <c r="AN130" s="93">
        <f t="shared" si="69"/>
        <v>0.79061598850732784</v>
      </c>
      <c r="AO130" s="96">
        <f t="shared" si="70"/>
        <v>1.7070471674242695E-3</v>
      </c>
      <c r="AP130" s="95">
        <f t="shared" si="71"/>
        <v>1.0064887269890769E-2</v>
      </c>
      <c r="AQ130" s="93">
        <f t="shared" si="72"/>
        <v>0.15292539655468004</v>
      </c>
      <c r="AR130" s="31">
        <v>1.5</v>
      </c>
      <c r="AS130" s="31">
        <v>1.5</v>
      </c>
      <c r="AT130" s="31">
        <v>7</v>
      </c>
      <c r="AU130" s="43">
        <v>7.0999999999999994E-2</v>
      </c>
      <c r="AV130" s="44">
        <v>0.28000000000000003</v>
      </c>
      <c r="AW130" s="43">
        <v>1.7999999999999999E-2</v>
      </c>
      <c r="AX130" s="44">
        <v>0.13</v>
      </c>
      <c r="AY130" s="44">
        <v>6.3169879599642167</v>
      </c>
      <c r="AZ130" s="46">
        <v>0.5</v>
      </c>
      <c r="BA130" s="44">
        <v>0.72</v>
      </c>
      <c r="BB130" s="47">
        <v>1</v>
      </c>
      <c r="BC130" s="46">
        <v>2.8979862246705479</v>
      </c>
      <c r="BD130" s="47">
        <v>22.894025067660387</v>
      </c>
      <c r="BE130" s="47">
        <v>74.20798870766906</v>
      </c>
      <c r="BF130" s="125">
        <v>1</v>
      </c>
      <c r="BG130" s="48">
        <f t="shared" si="94"/>
        <v>3.6631769931111291E-3</v>
      </c>
      <c r="BH130" s="48">
        <f t="shared" si="95"/>
        <v>3.6631769931111291E-3</v>
      </c>
      <c r="BI130" s="99">
        <f t="shared" si="96"/>
        <v>1.061583646456613E-4</v>
      </c>
      <c r="BJ130" s="99">
        <f t="shared" si="97"/>
        <v>8.386486590756299E-4</v>
      </c>
      <c r="BK130" s="48">
        <f t="shared" si="98"/>
        <v>2.7183699693898379E-3</v>
      </c>
      <c r="BL130" s="99">
        <f t="shared" si="73"/>
        <v>1.6735359168042001E-4</v>
      </c>
      <c r="BM130" s="48">
        <f t="shared" si="74"/>
        <v>8.9590643068973217E-4</v>
      </c>
      <c r="BN130" s="48">
        <f t="shared" si="75"/>
        <v>1.2579729886134448E-3</v>
      </c>
      <c r="BO130" s="48">
        <f t="shared" si="76"/>
        <v>4.0775549540847571E-3</v>
      </c>
      <c r="BP130" s="99">
        <f t="shared" si="77"/>
        <v>2.5103038752063002E-4</v>
      </c>
      <c r="BQ130" s="48">
        <f t="shared" si="78"/>
        <v>1.3438596460345984E-3</v>
      </c>
      <c r="BR130" s="40">
        <f t="shared" si="79"/>
        <v>0.25792011292330935</v>
      </c>
      <c r="BS130" s="31">
        <v>1.5</v>
      </c>
      <c r="BT130" s="31">
        <v>1.5</v>
      </c>
      <c r="BU130" s="43">
        <v>0.125</v>
      </c>
      <c r="BV130" s="44">
        <v>0.42</v>
      </c>
      <c r="BW130" s="43">
        <v>2.3E-2</v>
      </c>
      <c r="BX130" s="44">
        <v>0.2</v>
      </c>
      <c r="BY130" s="44">
        <v>15.675043576489315</v>
      </c>
      <c r="BZ130" s="44">
        <v>0.52</v>
      </c>
      <c r="CA130" s="44">
        <v>0.65</v>
      </c>
      <c r="CB130" s="47">
        <v>1</v>
      </c>
      <c r="CC130" s="46">
        <v>0.71600171560489412</v>
      </c>
      <c r="CD130" s="46">
        <v>21.755373924034487</v>
      </c>
      <c r="CE130" s="46">
        <v>77.528624360360624</v>
      </c>
      <c r="CF130" s="125">
        <v>1</v>
      </c>
      <c r="CG130" s="40">
        <f t="shared" si="99"/>
        <v>2.0590603948263449E-2</v>
      </c>
      <c r="CH130" s="40">
        <f t="shared" si="100"/>
        <v>2.0590603948263449E-2</v>
      </c>
      <c r="CI130" s="99">
        <f t="shared" si="101"/>
        <v>1.4742907752297537E-4</v>
      </c>
      <c r="CJ130" s="100">
        <f t="shared" si="102"/>
        <v>4.4795628821617224E-3</v>
      </c>
      <c r="CK130" s="100">
        <f t="shared" si="103"/>
        <v>1.5963611988578753E-2</v>
      </c>
      <c r="CL130" s="101">
        <f t="shared" si="80"/>
        <v>7.8319213997632615E-4</v>
      </c>
      <c r="CM130" s="100">
        <f t="shared" si="81"/>
        <v>4.1415713223298851E-3</v>
      </c>
      <c r="CN130" s="100">
        <f t="shared" si="82"/>
        <v>6.7193443232425841E-3</v>
      </c>
      <c r="CO130" s="100">
        <f t="shared" si="83"/>
        <v>2.3945417982868131E-2</v>
      </c>
      <c r="CP130" s="101">
        <f t="shared" si="84"/>
        <v>1.1747882099644893E-3</v>
      </c>
      <c r="CQ130" s="100">
        <f t="shared" si="85"/>
        <v>6.2123569834948277E-3</v>
      </c>
      <c r="CR130" s="99">
        <f t="shared" si="86"/>
        <v>0.22471375639639382</v>
      </c>
      <c r="CS130" s="31">
        <v>1.5</v>
      </c>
      <c r="CT130" s="31">
        <v>1.5</v>
      </c>
      <c r="CU130" s="43">
        <v>0.1</v>
      </c>
      <c r="CV130" s="44">
        <v>0.39</v>
      </c>
      <c r="CW130" s="43">
        <v>2.1000000000000001E-2</v>
      </c>
      <c r="CX130" s="44">
        <v>0.15</v>
      </c>
    </row>
    <row r="131" spans="1:102" s="27" customFormat="1" x14ac:dyDescent="0.25">
      <c r="A131" s="31">
        <v>117</v>
      </c>
      <c r="B131" s="84" t="s">
        <v>91</v>
      </c>
      <c r="C131" s="19">
        <v>40</v>
      </c>
      <c r="D131" s="31" t="s">
        <v>36</v>
      </c>
      <c r="E131" s="31" t="s">
        <v>4</v>
      </c>
      <c r="F131" s="31" t="s">
        <v>0</v>
      </c>
      <c r="G131" s="31" t="str">
        <f t="shared" si="87"/>
        <v>Kommunal 40 C 4L D</v>
      </c>
      <c r="H131" s="48">
        <f t="shared" si="53"/>
        <v>6.0296420015609267E-2</v>
      </c>
      <c r="I131" s="40">
        <f t="shared" si="54"/>
        <v>6.3830511755396294E-2</v>
      </c>
      <c r="J131" s="99">
        <f t="shared" si="55"/>
        <v>2.5358744216863666E-4</v>
      </c>
      <c r="K131" s="48">
        <f t="shared" si="56"/>
        <v>9.3447904959337493E-3</v>
      </c>
      <c r="L131" s="48">
        <f t="shared" si="57"/>
        <v>5.4232133817293915E-2</v>
      </c>
      <c r="M131" s="48">
        <f t="shared" si="88"/>
        <v>0.20352358131141873</v>
      </c>
      <c r="N131" s="99">
        <f t="shared" si="58"/>
        <v>1.8763355709080461E-3</v>
      </c>
      <c r="O131" s="48">
        <f t="shared" si="59"/>
        <v>1.07864396020469E-2</v>
      </c>
      <c r="P131" s="48">
        <f t="shared" si="60"/>
        <v>1.4017185743900623E-2</v>
      </c>
      <c r="Q131" s="48">
        <f t="shared" si="61"/>
        <v>8.1348200725940872E-2</v>
      </c>
      <c r="R131" s="40">
        <f t="shared" si="89"/>
        <v>1.4246650691799312</v>
      </c>
      <c r="S131" s="99">
        <f t="shared" si="62"/>
        <v>2.8145033563620691E-3</v>
      </c>
      <c r="T131" s="48">
        <f t="shared" si="63"/>
        <v>1.617965940307035E-2</v>
      </c>
      <c r="U131" s="44">
        <v>1.4892292800000007</v>
      </c>
      <c r="V131" s="44">
        <v>1.2</v>
      </c>
      <c r="W131" s="19">
        <v>0</v>
      </c>
      <c r="X131" s="44">
        <v>1.0980530790907983</v>
      </c>
      <c r="Y131" s="46">
        <v>0</v>
      </c>
      <c r="Z131" s="46">
        <v>10.174107036829358</v>
      </c>
      <c r="AA131" s="46">
        <v>89.825892963170645</v>
      </c>
      <c r="AB131" s="46">
        <v>5.1425061425061411</v>
      </c>
      <c r="AC131" s="125">
        <v>1</v>
      </c>
      <c r="AD131" s="94">
        <f t="shared" si="90"/>
        <v>3.6042639074234682E-2</v>
      </c>
      <c r="AE131" s="94">
        <f t="shared" si="91"/>
        <v>3.9576730814021716E-2</v>
      </c>
      <c r="AF131" s="96">
        <f t="shared" si="64"/>
        <v>0</v>
      </c>
      <c r="AG131" s="95">
        <f t="shared" si="104"/>
        <v>4.0265789546963969E-3</v>
      </c>
      <c r="AH131" s="94">
        <f t="shared" si="92"/>
        <v>3.5550151859325321E-2</v>
      </c>
      <c r="AI131" s="94">
        <f t="shared" si="93"/>
        <v>0.20352358131141873</v>
      </c>
      <c r="AJ131" s="96">
        <f t="shared" si="65"/>
        <v>9.2578983925129985E-4</v>
      </c>
      <c r="AK131" s="95">
        <f t="shared" si="66"/>
        <v>5.7489618490272829E-3</v>
      </c>
      <c r="AL131" s="95">
        <f t="shared" si="67"/>
        <v>6.0398684320445949E-3</v>
      </c>
      <c r="AM131" s="94">
        <f t="shared" si="68"/>
        <v>5.3325227788987982E-2</v>
      </c>
      <c r="AN131" s="93">
        <f t="shared" si="69"/>
        <v>1.4246650691799312</v>
      </c>
      <c r="AO131" s="96">
        <f t="shared" si="70"/>
        <v>1.3886847588769498E-3</v>
      </c>
      <c r="AP131" s="95">
        <f t="shared" si="71"/>
        <v>8.6234427735409243E-3</v>
      </c>
      <c r="AQ131" s="93">
        <f t="shared" si="72"/>
        <v>0.10174107036829359</v>
      </c>
      <c r="AR131" s="31">
        <v>1.5</v>
      </c>
      <c r="AS131" s="31">
        <v>1.5</v>
      </c>
      <c r="AT131" s="31">
        <v>7</v>
      </c>
      <c r="AU131" s="43">
        <v>7.0999999999999994E-2</v>
      </c>
      <c r="AV131" s="44">
        <v>0.28000000000000003</v>
      </c>
      <c r="AW131" s="43">
        <v>1.7999999999999999E-2</v>
      </c>
      <c r="AX131" s="44">
        <v>0.13</v>
      </c>
      <c r="AY131" s="44">
        <v>6.3169879599642167</v>
      </c>
      <c r="AZ131" s="46">
        <v>0.5</v>
      </c>
      <c r="BA131" s="44">
        <v>0.72</v>
      </c>
      <c r="BB131" s="47">
        <v>1</v>
      </c>
      <c r="BC131" s="46">
        <v>2.8979862246705479</v>
      </c>
      <c r="BD131" s="47">
        <v>22.894025067660387</v>
      </c>
      <c r="BE131" s="47">
        <v>74.20798870766906</v>
      </c>
      <c r="BF131" s="125">
        <v>1</v>
      </c>
      <c r="BG131" s="48">
        <f t="shared" si="94"/>
        <v>3.6631769931111291E-3</v>
      </c>
      <c r="BH131" s="48">
        <f t="shared" si="95"/>
        <v>3.6631769931111291E-3</v>
      </c>
      <c r="BI131" s="99">
        <f t="shared" si="96"/>
        <v>1.061583646456613E-4</v>
      </c>
      <c r="BJ131" s="99">
        <f t="shared" si="97"/>
        <v>8.386486590756299E-4</v>
      </c>
      <c r="BK131" s="48">
        <f t="shared" si="98"/>
        <v>2.7183699693898379E-3</v>
      </c>
      <c r="BL131" s="99">
        <f t="shared" si="73"/>
        <v>1.6735359168042001E-4</v>
      </c>
      <c r="BM131" s="48">
        <f t="shared" si="74"/>
        <v>8.9590643068973217E-4</v>
      </c>
      <c r="BN131" s="48">
        <f t="shared" si="75"/>
        <v>1.2579729886134448E-3</v>
      </c>
      <c r="BO131" s="48">
        <f t="shared" si="76"/>
        <v>4.0775549540847571E-3</v>
      </c>
      <c r="BP131" s="99">
        <f t="shared" si="77"/>
        <v>2.5103038752063002E-4</v>
      </c>
      <c r="BQ131" s="48">
        <f t="shared" si="78"/>
        <v>1.3438596460345984E-3</v>
      </c>
      <c r="BR131" s="40">
        <f t="shared" si="79"/>
        <v>0.25792011292330935</v>
      </c>
      <c r="BS131" s="31">
        <v>1.5</v>
      </c>
      <c r="BT131" s="31">
        <v>1.5</v>
      </c>
      <c r="BU131" s="43">
        <v>0.125</v>
      </c>
      <c r="BV131" s="44">
        <v>0.42</v>
      </c>
      <c r="BW131" s="43">
        <v>2.3E-2</v>
      </c>
      <c r="BX131" s="44">
        <v>0.2</v>
      </c>
      <c r="BY131" s="44">
        <v>15.675043576489315</v>
      </c>
      <c r="BZ131" s="44">
        <v>0.52</v>
      </c>
      <c r="CA131" s="44">
        <v>0.65</v>
      </c>
      <c r="CB131" s="47">
        <v>1</v>
      </c>
      <c r="CC131" s="46">
        <v>0.71600171560489412</v>
      </c>
      <c r="CD131" s="46">
        <v>21.755373924034487</v>
      </c>
      <c r="CE131" s="46">
        <v>77.528624360360624</v>
      </c>
      <c r="CF131" s="125">
        <v>1</v>
      </c>
      <c r="CG131" s="40">
        <f t="shared" si="99"/>
        <v>2.0590603948263449E-2</v>
      </c>
      <c r="CH131" s="40">
        <f t="shared" si="100"/>
        <v>2.0590603948263449E-2</v>
      </c>
      <c r="CI131" s="99">
        <f t="shared" si="101"/>
        <v>1.4742907752297537E-4</v>
      </c>
      <c r="CJ131" s="100">
        <f t="shared" si="102"/>
        <v>4.4795628821617224E-3</v>
      </c>
      <c r="CK131" s="100">
        <f t="shared" si="103"/>
        <v>1.5963611988578753E-2</v>
      </c>
      <c r="CL131" s="101">
        <f t="shared" si="80"/>
        <v>7.8319213997632615E-4</v>
      </c>
      <c r="CM131" s="100">
        <f t="shared" si="81"/>
        <v>4.1415713223298851E-3</v>
      </c>
      <c r="CN131" s="100">
        <f t="shared" si="82"/>
        <v>6.7193443232425841E-3</v>
      </c>
      <c r="CO131" s="100">
        <f t="shared" si="83"/>
        <v>2.3945417982868131E-2</v>
      </c>
      <c r="CP131" s="101">
        <f t="shared" si="84"/>
        <v>1.1747882099644893E-3</v>
      </c>
      <c r="CQ131" s="100">
        <f t="shared" si="85"/>
        <v>6.2123569834948277E-3</v>
      </c>
      <c r="CR131" s="99">
        <f t="shared" si="86"/>
        <v>0.22471375639639382</v>
      </c>
      <c r="CS131" s="31">
        <v>1.5</v>
      </c>
      <c r="CT131" s="31">
        <v>1.5</v>
      </c>
      <c r="CU131" s="43">
        <v>0.1</v>
      </c>
      <c r="CV131" s="44">
        <v>0.39</v>
      </c>
      <c r="CW131" s="43">
        <v>2.1000000000000001E-2</v>
      </c>
      <c r="CX131" s="44">
        <v>0.15</v>
      </c>
    </row>
    <row r="132" spans="1:102" s="27" customFormat="1" x14ac:dyDescent="0.25">
      <c r="A132" s="31">
        <v>118</v>
      </c>
      <c r="B132" s="84" t="s">
        <v>91</v>
      </c>
      <c r="C132" s="19">
        <v>40</v>
      </c>
      <c r="D132" s="31" t="s">
        <v>36</v>
      </c>
      <c r="E132" s="31" t="s">
        <v>4</v>
      </c>
      <c r="F132" s="19" t="s">
        <v>62</v>
      </c>
      <c r="G132" s="31" t="str">
        <f t="shared" si="87"/>
        <v>Kommunal 40 C 4L EE</v>
      </c>
      <c r="H132" s="48">
        <f t="shared" si="53"/>
        <v>0.11886097862755662</v>
      </c>
      <c r="I132" s="40">
        <f t="shared" si="54"/>
        <v>0.10228626527995853</v>
      </c>
      <c r="J132" s="99">
        <f t="shared" si="55"/>
        <v>8.025588200510198E-4</v>
      </c>
      <c r="K132" s="48">
        <f t="shared" si="56"/>
        <v>1.53263531468763E-2</v>
      </c>
      <c r="L132" s="48">
        <f t="shared" si="57"/>
        <v>8.6157353313031218E-2</v>
      </c>
      <c r="M132" s="48">
        <f t="shared" si="88"/>
        <v>0.2520541668398591</v>
      </c>
      <c r="N132" s="99">
        <f t="shared" si="58"/>
        <v>2.8756804700482384E-3</v>
      </c>
      <c r="O132" s="48">
        <f t="shared" si="59"/>
        <v>1.6611555678756666E-2</v>
      </c>
      <c r="P132" s="48">
        <f t="shared" si="60"/>
        <v>2.2989529720314452E-2</v>
      </c>
      <c r="Q132" s="48">
        <f t="shared" si="61"/>
        <v>0.12923602996954681</v>
      </c>
      <c r="R132" s="40">
        <f t="shared" si="89"/>
        <v>1.7643791678790137</v>
      </c>
      <c r="S132" s="99">
        <f t="shared" si="62"/>
        <v>4.3135207050723576E-3</v>
      </c>
      <c r="T132" s="48">
        <f t="shared" si="63"/>
        <v>2.4917333518135E-2</v>
      </c>
      <c r="U132" s="44">
        <v>6.0662131200000031</v>
      </c>
      <c r="V132" s="44">
        <v>1.2</v>
      </c>
      <c r="W132" s="19">
        <v>0.2</v>
      </c>
      <c r="X132" s="44">
        <v>0.82480494346130562</v>
      </c>
      <c r="Y132" s="46">
        <v>0.70351646821904235</v>
      </c>
      <c r="Z132" s="46">
        <v>12.825609347785846</v>
      </c>
      <c r="AA132" s="46">
        <v>86.470874183995122</v>
      </c>
      <c r="AB132" s="46">
        <v>3.2301184433164121</v>
      </c>
      <c r="AC132" s="125">
        <v>1</v>
      </c>
      <c r="AD132" s="94">
        <f t="shared" si="90"/>
        <v>9.4607197686182046E-2</v>
      </c>
      <c r="AE132" s="94">
        <f t="shared" si="91"/>
        <v>7.8032484338583952E-2</v>
      </c>
      <c r="AF132" s="96">
        <f t="shared" si="64"/>
        <v>5.4897137788238314E-4</v>
      </c>
      <c r="AG132" s="95">
        <f t="shared" si="104"/>
        <v>1.0008141605638949E-2</v>
      </c>
      <c r="AH132" s="94">
        <f t="shared" si="92"/>
        <v>6.7475371355062624E-2</v>
      </c>
      <c r="AI132" s="94">
        <f t="shared" si="93"/>
        <v>0.2520541668398591</v>
      </c>
      <c r="AJ132" s="96">
        <f t="shared" si="65"/>
        <v>1.9251347383914925E-3</v>
      </c>
      <c r="AK132" s="95">
        <f t="shared" si="66"/>
        <v>1.1574077925737048E-2</v>
      </c>
      <c r="AL132" s="95">
        <f t="shared" si="67"/>
        <v>1.5012212408458424E-2</v>
      </c>
      <c r="AM132" s="94">
        <f t="shared" si="68"/>
        <v>0.10121305703259394</v>
      </c>
      <c r="AN132" s="93">
        <f t="shared" si="69"/>
        <v>1.7643791678790137</v>
      </c>
      <c r="AO132" s="96">
        <f t="shared" si="70"/>
        <v>2.8877021075872384E-3</v>
      </c>
      <c r="AP132" s="95">
        <f t="shared" si="71"/>
        <v>1.736111688860557E-2</v>
      </c>
      <c r="AQ132" s="93">
        <f t="shared" si="72"/>
        <v>0.13529125816004889</v>
      </c>
      <c r="AR132" s="31">
        <v>1.5</v>
      </c>
      <c r="AS132" s="31">
        <v>1.5</v>
      </c>
      <c r="AT132" s="31">
        <v>7</v>
      </c>
      <c r="AU132" s="43">
        <v>7.0999999999999994E-2</v>
      </c>
      <c r="AV132" s="44">
        <v>0.28000000000000003</v>
      </c>
      <c r="AW132" s="43">
        <v>1.7999999999999999E-2</v>
      </c>
      <c r="AX132" s="44">
        <v>0.13</v>
      </c>
      <c r="AY132" s="44">
        <v>6.3169879599642167</v>
      </c>
      <c r="AZ132" s="46">
        <v>0.5</v>
      </c>
      <c r="BA132" s="44">
        <v>0.72</v>
      </c>
      <c r="BB132" s="47">
        <v>1</v>
      </c>
      <c r="BC132" s="46">
        <v>2.8979862246705479</v>
      </c>
      <c r="BD132" s="47">
        <v>22.894025067660387</v>
      </c>
      <c r="BE132" s="47">
        <v>74.20798870766906</v>
      </c>
      <c r="BF132" s="125">
        <v>1</v>
      </c>
      <c r="BG132" s="48">
        <f t="shared" si="94"/>
        <v>3.6631769931111291E-3</v>
      </c>
      <c r="BH132" s="48">
        <f t="shared" si="95"/>
        <v>3.6631769931111291E-3</v>
      </c>
      <c r="BI132" s="99">
        <f t="shared" si="96"/>
        <v>1.061583646456613E-4</v>
      </c>
      <c r="BJ132" s="99">
        <f t="shared" si="97"/>
        <v>8.386486590756299E-4</v>
      </c>
      <c r="BK132" s="48">
        <f t="shared" si="98"/>
        <v>2.7183699693898379E-3</v>
      </c>
      <c r="BL132" s="99">
        <f t="shared" si="73"/>
        <v>1.6735359168042001E-4</v>
      </c>
      <c r="BM132" s="48">
        <f t="shared" si="74"/>
        <v>8.9590643068973217E-4</v>
      </c>
      <c r="BN132" s="48">
        <f t="shared" si="75"/>
        <v>1.2579729886134448E-3</v>
      </c>
      <c r="BO132" s="48">
        <f t="shared" si="76"/>
        <v>4.0775549540847571E-3</v>
      </c>
      <c r="BP132" s="99">
        <f t="shared" si="77"/>
        <v>2.5103038752063002E-4</v>
      </c>
      <c r="BQ132" s="48">
        <f t="shared" si="78"/>
        <v>1.3438596460345984E-3</v>
      </c>
      <c r="BR132" s="40">
        <f t="shared" si="79"/>
        <v>0.25792011292330935</v>
      </c>
      <c r="BS132" s="31">
        <v>1.5</v>
      </c>
      <c r="BT132" s="31">
        <v>1.5</v>
      </c>
      <c r="BU132" s="43">
        <v>0.125</v>
      </c>
      <c r="BV132" s="44">
        <v>0.42</v>
      </c>
      <c r="BW132" s="43">
        <v>2.3E-2</v>
      </c>
      <c r="BX132" s="44">
        <v>0.2</v>
      </c>
      <c r="BY132" s="44">
        <v>15.675043576489315</v>
      </c>
      <c r="BZ132" s="44">
        <v>0.52</v>
      </c>
      <c r="CA132" s="44">
        <v>0.65</v>
      </c>
      <c r="CB132" s="47">
        <v>1</v>
      </c>
      <c r="CC132" s="46">
        <v>0.71600171560489412</v>
      </c>
      <c r="CD132" s="46">
        <v>21.755373924034487</v>
      </c>
      <c r="CE132" s="46">
        <v>77.528624360360624</v>
      </c>
      <c r="CF132" s="125">
        <v>1</v>
      </c>
      <c r="CG132" s="40">
        <f t="shared" si="99"/>
        <v>2.0590603948263449E-2</v>
      </c>
      <c r="CH132" s="40">
        <f t="shared" si="100"/>
        <v>2.0590603948263449E-2</v>
      </c>
      <c r="CI132" s="99">
        <f t="shared" si="101"/>
        <v>1.4742907752297537E-4</v>
      </c>
      <c r="CJ132" s="100">
        <f t="shared" si="102"/>
        <v>4.4795628821617224E-3</v>
      </c>
      <c r="CK132" s="100">
        <f t="shared" si="103"/>
        <v>1.5963611988578753E-2</v>
      </c>
      <c r="CL132" s="101">
        <f t="shared" si="80"/>
        <v>7.8319213997632615E-4</v>
      </c>
      <c r="CM132" s="100">
        <f t="shared" si="81"/>
        <v>4.1415713223298851E-3</v>
      </c>
      <c r="CN132" s="100">
        <f t="shared" si="82"/>
        <v>6.7193443232425841E-3</v>
      </c>
      <c r="CO132" s="100">
        <f t="shared" si="83"/>
        <v>2.3945417982868131E-2</v>
      </c>
      <c r="CP132" s="101">
        <f t="shared" si="84"/>
        <v>1.1747882099644893E-3</v>
      </c>
      <c r="CQ132" s="100">
        <f t="shared" si="85"/>
        <v>6.2123569834948277E-3</v>
      </c>
      <c r="CR132" s="99">
        <f t="shared" si="86"/>
        <v>0.22471375639639382</v>
      </c>
      <c r="CS132" s="31">
        <v>1.5</v>
      </c>
      <c r="CT132" s="31">
        <v>1.5</v>
      </c>
      <c r="CU132" s="43">
        <v>0.1</v>
      </c>
      <c r="CV132" s="44">
        <v>0.39</v>
      </c>
      <c r="CW132" s="43">
        <v>2.1000000000000001E-2</v>
      </c>
      <c r="CX132" s="44">
        <v>0.15</v>
      </c>
    </row>
    <row r="133" spans="1:102" s="27" customFormat="1" x14ac:dyDescent="0.25">
      <c r="A133" s="31">
        <v>119</v>
      </c>
      <c r="B133" s="84" t="s">
        <v>91</v>
      </c>
      <c r="C133" s="19">
        <v>40</v>
      </c>
      <c r="D133" s="31" t="s">
        <v>36</v>
      </c>
      <c r="E133" s="31" t="s">
        <v>4</v>
      </c>
      <c r="F133" s="19" t="s">
        <v>63</v>
      </c>
      <c r="G133" s="31" t="str">
        <f t="shared" si="87"/>
        <v>Kommunal 40 C 4L ES</v>
      </c>
      <c r="H133" s="48">
        <f t="shared" si="53"/>
        <v>9.0537218826446567E-2</v>
      </c>
      <c r="I133" s="40">
        <f t="shared" si="54"/>
        <v>7.9388856393233398E-2</v>
      </c>
      <c r="J133" s="99">
        <f t="shared" si="55"/>
        <v>2.5358744216863666E-4</v>
      </c>
      <c r="K133" s="48">
        <f t="shared" si="56"/>
        <v>1.0927713132546096E-2</v>
      </c>
      <c r="L133" s="48">
        <f t="shared" si="57"/>
        <v>6.8207555818518659E-2</v>
      </c>
      <c r="M133" s="48">
        <f t="shared" si="88"/>
        <v>0.17809282409069113</v>
      </c>
      <c r="N133" s="99">
        <f t="shared" si="58"/>
        <v>2.240280674129568E-3</v>
      </c>
      <c r="O133" s="48">
        <f t="shared" si="59"/>
        <v>1.3046462800457575E-2</v>
      </c>
      <c r="P133" s="48">
        <f t="shared" si="60"/>
        <v>1.6391569698819143E-2</v>
      </c>
      <c r="Q133" s="48">
        <f t="shared" si="61"/>
        <v>0.10231133372777799</v>
      </c>
      <c r="R133" s="40">
        <f t="shared" si="89"/>
        <v>1.2466497686348379</v>
      </c>
      <c r="S133" s="99">
        <f t="shared" si="62"/>
        <v>3.3604210111943525E-3</v>
      </c>
      <c r="T133" s="48">
        <f t="shared" si="63"/>
        <v>1.9569694200686362E-2</v>
      </c>
      <c r="U133" s="44">
        <v>4.2500937600000022</v>
      </c>
      <c r="V133" s="44">
        <v>1.2</v>
      </c>
      <c r="W133" s="19">
        <v>0.2</v>
      </c>
      <c r="X133" s="44">
        <v>0.83180772167335104</v>
      </c>
      <c r="Y133" s="46">
        <v>0</v>
      </c>
      <c r="Z133" s="46">
        <v>10.174107036829358</v>
      </c>
      <c r="AA133" s="46">
        <v>89.825892963170645</v>
      </c>
      <c r="AB133" s="46">
        <v>3.2301184433164125</v>
      </c>
      <c r="AC133" s="125">
        <v>1</v>
      </c>
      <c r="AD133" s="94">
        <f t="shared" si="90"/>
        <v>6.6283437885071989E-2</v>
      </c>
      <c r="AE133" s="94">
        <f t="shared" si="91"/>
        <v>5.5135075451858813E-2</v>
      </c>
      <c r="AF133" s="96">
        <f t="shared" si="64"/>
        <v>0</v>
      </c>
      <c r="AG133" s="95">
        <f t="shared" si="104"/>
        <v>5.6095015913087435E-3</v>
      </c>
      <c r="AH133" s="94">
        <f t="shared" si="92"/>
        <v>4.9525573860550072E-2</v>
      </c>
      <c r="AI133" s="94">
        <f t="shared" si="93"/>
        <v>0.17809282409069113</v>
      </c>
      <c r="AJ133" s="96">
        <f t="shared" si="65"/>
        <v>1.2897349424728221E-3</v>
      </c>
      <c r="AK133" s="95">
        <f t="shared" si="66"/>
        <v>8.0089850474379578E-3</v>
      </c>
      <c r="AL133" s="95">
        <f t="shared" si="67"/>
        <v>8.4142523869631149E-3</v>
      </c>
      <c r="AM133" s="94">
        <f t="shared" si="68"/>
        <v>7.4288360790825111E-2</v>
      </c>
      <c r="AN133" s="93">
        <f t="shared" si="69"/>
        <v>1.2466497686348379</v>
      </c>
      <c r="AO133" s="96">
        <f t="shared" si="70"/>
        <v>1.934602413709233E-3</v>
      </c>
      <c r="AP133" s="95">
        <f t="shared" si="71"/>
        <v>1.2013477571156938E-2</v>
      </c>
      <c r="AQ133" s="93">
        <f t="shared" si="72"/>
        <v>0.10174107036829358</v>
      </c>
      <c r="AR133" s="31">
        <v>1.5</v>
      </c>
      <c r="AS133" s="31">
        <v>1.5</v>
      </c>
      <c r="AT133" s="31">
        <v>7</v>
      </c>
      <c r="AU133" s="43">
        <v>7.0999999999999994E-2</v>
      </c>
      <c r="AV133" s="44">
        <v>0.28000000000000003</v>
      </c>
      <c r="AW133" s="43">
        <v>1.7999999999999999E-2</v>
      </c>
      <c r="AX133" s="44">
        <v>0.13</v>
      </c>
      <c r="AY133" s="44">
        <v>6.3169879599642167</v>
      </c>
      <c r="AZ133" s="46">
        <v>0.5</v>
      </c>
      <c r="BA133" s="44">
        <v>0.72</v>
      </c>
      <c r="BB133" s="47">
        <v>1</v>
      </c>
      <c r="BC133" s="46">
        <v>2.8979862246705479</v>
      </c>
      <c r="BD133" s="47">
        <v>22.894025067660387</v>
      </c>
      <c r="BE133" s="47">
        <v>74.20798870766906</v>
      </c>
      <c r="BF133" s="125">
        <v>1</v>
      </c>
      <c r="BG133" s="48">
        <f t="shared" si="94"/>
        <v>3.6631769931111291E-3</v>
      </c>
      <c r="BH133" s="48">
        <f t="shared" si="95"/>
        <v>3.6631769931111291E-3</v>
      </c>
      <c r="BI133" s="99">
        <f t="shared" si="96"/>
        <v>1.061583646456613E-4</v>
      </c>
      <c r="BJ133" s="99">
        <f t="shared" si="97"/>
        <v>8.386486590756299E-4</v>
      </c>
      <c r="BK133" s="48">
        <f t="shared" si="98"/>
        <v>2.7183699693898379E-3</v>
      </c>
      <c r="BL133" s="99">
        <f t="shared" si="73"/>
        <v>1.6735359168042001E-4</v>
      </c>
      <c r="BM133" s="48">
        <f t="shared" si="74"/>
        <v>8.9590643068973217E-4</v>
      </c>
      <c r="BN133" s="48">
        <f t="shared" si="75"/>
        <v>1.2579729886134448E-3</v>
      </c>
      <c r="BO133" s="48">
        <f t="shared" si="76"/>
        <v>4.0775549540847571E-3</v>
      </c>
      <c r="BP133" s="99">
        <f t="shared" si="77"/>
        <v>2.5103038752063002E-4</v>
      </c>
      <c r="BQ133" s="48">
        <f t="shared" si="78"/>
        <v>1.3438596460345984E-3</v>
      </c>
      <c r="BR133" s="40">
        <f t="shared" si="79"/>
        <v>0.25792011292330935</v>
      </c>
      <c r="BS133" s="31">
        <v>1.5</v>
      </c>
      <c r="BT133" s="31">
        <v>1.5</v>
      </c>
      <c r="BU133" s="43">
        <v>0.125</v>
      </c>
      <c r="BV133" s="44">
        <v>0.42</v>
      </c>
      <c r="BW133" s="43">
        <v>2.3E-2</v>
      </c>
      <c r="BX133" s="44">
        <v>0.2</v>
      </c>
      <c r="BY133" s="44">
        <v>15.675043576489315</v>
      </c>
      <c r="BZ133" s="44">
        <v>0.52</v>
      </c>
      <c r="CA133" s="44">
        <v>0.65</v>
      </c>
      <c r="CB133" s="47">
        <v>1</v>
      </c>
      <c r="CC133" s="46">
        <v>0.71600171560489412</v>
      </c>
      <c r="CD133" s="46">
        <v>21.755373924034487</v>
      </c>
      <c r="CE133" s="46">
        <v>77.528624360360624</v>
      </c>
      <c r="CF133" s="125">
        <v>1</v>
      </c>
      <c r="CG133" s="40">
        <f t="shared" si="99"/>
        <v>2.0590603948263449E-2</v>
      </c>
      <c r="CH133" s="40">
        <f t="shared" si="100"/>
        <v>2.0590603948263449E-2</v>
      </c>
      <c r="CI133" s="99">
        <f t="shared" si="101"/>
        <v>1.4742907752297537E-4</v>
      </c>
      <c r="CJ133" s="100">
        <f t="shared" si="102"/>
        <v>4.4795628821617224E-3</v>
      </c>
      <c r="CK133" s="100">
        <f t="shared" si="103"/>
        <v>1.5963611988578753E-2</v>
      </c>
      <c r="CL133" s="101">
        <f t="shared" si="80"/>
        <v>7.8319213997632615E-4</v>
      </c>
      <c r="CM133" s="100">
        <f t="shared" si="81"/>
        <v>4.1415713223298851E-3</v>
      </c>
      <c r="CN133" s="100">
        <f t="shared" si="82"/>
        <v>6.7193443232425841E-3</v>
      </c>
      <c r="CO133" s="100">
        <f t="shared" si="83"/>
        <v>2.3945417982868131E-2</v>
      </c>
      <c r="CP133" s="101">
        <f t="shared" si="84"/>
        <v>1.1747882099644893E-3</v>
      </c>
      <c r="CQ133" s="100">
        <f t="shared" si="85"/>
        <v>6.2123569834948277E-3</v>
      </c>
      <c r="CR133" s="99">
        <f t="shared" si="86"/>
        <v>0.22471375639639382</v>
      </c>
      <c r="CS133" s="31">
        <v>1.5</v>
      </c>
      <c r="CT133" s="31">
        <v>1.5</v>
      </c>
      <c r="CU133" s="43">
        <v>0.1</v>
      </c>
      <c r="CV133" s="44">
        <v>0.39</v>
      </c>
      <c r="CW133" s="43">
        <v>2.1000000000000001E-2</v>
      </c>
      <c r="CX133" s="44">
        <v>0.15</v>
      </c>
    </row>
    <row r="134" spans="1:102" s="27" customFormat="1" x14ac:dyDescent="0.25">
      <c r="A134" s="31">
        <v>120</v>
      </c>
      <c r="B134" s="84" t="s">
        <v>91</v>
      </c>
      <c r="C134" s="19">
        <v>40</v>
      </c>
      <c r="D134" s="31" t="s">
        <v>36</v>
      </c>
      <c r="E134" s="31" t="s">
        <v>5</v>
      </c>
      <c r="F134" s="19" t="s">
        <v>12</v>
      </c>
      <c r="G134" s="31" t="str">
        <f t="shared" si="87"/>
        <v>Kommunal 40 M 4L A</v>
      </c>
      <c r="H134" s="48">
        <f t="shared" si="53"/>
        <v>8.8455467057993287E-2</v>
      </c>
      <c r="I134" s="40">
        <f t="shared" si="54"/>
        <v>8.2785801951894181E-2</v>
      </c>
      <c r="J134" s="99">
        <f t="shared" si="55"/>
        <v>6.6681096243120211E-4</v>
      </c>
      <c r="K134" s="48">
        <f t="shared" si="56"/>
        <v>1.3856020545155362E-2</v>
      </c>
      <c r="L134" s="48">
        <f t="shared" si="57"/>
        <v>6.8262970444307625E-2</v>
      </c>
      <c r="M134" s="48">
        <f t="shared" si="88"/>
        <v>0.13028094999115652</v>
      </c>
      <c r="N134" s="99">
        <f t="shared" si="58"/>
        <v>2.4491879636890273E-3</v>
      </c>
      <c r="O134" s="48">
        <f t="shared" si="59"/>
        <v>1.3873592777340734E-2</v>
      </c>
      <c r="P134" s="48">
        <f t="shared" si="60"/>
        <v>2.0784030817733043E-2</v>
      </c>
      <c r="Q134" s="48">
        <f t="shared" si="61"/>
        <v>0.10239445566646144</v>
      </c>
      <c r="R134" s="40">
        <f t="shared" si="89"/>
        <v>0.91196664993809562</v>
      </c>
      <c r="S134" s="99">
        <f t="shared" si="62"/>
        <v>3.6737819455335409E-3</v>
      </c>
      <c r="T134" s="48">
        <f t="shared" si="63"/>
        <v>2.0810389166011103E-2</v>
      </c>
      <c r="U134" s="44">
        <v>1.2104136000000005</v>
      </c>
      <c r="V134" s="19">
        <v>1.45</v>
      </c>
      <c r="W134" s="46">
        <v>0.6</v>
      </c>
      <c r="X134" s="44">
        <v>0.91168977874194013</v>
      </c>
      <c r="Y134" s="46">
        <v>0.70597856203922849</v>
      </c>
      <c r="Z134" s="46">
        <v>14.586561093428777</v>
      </c>
      <c r="AA134" s="46">
        <v>84.707460344532009</v>
      </c>
      <c r="AB134" s="46">
        <v>2.225806451612903</v>
      </c>
      <c r="AC134" s="125">
        <v>1</v>
      </c>
      <c r="AD134" s="94">
        <f t="shared" si="90"/>
        <v>6.4201686116618709E-2</v>
      </c>
      <c r="AE134" s="94">
        <f t="shared" si="91"/>
        <v>5.8532021010519603E-2</v>
      </c>
      <c r="AF134" s="96">
        <f t="shared" si="64"/>
        <v>4.1322352026256539E-4</v>
      </c>
      <c r="AG134" s="95">
        <f t="shared" si="104"/>
        <v>8.5378090039180104E-3</v>
      </c>
      <c r="AH134" s="94">
        <f t="shared" si="92"/>
        <v>4.9580988486339031E-2</v>
      </c>
      <c r="AI134" s="94">
        <f t="shared" si="93"/>
        <v>0.13028094999115652</v>
      </c>
      <c r="AJ134" s="96">
        <f t="shared" si="65"/>
        <v>1.4986422320322811E-3</v>
      </c>
      <c r="AK134" s="95">
        <f t="shared" si="66"/>
        <v>8.8361150243211166E-3</v>
      </c>
      <c r="AL134" s="95">
        <f t="shared" si="67"/>
        <v>1.2806713505877015E-2</v>
      </c>
      <c r="AM134" s="94">
        <f t="shared" si="68"/>
        <v>7.4371482729508553E-2</v>
      </c>
      <c r="AN134" s="93">
        <f t="shared" si="69"/>
        <v>0.91196664993809562</v>
      </c>
      <c r="AO134" s="96">
        <f t="shared" si="70"/>
        <v>2.2479633480484216E-3</v>
      </c>
      <c r="AP134" s="95">
        <f t="shared" si="71"/>
        <v>1.3254172536481677E-2</v>
      </c>
      <c r="AQ134" s="93">
        <f t="shared" si="72"/>
        <v>0.15292539655468004</v>
      </c>
      <c r="AR134" s="31">
        <v>1.5</v>
      </c>
      <c r="AS134" s="31">
        <v>1.5</v>
      </c>
      <c r="AT134" s="31">
        <v>7</v>
      </c>
      <c r="AU134" s="43">
        <v>7.0999999999999994E-2</v>
      </c>
      <c r="AV134" s="44">
        <v>0.28000000000000003</v>
      </c>
      <c r="AW134" s="43">
        <v>1.7999999999999999E-2</v>
      </c>
      <c r="AX134" s="44">
        <v>0.13</v>
      </c>
      <c r="AY134" s="44">
        <v>6.3169879599642149</v>
      </c>
      <c r="AZ134" s="46">
        <v>0.5</v>
      </c>
      <c r="BA134" s="44">
        <v>0.72</v>
      </c>
      <c r="BB134" s="47">
        <v>1</v>
      </c>
      <c r="BC134" s="46">
        <v>2.8979862246705488</v>
      </c>
      <c r="BD134" s="47">
        <v>22.894025067660383</v>
      </c>
      <c r="BE134" s="47">
        <v>74.207988707669074</v>
      </c>
      <c r="BF134" s="125">
        <v>1</v>
      </c>
      <c r="BG134" s="48">
        <f t="shared" si="94"/>
        <v>3.6631769931111278E-3</v>
      </c>
      <c r="BH134" s="48">
        <f t="shared" si="95"/>
        <v>3.6631769931111278E-3</v>
      </c>
      <c r="BI134" s="99">
        <f t="shared" si="96"/>
        <v>1.061583646456613E-4</v>
      </c>
      <c r="BJ134" s="99">
        <f t="shared" si="97"/>
        <v>8.3864865907562957E-4</v>
      </c>
      <c r="BK134" s="48">
        <f t="shared" si="98"/>
        <v>2.7183699693898371E-3</v>
      </c>
      <c r="BL134" s="99">
        <f t="shared" si="73"/>
        <v>1.6735359168041996E-4</v>
      </c>
      <c r="BM134" s="48">
        <f t="shared" si="74"/>
        <v>8.9590643068973184E-4</v>
      </c>
      <c r="BN134" s="48">
        <f t="shared" si="75"/>
        <v>1.2579729886134444E-3</v>
      </c>
      <c r="BO134" s="48">
        <f t="shared" si="76"/>
        <v>4.0775549540847554E-3</v>
      </c>
      <c r="BP134" s="99">
        <f t="shared" si="77"/>
        <v>2.5103038752062991E-4</v>
      </c>
      <c r="BQ134" s="48">
        <f t="shared" si="78"/>
        <v>1.3438596460345978E-3</v>
      </c>
      <c r="BR134" s="40">
        <f t="shared" si="79"/>
        <v>0.25792011292330935</v>
      </c>
      <c r="BS134" s="31">
        <v>1.5</v>
      </c>
      <c r="BT134" s="31">
        <v>1.5</v>
      </c>
      <c r="BU134" s="43">
        <v>0.125</v>
      </c>
      <c r="BV134" s="44">
        <v>0.42</v>
      </c>
      <c r="BW134" s="43">
        <v>2.3E-2</v>
      </c>
      <c r="BX134" s="44">
        <v>0.2</v>
      </c>
      <c r="BY134" s="44">
        <v>15.675043576489315</v>
      </c>
      <c r="BZ134" s="44">
        <v>0.52</v>
      </c>
      <c r="CA134" s="44">
        <v>0.65</v>
      </c>
      <c r="CB134" s="47">
        <v>1</v>
      </c>
      <c r="CC134" s="46">
        <v>0.71600171560489401</v>
      </c>
      <c r="CD134" s="46">
        <v>21.755373924034487</v>
      </c>
      <c r="CE134" s="46">
        <v>77.528624360360624</v>
      </c>
      <c r="CF134" s="125">
        <v>1</v>
      </c>
      <c r="CG134" s="40">
        <f t="shared" si="99"/>
        <v>2.0590603948263449E-2</v>
      </c>
      <c r="CH134" s="40">
        <f t="shared" si="100"/>
        <v>2.0590603948263449E-2</v>
      </c>
      <c r="CI134" s="99">
        <f t="shared" si="101"/>
        <v>1.4742907752297534E-4</v>
      </c>
      <c r="CJ134" s="100">
        <f t="shared" si="102"/>
        <v>4.4795628821617224E-3</v>
      </c>
      <c r="CK134" s="100">
        <f t="shared" si="103"/>
        <v>1.5963611988578753E-2</v>
      </c>
      <c r="CL134" s="101">
        <f t="shared" si="80"/>
        <v>7.8319213997632615E-4</v>
      </c>
      <c r="CM134" s="100">
        <f t="shared" si="81"/>
        <v>4.1415713223298851E-3</v>
      </c>
      <c r="CN134" s="100">
        <f t="shared" si="82"/>
        <v>6.7193443232425841E-3</v>
      </c>
      <c r="CO134" s="100">
        <f t="shared" si="83"/>
        <v>2.3945417982868131E-2</v>
      </c>
      <c r="CP134" s="101">
        <f t="shared" si="84"/>
        <v>1.1747882099644893E-3</v>
      </c>
      <c r="CQ134" s="100">
        <f t="shared" si="85"/>
        <v>6.2123569834948277E-3</v>
      </c>
      <c r="CR134" s="99">
        <f t="shared" si="86"/>
        <v>0.22471375639639382</v>
      </c>
      <c r="CS134" s="31">
        <v>1.5</v>
      </c>
      <c r="CT134" s="31">
        <v>1.5</v>
      </c>
      <c r="CU134" s="43">
        <v>0.1</v>
      </c>
      <c r="CV134" s="44">
        <v>0.39</v>
      </c>
      <c r="CW134" s="43">
        <v>2.1000000000000001E-2</v>
      </c>
      <c r="CX134" s="44">
        <v>0.15</v>
      </c>
    </row>
    <row r="135" spans="1:102" s="27" customFormat="1" x14ac:dyDescent="0.25">
      <c r="A135" s="31">
        <v>121</v>
      </c>
      <c r="B135" s="84" t="s">
        <v>91</v>
      </c>
      <c r="C135" s="19">
        <v>40</v>
      </c>
      <c r="D135" s="31" t="s">
        <v>36</v>
      </c>
      <c r="E135" s="31" t="s">
        <v>5</v>
      </c>
      <c r="F135" s="19" t="s">
        <v>13</v>
      </c>
      <c r="G135" s="31" t="str">
        <f t="shared" si="87"/>
        <v>Kommunal 40 M 4L B</v>
      </c>
      <c r="H135" s="48">
        <f t="shared" si="53"/>
        <v>8.5245382752162341E-2</v>
      </c>
      <c r="I135" s="40">
        <f t="shared" si="54"/>
        <v>7.985920090136818E-2</v>
      </c>
      <c r="J135" s="99">
        <f t="shared" si="55"/>
        <v>6.4614978641807372E-4</v>
      </c>
      <c r="K135" s="48">
        <f t="shared" si="56"/>
        <v>1.3429130094959458E-2</v>
      </c>
      <c r="L135" s="48">
        <f t="shared" si="57"/>
        <v>6.5783921019990657E-2</v>
      </c>
      <c r="M135" s="48">
        <f t="shared" si="88"/>
        <v>0.12376690249159868</v>
      </c>
      <c r="N135" s="99">
        <f t="shared" si="58"/>
        <v>2.3742558520874128E-3</v>
      </c>
      <c r="O135" s="48">
        <f t="shared" si="59"/>
        <v>1.3431787026124676E-2</v>
      </c>
      <c r="P135" s="48">
        <f t="shared" si="60"/>
        <v>2.0143695142439189E-2</v>
      </c>
      <c r="Q135" s="48">
        <f t="shared" si="61"/>
        <v>9.8675881529985979E-2</v>
      </c>
      <c r="R135" s="40">
        <f t="shared" si="89"/>
        <v>0.86636831744119069</v>
      </c>
      <c r="S135" s="99">
        <f t="shared" si="62"/>
        <v>3.561383778131119E-3</v>
      </c>
      <c r="T135" s="48">
        <f t="shared" si="63"/>
        <v>2.0147680539187016E-2</v>
      </c>
      <c r="U135" s="44">
        <v>1.1498929200000003</v>
      </c>
      <c r="V135" s="19">
        <v>1.45</v>
      </c>
      <c r="W135" s="46">
        <v>0.6</v>
      </c>
      <c r="X135" s="44">
        <v>0.91168977874194002</v>
      </c>
      <c r="Y135" s="46">
        <v>0.7059785620392286</v>
      </c>
      <c r="Z135" s="46">
        <v>14.586561093428777</v>
      </c>
      <c r="AA135" s="46">
        <v>84.707460344531995</v>
      </c>
      <c r="AB135" s="46">
        <v>2.2258064516129035</v>
      </c>
      <c r="AC135" s="125">
        <v>1</v>
      </c>
      <c r="AD135" s="94">
        <f t="shared" si="90"/>
        <v>6.0991601810787763E-2</v>
      </c>
      <c r="AE135" s="94">
        <f t="shared" si="91"/>
        <v>5.5605419959993602E-2</v>
      </c>
      <c r="AF135" s="96">
        <f t="shared" si="64"/>
        <v>3.9256234424943706E-4</v>
      </c>
      <c r="AG135" s="95">
        <f t="shared" si="104"/>
        <v>8.1109185537221063E-3</v>
      </c>
      <c r="AH135" s="94">
        <f t="shared" si="92"/>
        <v>4.7101939062022063E-2</v>
      </c>
      <c r="AI135" s="94">
        <f t="shared" si="93"/>
        <v>0.12376690249159868</v>
      </c>
      <c r="AJ135" s="96">
        <f t="shared" si="65"/>
        <v>1.4237101204306666E-3</v>
      </c>
      <c r="AK135" s="95">
        <f t="shared" si="66"/>
        <v>8.3943092731050585E-3</v>
      </c>
      <c r="AL135" s="95">
        <f t="shared" si="67"/>
        <v>1.216637783058316E-2</v>
      </c>
      <c r="AM135" s="94">
        <f t="shared" si="68"/>
        <v>7.0652908593033095E-2</v>
      </c>
      <c r="AN135" s="93">
        <f t="shared" si="69"/>
        <v>0.86636831744119069</v>
      </c>
      <c r="AO135" s="96">
        <f t="shared" si="70"/>
        <v>2.1355651806459998E-3</v>
      </c>
      <c r="AP135" s="95">
        <f t="shared" si="71"/>
        <v>1.2591463909657589E-2</v>
      </c>
      <c r="AQ135" s="93">
        <f t="shared" si="72"/>
        <v>0.15292539655468007</v>
      </c>
      <c r="AR135" s="31">
        <v>1.5</v>
      </c>
      <c r="AS135" s="31">
        <v>1.5</v>
      </c>
      <c r="AT135" s="31">
        <v>7</v>
      </c>
      <c r="AU135" s="43">
        <v>7.0999999999999994E-2</v>
      </c>
      <c r="AV135" s="44">
        <v>0.28000000000000003</v>
      </c>
      <c r="AW135" s="43">
        <v>1.7999999999999999E-2</v>
      </c>
      <c r="AX135" s="44">
        <v>0.13</v>
      </c>
      <c r="AY135" s="44">
        <v>6.3169879599642149</v>
      </c>
      <c r="AZ135" s="46">
        <v>0.5</v>
      </c>
      <c r="BA135" s="44">
        <v>0.72</v>
      </c>
      <c r="BB135" s="47">
        <v>1</v>
      </c>
      <c r="BC135" s="46">
        <v>2.8979862246705488</v>
      </c>
      <c r="BD135" s="47">
        <v>22.894025067660383</v>
      </c>
      <c r="BE135" s="47">
        <v>74.207988707669074</v>
      </c>
      <c r="BF135" s="125">
        <v>1</v>
      </c>
      <c r="BG135" s="48">
        <f t="shared" si="94"/>
        <v>3.6631769931111278E-3</v>
      </c>
      <c r="BH135" s="48">
        <f t="shared" si="95"/>
        <v>3.6631769931111278E-3</v>
      </c>
      <c r="BI135" s="99">
        <f t="shared" si="96"/>
        <v>1.061583646456613E-4</v>
      </c>
      <c r="BJ135" s="99">
        <f t="shared" si="97"/>
        <v>8.3864865907562957E-4</v>
      </c>
      <c r="BK135" s="48">
        <f t="shared" si="98"/>
        <v>2.7183699693898371E-3</v>
      </c>
      <c r="BL135" s="99">
        <f t="shared" si="73"/>
        <v>1.6735359168041996E-4</v>
      </c>
      <c r="BM135" s="48">
        <f t="shared" si="74"/>
        <v>8.9590643068973184E-4</v>
      </c>
      <c r="BN135" s="48">
        <f t="shared" si="75"/>
        <v>1.2579729886134444E-3</v>
      </c>
      <c r="BO135" s="48">
        <f t="shared" si="76"/>
        <v>4.0775549540847554E-3</v>
      </c>
      <c r="BP135" s="99">
        <f t="shared" si="77"/>
        <v>2.5103038752062991E-4</v>
      </c>
      <c r="BQ135" s="48">
        <f t="shared" si="78"/>
        <v>1.3438596460345978E-3</v>
      </c>
      <c r="BR135" s="40">
        <f t="shared" si="79"/>
        <v>0.25792011292330935</v>
      </c>
      <c r="BS135" s="31">
        <v>1.5</v>
      </c>
      <c r="BT135" s="31">
        <v>1.5</v>
      </c>
      <c r="BU135" s="43">
        <v>0.125</v>
      </c>
      <c r="BV135" s="44">
        <v>0.42</v>
      </c>
      <c r="BW135" s="43">
        <v>2.3E-2</v>
      </c>
      <c r="BX135" s="44">
        <v>0.2</v>
      </c>
      <c r="BY135" s="44">
        <v>15.675043576489315</v>
      </c>
      <c r="BZ135" s="44">
        <v>0.52</v>
      </c>
      <c r="CA135" s="44">
        <v>0.65</v>
      </c>
      <c r="CB135" s="47">
        <v>1</v>
      </c>
      <c r="CC135" s="46">
        <v>0.71600171560489401</v>
      </c>
      <c r="CD135" s="46">
        <v>21.755373924034487</v>
      </c>
      <c r="CE135" s="46">
        <v>77.528624360360624</v>
      </c>
      <c r="CF135" s="125">
        <v>1</v>
      </c>
      <c r="CG135" s="40">
        <f t="shared" si="99"/>
        <v>2.0590603948263449E-2</v>
      </c>
      <c r="CH135" s="40">
        <f t="shared" si="100"/>
        <v>2.0590603948263449E-2</v>
      </c>
      <c r="CI135" s="99">
        <f t="shared" si="101"/>
        <v>1.4742907752297534E-4</v>
      </c>
      <c r="CJ135" s="100">
        <f t="shared" si="102"/>
        <v>4.4795628821617224E-3</v>
      </c>
      <c r="CK135" s="100">
        <f t="shared" si="103"/>
        <v>1.5963611988578753E-2</v>
      </c>
      <c r="CL135" s="101">
        <f t="shared" si="80"/>
        <v>7.8319213997632615E-4</v>
      </c>
      <c r="CM135" s="100">
        <f t="shared" si="81"/>
        <v>4.1415713223298851E-3</v>
      </c>
      <c r="CN135" s="100">
        <f t="shared" si="82"/>
        <v>6.7193443232425841E-3</v>
      </c>
      <c r="CO135" s="100">
        <f t="shared" si="83"/>
        <v>2.3945417982868131E-2</v>
      </c>
      <c r="CP135" s="101">
        <f t="shared" si="84"/>
        <v>1.1747882099644893E-3</v>
      </c>
      <c r="CQ135" s="100">
        <f t="shared" si="85"/>
        <v>6.2123569834948277E-3</v>
      </c>
      <c r="CR135" s="99">
        <f t="shared" si="86"/>
        <v>0.22471375639639382</v>
      </c>
      <c r="CS135" s="31">
        <v>1.5</v>
      </c>
      <c r="CT135" s="31">
        <v>1.5</v>
      </c>
      <c r="CU135" s="43">
        <v>0.1</v>
      </c>
      <c r="CV135" s="44">
        <v>0.39</v>
      </c>
      <c r="CW135" s="43">
        <v>2.1000000000000001E-2</v>
      </c>
      <c r="CX135" s="44">
        <v>0.15</v>
      </c>
    </row>
    <row r="136" spans="1:102" s="27" customFormat="1" x14ac:dyDescent="0.25">
      <c r="A136" s="31">
        <v>122</v>
      </c>
      <c r="B136" s="84" t="s">
        <v>91</v>
      </c>
      <c r="C136" s="19">
        <v>40</v>
      </c>
      <c r="D136" s="31" t="s">
        <v>36</v>
      </c>
      <c r="E136" s="31" t="s">
        <v>5</v>
      </c>
      <c r="F136" s="19" t="s">
        <v>70</v>
      </c>
      <c r="G136" s="31" t="str">
        <f t="shared" si="87"/>
        <v>Kommunal 40 M 4L Ck</v>
      </c>
      <c r="H136" s="48">
        <f t="shared" si="53"/>
        <v>8.2035298446331395E-2</v>
      </c>
      <c r="I136" s="40">
        <f t="shared" si="54"/>
        <v>7.6932599850842207E-2</v>
      </c>
      <c r="J136" s="99">
        <f t="shared" si="55"/>
        <v>6.2548861040494545E-4</v>
      </c>
      <c r="K136" s="48">
        <f t="shared" si="56"/>
        <v>1.3002239644763561E-2</v>
      </c>
      <c r="L136" s="48">
        <f t="shared" si="57"/>
        <v>6.3304871595673703E-2</v>
      </c>
      <c r="M136" s="48">
        <f t="shared" si="88"/>
        <v>0.11725285499204084</v>
      </c>
      <c r="N136" s="99">
        <f t="shared" si="58"/>
        <v>2.2993237404857988E-3</v>
      </c>
      <c r="O136" s="48">
        <f t="shared" si="59"/>
        <v>1.2989981274908621E-2</v>
      </c>
      <c r="P136" s="48">
        <f t="shared" si="60"/>
        <v>1.9503359467145341E-2</v>
      </c>
      <c r="Q136" s="48">
        <f t="shared" si="61"/>
        <v>9.4957307393510562E-2</v>
      </c>
      <c r="R136" s="40">
        <f t="shared" si="89"/>
        <v>0.82076998494428588</v>
      </c>
      <c r="S136" s="99">
        <f t="shared" si="62"/>
        <v>3.4489856107286984E-3</v>
      </c>
      <c r="T136" s="48">
        <f t="shared" si="63"/>
        <v>1.9484971912362932E-2</v>
      </c>
      <c r="U136" s="44">
        <v>1.0893722400000001</v>
      </c>
      <c r="V136" s="19">
        <v>1.45</v>
      </c>
      <c r="W136" s="46">
        <v>0.6</v>
      </c>
      <c r="X136" s="44">
        <v>0.91168977874194013</v>
      </c>
      <c r="Y136" s="46">
        <v>0.7059785620392286</v>
      </c>
      <c r="Z136" s="46">
        <v>14.586561093428777</v>
      </c>
      <c r="AA136" s="46">
        <v>84.707460344531995</v>
      </c>
      <c r="AB136" s="46">
        <v>2.225806451612903</v>
      </c>
      <c r="AC136" s="125">
        <v>1</v>
      </c>
      <c r="AD136" s="94">
        <f t="shared" si="90"/>
        <v>5.7781517504956824E-2</v>
      </c>
      <c r="AE136" s="94">
        <f t="shared" si="91"/>
        <v>5.2678818909467628E-2</v>
      </c>
      <c r="AF136" s="96">
        <f t="shared" si="64"/>
        <v>3.7190116823630878E-4</v>
      </c>
      <c r="AG136" s="95">
        <f t="shared" si="104"/>
        <v>7.6840281035262074E-3</v>
      </c>
      <c r="AH136" s="94">
        <f t="shared" si="92"/>
        <v>4.4622889637705117E-2</v>
      </c>
      <c r="AI136" s="94">
        <f t="shared" si="93"/>
        <v>0.11725285499204084</v>
      </c>
      <c r="AJ136" s="96">
        <f t="shared" si="65"/>
        <v>1.3487780088290526E-3</v>
      </c>
      <c r="AK136" s="95">
        <f t="shared" si="66"/>
        <v>7.9525035218890039E-3</v>
      </c>
      <c r="AL136" s="95">
        <f t="shared" si="67"/>
        <v>1.1526042155289311E-2</v>
      </c>
      <c r="AM136" s="94">
        <f t="shared" si="68"/>
        <v>6.6934334456557679E-2</v>
      </c>
      <c r="AN136" s="93">
        <f t="shared" si="69"/>
        <v>0.82076998494428588</v>
      </c>
      <c r="AO136" s="96">
        <f t="shared" si="70"/>
        <v>2.0231670132435792E-3</v>
      </c>
      <c r="AP136" s="95">
        <f t="shared" si="71"/>
        <v>1.1928755282833506E-2</v>
      </c>
      <c r="AQ136" s="93">
        <f t="shared" si="72"/>
        <v>0.15292539655468007</v>
      </c>
      <c r="AR136" s="31">
        <v>1.5</v>
      </c>
      <c r="AS136" s="31">
        <v>1.5</v>
      </c>
      <c r="AT136" s="31">
        <v>7</v>
      </c>
      <c r="AU136" s="43">
        <v>7.0999999999999994E-2</v>
      </c>
      <c r="AV136" s="44">
        <v>0.28000000000000003</v>
      </c>
      <c r="AW136" s="43">
        <v>1.7999999999999999E-2</v>
      </c>
      <c r="AX136" s="44">
        <v>0.13</v>
      </c>
      <c r="AY136" s="44">
        <v>6.3169879599642149</v>
      </c>
      <c r="AZ136" s="46">
        <v>0.5</v>
      </c>
      <c r="BA136" s="44">
        <v>0.72</v>
      </c>
      <c r="BB136" s="47">
        <v>1</v>
      </c>
      <c r="BC136" s="46">
        <v>2.8979862246705488</v>
      </c>
      <c r="BD136" s="47">
        <v>22.894025067660383</v>
      </c>
      <c r="BE136" s="47">
        <v>74.207988707669074</v>
      </c>
      <c r="BF136" s="125">
        <v>1</v>
      </c>
      <c r="BG136" s="48">
        <f t="shared" si="94"/>
        <v>3.6631769931111278E-3</v>
      </c>
      <c r="BH136" s="48">
        <f t="shared" si="95"/>
        <v>3.6631769931111278E-3</v>
      </c>
      <c r="BI136" s="99">
        <f t="shared" si="96"/>
        <v>1.061583646456613E-4</v>
      </c>
      <c r="BJ136" s="99">
        <f t="shared" si="97"/>
        <v>8.3864865907562957E-4</v>
      </c>
      <c r="BK136" s="48">
        <f t="shared" si="98"/>
        <v>2.7183699693898371E-3</v>
      </c>
      <c r="BL136" s="99">
        <f t="shared" si="73"/>
        <v>1.6735359168041996E-4</v>
      </c>
      <c r="BM136" s="48">
        <f t="shared" si="74"/>
        <v>8.9590643068973184E-4</v>
      </c>
      <c r="BN136" s="48">
        <f t="shared" si="75"/>
        <v>1.2579729886134444E-3</v>
      </c>
      <c r="BO136" s="48">
        <f t="shared" si="76"/>
        <v>4.0775549540847554E-3</v>
      </c>
      <c r="BP136" s="99">
        <f t="shared" si="77"/>
        <v>2.5103038752062991E-4</v>
      </c>
      <c r="BQ136" s="48">
        <f t="shared" si="78"/>
        <v>1.3438596460345978E-3</v>
      </c>
      <c r="BR136" s="40">
        <f t="shared" si="79"/>
        <v>0.25792011292330935</v>
      </c>
      <c r="BS136" s="31">
        <v>1.5</v>
      </c>
      <c r="BT136" s="31">
        <v>1.5</v>
      </c>
      <c r="BU136" s="43">
        <v>0.125</v>
      </c>
      <c r="BV136" s="44">
        <v>0.42</v>
      </c>
      <c r="BW136" s="43">
        <v>2.3E-2</v>
      </c>
      <c r="BX136" s="44">
        <v>0.2</v>
      </c>
      <c r="BY136" s="44">
        <v>15.675043576489315</v>
      </c>
      <c r="BZ136" s="44">
        <v>0.52</v>
      </c>
      <c r="CA136" s="44">
        <v>0.65</v>
      </c>
      <c r="CB136" s="47">
        <v>1</v>
      </c>
      <c r="CC136" s="46">
        <v>0.71600171560489401</v>
      </c>
      <c r="CD136" s="46">
        <v>21.755373924034487</v>
      </c>
      <c r="CE136" s="46">
        <v>77.528624360360624</v>
      </c>
      <c r="CF136" s="125">
        <v>1</v>
      </c>
      <c r="CG136" s="40">
        <f t="shared" si="99"/>
        <v>2.0590603948263449E-2</v>
      </c>
      <c r="CH136" s="40">
        <f t="shared" si="100"/>
        <v>2.0590603948263449E-2</v>
      </c>
      <c r="CI136" s="99">
        <f t="shared" si="101"/>
        <v>1.4742907752297534E-4</v>
      </c>
      <c r="CJ136" s="100">
        <f t="shared" si="102"/>
        <v>4.4795628821617224E-3</v>
      </c>
      <c r="CK136" s="100">
        <f t="shared" si="103"/>
        <v>1.5963611988578753E-2</v>
      </c>
      <c r="CL136" s="101">
        <f t="shared" si="80"/>
        <v>7.8319213997632615E-4</v>
      </c>
      <c r="CM136" s="100">
        <f t="shared" si="81"/>
        <v>4.1415713223298851E-3</v>
      </c>
      <c r="CN136" s="100">
        <f t="shared" si="82"/>
        <v>6.7193443232425841E-3</v>
      </c>
      <c r="CO136" s="100">
        <f t="shared" si="83"/>
        <v>2.3945417982868131E-2</v>
      </c>
      <c r="CP136" s="101">
        <f t="shared" si="84"/>
        <v>1.1747882099644893E-3</v>
      </c>
      <c r="CQ136" s="100">
        <f t="shared" si="85"/>
        <v>6.2123569834948277E-3</v>
      </c>
      <c r="CR136" s="99">
        <f t="shared" si="86"/>
        <v>0.22471375639639382</v>
      </c>
      <c r="CS136" s="31">
        <v>1.5</v>
      </c>
      <c r="CT136" s="31">
        <v>1.5</v>
      </c>
      <c r="CU136" s="43">
        <v>0.1</v>
      </c>
      <c r="CV136" s="44">
        <v>0.39</v>
      </c>
      <c r="CW136" s="43">
        <v>2.1000000000000001E-2</v>
      </c>
      <c r="CX136" s="44">
        <v>0.15</v>
      </c>
    </row>
    <row r="137" spans="1:102" s="27" customFormat="1" x14ac:dyDescent="0.25">
      <c r="A137" s="31">
        <v>123</v>
      </c>
      <c r="B137" s="84" t="s">
        <v>91</v>
      </c>
      <c r="C137" s="19">
        <v>40</v>
      </c>
      <c r="D137" s="31" t="s">
        <v>36</v>
      </c>
      <c r="E137" s="31" t="s">
        <v>5</v>
      </c>
      <c r="F137" s="31" t="s">
        <v>71</v>
      </c>
      <c r="G137" s="31" t="str">
        <f t="shared" si="87"/>
        <v>Kommunal 40 M 4L Cm</v>
      </c>
      <c r="H137" s="48">
        <f t="shared" si="53"/>
        <v>8.2035298446331395E-2</v>
      </c>
      <c r="I137" s="40">
        <f t="shared" si="54"/>
        <v>7.6932599850842207E-2</v>
      </c>
      <c r="J137" s="99">
        <f t="shared" si="55"/>
        <v>6.2548861040494545E-4</v>
      </c>
      <c r="K137" s="48">
        <f t="shared" si="56"/>
        <v>1.3002239644763561E-2</v>
      </c>
      <c r="L137" s="48">
        <f t="shared" si="57"/>
        <v>6.3304871595673703E-2</v>
      </c>
      <c r="M137" s="48">
        <f t="shared" si="88"/>
        <v>0.11725285499204084</v>
      </c>
      <c r="N137" s="99">
        <f t="shared" si="58"/>
        <v>2.2993237404857988E-3</v>
      </c>
      <c r="O137" s="48">
        <f t="shared" si="59"/>
        <v>1.2989981274908621E-2</v>
      </c>
      <c r="P137" s="48">
        <f t="shared" si="60"/>
        <v>1.9503359467145341E-2</v>
      </c>
      <c r="Q137" s="48">
        <f t="shared" si="61"/>
        <v>9.4957307393510562E-2</v>
      </c>
      <c r="R137" s="40">
        <f t="shared" si="89"/>
        <v>0.82076998494428588</v>
      </c>
      <c r="S137" s="99">
        <f t="shared" si="62"/>
        <v>3.4489856107286984E-3</v>
      </c>
      <c r="T137" s="48">
        <f t="shared" si="63"/>
        <v>1.9484971912362932E-2</v>
      </c>
      <c r="U137" s="44">
        <v>1.0893722400000001</v>
      </c>
      <c r="V137" s="19">
        <v>1.45</v>
      </c>
      <c r="W137" s="46">
        <v>0.6</v>
      </c>
      <c r="X137" s="44">
        <v>0.91168977874194013</v>
      </c>
      <c r="Y137" s="46">
        <v>0.7059785620392286</v>
      </c>
      <c r="Z137" s="46">
        <v>14.586561093428777</v>
      </c>
      <c r="AA137" s="46">
        <v>84.707460344531995</v>
      </c>
      <c r="AB137" s="46">
        <v>2.225806451612903</v>
      </c>
      <c r="AC137" s="125">
        <v>1</v>
      </c>
      <c r="AD137" s="94">
        <f t="shared" si="90"/>
        <v>5.7781517504956824E-2</v>
      </c>
      <c r="AE137" s="94">
        <f t="shared" si="91"/>
        <v>5.2678818909467628E-2</v>
      </c>
      <c r="AF137" s="96">
        <f t="shared" si="64"/>
        <v>3.7190116823630878E-4</v>
      </c>
      <c r="AG137" s="95">
        <f t="shared" si="104"/>
        <v>7.6840281035262074E-3</v>
      </c>
      <c r="AH137" s="94">
        <f t="shared" si="92"/>
        <v>4.4622889637705117E-2</v>
      </c>
      <c r="AI137" s="94">
        <f t="shared" si="93"/>
        <v>0.11725285499204084</v>
      </c>
      <c r="AJ137" s="96">
        <f t="shared" si="65"/>
        <v>1.3487780088290526E-3</v>
      </c>
      <c r="AK137" s="95">
        <f t="shared" si="66"/>
        <v>7.9525035218890039E-3</v>
      </c>
      <c r="AL137" s="95">
        <f t="shared" si="67"/>
        <v>1.1526042155289311E-2</v>
      </c>
      <c r="AM137" s="94">
        <f t="shared" si="68"/>
        <v>6.6934334456557679E-2</v>
      </c>
      <c r="AN137" s="93">
        <f t="shared" si="69"/>
        <v>0.82076998494428588</v>
      </c>
      <c r="AO137" s="96">
        <f t="shared" si="70"/>
        <v>2.0231670132435792E-3</v>
      </c>
      <c r="AP137" s="95">
        <f t="shared" si="71"/>
        <v>1.1928755282833506E-2</v>
      </c>
      <c r="AQ137" s="93">
        <f t="shared" si="72"/>
        <v>0.15292539655468007</v>
      </c>
      <c r="AR137" s="31">
        <v>1.5</v>
      </c>
      <c r="AS137" s="31">
        <v>1.5</v>
      </c>
      <c r="AT137" s="31">
        <v>7</v>
      </c>
      <c r="AU137" s="43">
        <v>7.0999999999999994E-2</v>
      </c>
      <c r="AV137" s="44">
        <v>0.28000000000000003</v>
      </c>
      <c r="AW137" s="43">
        <v>1.7999999999999999E-2</v>
      </c>
      <c r="AX137" s="44">
        <v>0.13</v>
      </c>
      <c r="AY137" s="44">
        <v>6.3169879599642149</v>
      </c>
      <c r="AZ137" s="46">
        <v>0.5</v>
      </c>
      <c r="BA137" s="44">
        <v>0.72</v>
      </c>
      <c r="BB137" s="47">
        <v>1</v>
      </c>
      <c r="BC137" s="46">
        <v>2.8979862246705488</v>
      </c>
      <c r="BD137" s="47">
        <v>22.894025067660383</v>
      </c>
      <c r="BE137" s="47">
        <v>74.207988707669074</v>
      </c>
      <c r="BF137" s="125">
        <v>1</v>
      </c>
      <c r="BG137" s="48">
        <f t="shared" si="94"/>
        <v>3.6631769931111278E-3</v>
      </c>
      <c r="BH137" s="48">
        <f t="shared" si="95"/>
        <v>3.6631769931111278E-3</v>
      </c>
      <c r="BI137" s="99">
        <f t="shared" si="96"/>
        <v>1.061583646456613E-4</v>
      </c>
      <c r="BJ137" s="99">
        <f t="shared" si="97"/>
        <v>8.3864865907562957E-4</v>
      </c>
      <c r="BK137" s="48">
        <f t="shared" si="98"/>
        <v>2.7183699693898371E-3</v>
      </c>
      <c r="BL137" s="99">
        <f t="shared" si="73"/>
        <v>1.6735359168041996E-4</v>
      </c>
      <c r="BM137" s="48">
        <f t="shared" si="74"/>
        <v>8.9590643068973184E-4</v>
      </c>
      <c r="BN137" s="48">
        <f t="shared" si="75"/>
        <v>1.2579729886134444E-3</v>
      </c>
      <c r="BO137" s="48">
        <f t="shared" si="76"/>
        <v>4.0775549540847554E-3</v>
      </c>
      <c r="BP137" s="99">
        <f t="shared" si="77"/>
        <v>2.5103038752062991E-4</v>
      </c>
      <c r="BQ137" s="48">
        <f t="shared" si="78"/>
        <v>1.3438596460345978E-3</v>
      </c>
      <c r="BR137" s="40">
        <f t="shared" si="79"/>
        <v>0.25792011292330935</v>
      </c>
      <c r="BS137" s="31">
        <v>1.5</v>
      </c>
      <c r="BT137" s="31">
        <v>1.5</v>
      </c>
      <c r="BU137" s="43">
        <v>0.125</v>
      </c>
      <c r="BV137" s="44">
        <v>0.42</v>
      </c>
      <c r="BW137" s="43">
        <v>2.3E-2</v>
      </c>
      <c r="BX137" s="44">
        <v>0.2</v>
      </c>
      <c r="BY137" s="44">
        <v>15.675043576489315</v>
      </c>
      <c r="BZ137" s="44">
        <v>0.52</v>
      </c>
      <c r="CA137" s="44">
        <v>0.65</v>
      </c>
      <c r="CB137" s="47">
        <v>1</v>
      </c>
      <c r="CC137" s="46">
        <v>0.71600171560489401</v>
      </c>
      <c r="CD137" s="46">
        <v>21.755373924034487</v>
      </c>
      <c r="CE137" s="46">
        <v>77.528624360360624</v>
      </c>
      <c r="CF137" s="125">
        <v>1</v>
      </c>
      <c r="CG137" s="40">
        <f t="shared" si="99"/>
        <v>2.0590603948263449E-2</v>
      </c>
      <c r="CH137" s="40">
        <f t="shared" si="100"/>
        <v>2.0590603948263449E-2</v>
      </c>
      <c r="CI137" s="99">
        <f t="shared" si="101"/>
        <v>1.4742907752297534E-4</v>
      </c>
      <c r="CJ137" s="100">
        <f t="shared" si="102"/>
        <v>4.4795628821617224E-3</v>
      </c>
      <c r="CK137" s="100">
        <f t="shared" si="103"/>
        <v>1.5963611988578753E-2</v>
      </c>
      <c r="CL137" s="101">
        <f t="shared" si="80"/>
        <v>7.8319213997632615E-4</v>
      </c>
      <c r="CM137" s="100">
        <f t="shared" si="81"/>
        <v>4.1415713223298851E-3</v>
      </c>
      <c r="CN137" s="100">
        <f t="shared" si="82"/>
        <v>6.7193443232425841E-3</v>
      </c>
      <c r="CO137" s="100">
        <f t="shared" si="83"/>
        <v>2.3945417982868131E-2</v>
      </c>
      <c r="CP137" s="101">
        <f t="shared" si="84"/>
        <v>1.1747882099644893E-3</v>
      </c>
      <c r="CQ137" s="100">
        <f t="shared" si="85"/>
        <v>6.2123569834948277E-3</v>
      </c>
      <c r="CR137" s="99">
        <f t="shared" si="86"/>
        <v>0.22471375639639382</v>
      </c>
      <c r="CS137" s="31">
        <v>1.5</v>
      </c>
      <c r="CT137" s="31">
        <v>1.5</v>
      </c>
      <c r="CU137" s="43">
        <v>0.1</v>
      </c>
      <c r="CV137" s="44">
        <v>0.39</v>
      </c>
      <c r="CW137" s="43">
        <v>2.1000000000000001E-2</v>
      </c>
      <c r="CX137" s="44">
        <v>0.15</v>
      </c>
    </row>
    <row r="138" spans="1:102" s="27" customFormat="1" x14ac:dyDescent="0.25">
      <c r="A138" s="31">
        <v>124</v>
      </c>
      <c r="B138" s="84" t="s">
        <v>91</v>
      </c>
      <c r="C138" s="19">
        <v>40</v>
      </c>
      <c r="D138" s="31" t="s">
        <v>36</v>
      </c>
      <c r="E138" s="31" t="s">
        <v>5</v>
      </c>
      <c r="F138" s="19" t="s">
        <v>0</v>
      </c>
      <c r="G138" s="31" t="str">
        <f t="shared" si="87"/>
        <v>Kommunal 40 M 4L D</v>
      </c>
      <c r="H138" s="48">
        <f t="shared" si="53"/>
        <v>6.0296420015609253E-2</v>
      </c>
      <c r="I138" s="40">
        <f t="shared" si="54"/>
        <v>6.3830511755396294E-2</v>
      </c>
      <c r="J138" s="99">
        <f t="shared" si="55"/>
        <v>2.5358744216863666E-4</v>
      </c>
      <c r="K138" s="48">
        <f t="shared" si="56"/>
        <v>9.3447904959337476E-3</v>
      </c>
      <c r="L138" s="48">
        <f t="shared" si="57"/>
        <v>5.4232133817293915E-2</v>
      </c>
      <c r="M138" s="48">
        <f t="shared" si="88"/>
        <v>0.20352358131141873</v>
      </c>
      <c r="N138" s="99">
        <f t="shared" si="58"/>
        <v>1.8763355709080459E-3</v>
      </c>
      <c r="O138" s="48">
        <f t="shared" si="59"/>
        <v>1.07864396020469E-2</v>
      </c>
      <c r="P138" s="48">
        <f t="shared" si="60"/>
        <v>1.4017185743900623E-2</v>
      </c>
      <c r="Q138" s="48">
        <f t="shared" si="61"/>
        <v>8.1348200725940872E-2</v>
      </c>
      <c r="R138" s="40">
        <f t="shared" si="89"/>
        <v>1.4246650691799312</v>
      </c>
      <c r="S138" s="99">
        <f t="shared" si="62"/>
        <v>2.8145033563620691E-3</v>
      </c>
      <c r="T138" s="48">
        <f t="shared" si="63"/>
        <v>1.617965940307035E-2</v>
      </c>
      <c r="U138" s="44">
        <v>1.4892292800000007</v>
      </c>
      <c r="V138" s="44">
        <v>1.2</v>
      </c>
      <c r="W138" s="19">
        <v>0</v>
      </c>
      <c r="X138" s="44">
        <v>1.0980530790907983</v>
      </c>
      <c r="Y138" s="46">
        <v>0</v>
      </c>
      <c r="Z138" s="46">
        <v>10.174107036829358</v>
      </c>
      <c r="AA138" s="46">
        <v>89.825892963170645</v>
      </c>
      <c r="AB138" s="46">
        <v>5.1425061425061411</v>
      </c>
      <c r="AC138" s="125">
        <v>1</v>
      </c>
      <c r="AD138" s="94">
        <f t="shared" si="90"/>
        <v>3.6042639074234682E-2</v>
      </c>
      <c r="AE138" s="94">
        <f t="shared" si="91"/>
        <v>3.9576730814021716E-2</v>
      </c>
      <c r="AF138" s="96">
        <f t="shared" si="64"/>
        <v>0</v>
      </c>
      <c r="AG138" s="95">
        <f t="shared" si="104"/>
        <v>4.0265789546963969E-3</v>
      </c>
      <c r="AH138" s="94">
        <f t="shared" si="92"/>
        <v>3.5550151859325321E-2</v>
      </c>
      <c r="AI138" s="94">
        <f t="shared" si="93"/>
        <v>0.20352358131141873</v>
      </c>
      <c r="AJ138" s="96">
        <f t="shared" si="65"/>
        <v>9.2578983925129985E-4</v>
      </c>
      <c r="AK138" s="95">
        <f t="shared" si="66"/>
        <v>5.7489618490272829E-3</v>
      </c>
      <c r="AL138" s="95">
        <f t="shared" si="67"/>
        <v>6.0398684320445949E-3</v>
      </c>
      <c r="AM138" s="94">
        <f t="shared" si="68"/>
        <v>5.3325227788987982E-2</v>
      </c>
      <c r="AN138" s="93">
        <f t="shared" si="69"/>
        <v>1.4246650691799312</v>
      </c>
      <c r="AO138" s="96">
        <f t="shared" si="70"/>
        <v>1.3886847588769498E-3</v>
      </c>
      <c r="AP138" s="95">
        <f t="shared" si="71"/>
        <v>8.6234427735409243E-3</v>
      </c>
      <c r="AQ138" s="93">
        <f t="shared" si="72"/>
        <v>0.10174107036829359</v>
      </c>
      <c r="AR138" s="31">
        <v>1.5</v>
      </c>
      <c r="AS138" s="31">
        <v>1.5</v>
      </c>
      <c r="AT138" s="31">
        <v>7</v>
      </c>
      <c r="AU138" s="43">
        <v>7.0999999999999994E-2</v>
      </c>
      <c r="AV138" s="44">
        <v>0.28000000000000003</v>
      </c>
      <c r="AW138" s="43">
        <v>1.7999999999999999E-2</v>
      </c>
      <c r="AX138" s="44">
        <v>0.13</v>
      </c>
      <c r="AY138" s="44">
        <v>6.3169879599642149</v>
      </c>
      <c r="AZ138" s="46">
        <v>0.5</v>
      </c>
      <c r="BA138" s="44">
        <v>0.72</v>
      </c>
      <c r="BB138" s="47">
        <v>1</v>
      </c>
      <c r="BC138" s="46">
        <v>2.8979862246705488</v>
      </c>
      <c r="BD138" s="47">
        <v>22.894025067660383</v>
      </c>
      <c r="BE138" s="47">
        <v>74.207988707669074</v>
      </c>
      <c r="BF138" s="125">
        <v>1</v>
      </c>
      <c r="BG138" s="48">
        <f t="shared" si="94"/>
        <v>3.6631769931111278E-3</v>
      </c>
      <c r="BH138" s="48">
        <f t="shared" si="95"/>
        <v>3.6631769931111278E-3</v>
      </c>
      <c r="BI138" s="99">
        <f t="shared" si="96"/>
        <v>1.061583646456613E-4</v>
      </c>
      <c r="BJ138" s="99">
        <f t="shared" si="97"/>
        <v>8.3864865907562957E-4</v>
      </c>
      <c r="BK138" s="48">
        <f t="shared" si="98"/>
        <v>2.7183699693898371E-3</v>
      </c>
      <c r="BL138" s="99">
        <f t="shared" si="73"/>
        <v>1.6735359168041996E-4</v>
      </c>
      <c r="BM138" s="48">
        <f t="shared" si="74"/>
        <v>8.9590643068973184E-4</v>
      </c>
      <c r="BN138" s="48">
        <f t="shared" si="75"/>
        <v>1.2579729886134444E-3</v>
      </c>
      <c r="BO138" s="48">
        <f t="shared" si="76"/>
        <v>4.0775549540847554E-3</v>
      </c>
      <c r="BP138" s="99">
        <f t="shared" si="77"/>
        <v>2.5103038752062991E-4</v>
      </c>
      <c r="BQ138" s="48">
        <f t="shared" si="78"/>
        <v>1.3438596460345978E-3</v>
      </c>
      <c r="BR138" s="40">
        <f t="shared" si="79"/>
        <v>0.25792011292330935</v>
      </c>
      <c r="BS138" s="31">
        <v>1.5</v>
      </c>
      <c r="BT138" s="31">
        <v>1.5</v>
      </c>
      <c r="BU138" s="43">
        <v>0.125</v>
      </c>
      <c r="BV138" s="44">
        <v>0.42</v>
      </c>
      <c r="BW138" s="43">
        <v>2.3E-2</v>
      </c>
      <c r="BX138" s="44">
        <v>0.2</v>
      </c>
      <c r="BY138" s="44">
        <v>15.675043576489315</v>
      </c>
      <c r="BZ138" s="44">
        <v>0.52</v>
      </c>
      <c r="CA138" s="44">
        <v>0.65</v>
      </c>
      <c r="CB138" s="47">
        <v>1</v>
      </c>
      <c r="CC138" s="46">
        <v>0.71600171560489401</v>
      </c>
      <c r="CD138" s="46">
        <v>21.755373924034487</v>
      </c>
      <c r="CE138" s="46">
        <v>77.528624360360624</v>
      </c>
      <c r="CF138" s="125">
        <v>1</v>
      </c>
      <c r="CG138" s="40">
        <f t="shared" si="99"/>
        <v>2.0590603948263449E-2</v>
      </c>
      <c r="CH138" s="40">
        <f t="shared" si="100"/>
        <v>2.0590603948263449E-2</v>
      </c>
      <c r="CI138" s="99">
        <f t="shared" si="101"/>
        <v>1.4742907752297534E-4</v>
      </c>
      <c r="CJ138" s="100">
        <f t="shared" si="102"/>
        <v>4.4795628821617224E-3</v>
      </c>
      <c r="CK138" s="100">
        <f t="shared" si="103"/>
        <v>1.5963611988578753E-2</v>
      </c>
      <c r="CL138" s="101">
        <f t="shared" si="80"/>
        <v>7.8319213997632615E-4</v>
      </c>
      <c r="CM138" s="100">
        <f t="shared" si="81"/>
        <v>4.1415713223298851E-3</v>
      </c>
      <c r="CN138" s="100">
        <f t="shared" si="82"/>
        <v>6.7193443232425841E-3</v>
      </c>
      <c r="CO138" s="100">
        <f t="shared" si="83"/>
        <v>2.3945417982868131E-2</v>
      </c>
      <c r="CP138" s="101">
        <f t="shared" si="84"/>
        <v>1.1747882099644893E-3</v>
      </c>
      <c r="CQ138" s="100">
        <f t="shared" si="85"/>
        <v>6.2123569834948277E-3</v>
      </c>
      <c r="CR138" s="99">
        <f t="shared" si="86"/>
        <v>0.22471375639639382</v>
      </c>
      <c r="CS138" s="31">
        <v>1.5</v>
      </c>
      <c r="CT138" s="31">
        <v>1.5</v>
      </c>
      <c r="CU138" s="43">
        <v>0.1</v>
      </c>
      <c r="CV138" s="44">
        <v>0.39</v>
      </c>
      <c r="CW138" s="43">
        <v>2.1000000000000001E-2</v>
      </c>
      <c r="CX138" s="44">
        <v>0.15</v>
      </c>
    </row>
    <row r="139" spans="1:102" s="27" customFormat="1" x14ac:dyDescent="0.25">
      <c r="A139" s="31">
        <v>125</v>
      </c>
      <c r="B139" s="84" t="s">
        <v>91</v>
      </c>
      <c r="C139" s="19">
        <v>40</v>
      </c>
      <c r="D139" s="31" t="s">
        <v>36</v>
      </c>
      <c r="E139" s="31" t="s">
        <v>5</v>
      </c>
      <c r="F139" s="19" t="s">
        <v>62</v>
      </c>
      <c r="G139" s="31" t="str">
        <f t="shared" si="87"/>
        <v>Kommunal 40 M 4L EE</v>
      </c>
      <c r="H139" s="48">
        <f t="shared" si="53"/>
        <v>0.13727016261048539</v>
      </c>
      <c r="I139" s="40">
        <f t="shared" si="54"/>
        <v>0.12002092081145486</v>
      </c>
      <c r="J139" s="99">
        <f t="shared" si="55"/>
        <v>9.2732504229701583E-4</v>
      </c>
      <c r="K139" s="48">
        <f t="shared" si="56"/>
        <v>1.7600930784521514E-2</v>
      </c>
      <c r="L139" s="48">
        <f t="shared" si="57"/>
        <v>0.10149266498463633</v>
      </c>
      <c r="M139" s="48">
        <f t="shared" si="88"/>
        <v>0.24335162737524657</v>
      </c>
      <c r="N139" s="99">
        <f t="shared" si="58"/>
        <v>3.3132110924099407E-3</v>
      </c>
      <c r="O139" s="48">
        <f t="shared" si="59"/>
        <v>1.9242027934605992E-2</v>
      </c>
      <c r="P139" s="48">
        <f t="shared" si="60"/>
        <v>2.6401396176782273E-2</v>
      </c>
      <c r="Q139" s="48">
        <f t="shared" si="61"/>
        <v>0.15223899747695452</v>
      </c>
      <c r="R139" s="40">
        <f t="shared" si="89"/>
        <v>1.7034613916267261</v>
      </c>
      <c r="S139" s="99">
        <f t="shared" si="62"/>
        <v>4.969816638614912E-3</v>
      </c>
      <c r="T139" s="48">
        <f t="shared" si="63"/>
        <v>2.8863041901908984E-2</v>
      </c>
      <c r="U139" s="44">
        <v>7.2466099200000027</v>
      </c>
      <c r="V139" s="44">
        <v>1.2</v>
      </c>
      <c r="W139" s="19">
        <v>0.2</v>
      </c>
      <c r="X139" s="44">
        <v>0.84737396876204341</v>
      </c>
      <c r="Y139" s="46">
        <v>0.70351646821904235</v>
      </c>
      <c r="Z139" s="46">
        <v>12.825609347785846</v>
      </c>
      <c r="AA139" s="46">
        <v>86.470874183995122</v>
      </c>
      <c r="AB139" s="46">
        <v>2.5410764872521252</v>
      </c>
      <c r="AC139" s="125">
        <v>1</v>
      </c>
      <c r="AD139" s="94">
        <f t="shared" si="90"/>
        <v>0.11301638166911082</v>
      </c>
      <c r="AE139" s="94">
        <f t="shared" si="91"/>
        <v>9.5767139870080287E-2</v>
      </c>
      <c r="AF139" s="96">
        <f t="shared" si="64"/>
        <v>6.7373760012837916E-4</v>
      </c>
      <c r="AG139" s="95">
        <f t="shared" si="104"/>
        <v>1.2282719243284163E-2</v>
      </c>
      <c r="AH139" s="94">
        <f t="shared" si="92"/>
        <v>8.2810683026667747E-2</v>
      </c>
      <c r="AI139" s="94">
        <f t="shared" si="93"/>
        <v>0.24335162737524657</v>
      </c>
      <c r="AJ139" s="96">
        <f t="shared" si="65"/>
        <v>2.3626653607531946E-3</v>
      </c>
      <c r="AK139" s="95">
        <f t="shared" si="66"/>
        <v>1.4204550181586372E-2</v>
      </c>
      <c r="AL139" s="95">
        <f t="shared" si="67"/>
        <v>1.8424078864926245E-2</v>
      </c>
      <c r="AM139" s="94">
        <f t="shared" si="68"/>
        <v>0.12421602454000162</v>
      </c>
      <c r="AN139" s="93">
        <f t="shared" si="69"/>
        <v>1.7034613916267261</v>
      </c>
      <c r="AO139" s="96">
        <f t="shared" si="70"/>
        <v>3.5439980411297927E-3</v>
      </c>
      <c r="AP139" s="95">
        <f t="shared" si="71"/>
        <v>2.1306825272379558E-2</v>
      </c>
      <c r="AQ139" s="93">
        <f t="shared" si="72"/>
        <v>0.13529125816004889</v>
      </c>
      <c r="AR139" s="31">
        <v>1.5</v>
      </c>
      <c r="AS139" s="31">
        <v>1.5</v>
      </c>
      <c r="AT139" s="31">
        <v>7</v>
      </c>
      <c r="AU139" s="43">
        <v>7.0999999999999994E-2</v>
      </c>
      <c r="AV139" s="44">
        <v>0.28000000000000003</v>
      </c>
      <c r="AW139" s="43">
        <v>1.7999999999999999E-2</v>
      </c>
      <c r="AX139" s="44">
        <v>0.13</v>
      </c>
      <c r="AY139" s="44">
        <v>6.3169879599642149</v>
      </c>
      <c r="AZ139" s="46">
        <v>0.5</v>
      </c>
      <c r="BA139" s="44">
        <v>0.72</v>
      </c>
      <c r="BB139" s="47">
        <v>1</v>
      </c>
      <c r="BC139" s="46">
        <v>2.8979862246705488</v>
      </c>
      <c r="BD139" s="47">
        <v>22.894025067660383</v>
      </c>
      <c r="BE139" s="47">
        <v>74.207988707669074</v>
      </c>
      <c r="BF139" s="125">
        <v>1</v>
      </c>
      <c r="BG139" s="48">
        <f t="shared" si="94"/>
        <v>3.6631769931111278E-3</v>
      </c>
      <c r="BH139" s="48">
        <f t="shared" si="95"/>
        <v>3.6631769931111278E-3</v>
      </c>
      <c r="BI139" s="99">
        <f t="shared" si="96"/>
        <v>1.061583646456613E-4</v>
      </c>
      <c r="BJ139" s="99">
        <f t="shared" si="97"/>
        <v>8.3864865907562957E-4</v>
      </c>
      <c r="BK139" s="48">
        <f t="shared" si="98"/>
        <v>2.7183699693898371E-3</v>
      </c>
      <c r="BL139" s="99">
        <f t="shared" si="73"/>
        <v>1.6735359168041996E-4</v>
      </c>
      <c r="BM139" s="48">
        <f t="shared" si="74"/>
        <v>8.9590643068973184E-4</v>
      </c>
      <c r="BN139" s="48">
        <f t="shared" si="75"/>
        <v>1.2579729886134444E-3</v>
      </c>
      <c r="BO139" s="48">
        <f t="shared" si="76"/>
        <v>4.0775549540847554E-3</v>
      </c>
      <c r="BP139" s="99">
        <f t="shared" si="77"/>
        <v>2.5103038752062991E-4</v>
      </c>
      <c r="BQ139" s="48">
        <f t="shared" si="78"/>
        <v>1.3438596460345978E-3</v>
      </c>
      <c r="BR139" s="40">
        <f t="shared" si="79"/>
        <v>0.25792011292330935</v>
      </c>
      <c r="BS139" s="31">
        <v>1.5</v>
      </c>
      <c r="BT139" s="31">
        <v>1.5</v>
      </c>
      <c r="BU139" s="43">
        <v>0.125</v>
      </c>
      <c r="BV139" s="44">
        <v>0.42</v>
      </c>
      <c r="BW139" s="43">
        <v>2.3E-2</v>
      </c>
      <c r="BX139" s="44">
        <v>0.2</v>
      </c>
      <c r="BY139" s="44">
        <v>15.675043576489315</v>
      </c>
      <c r="BZ139" s="44">
        <v>0.52</v>
      </c>
      <c r="CA139" s="44">
        <v>0.65</v>
      </c>
      <c r="CB139" s="47">
        <v>1</v>
      </c>
      <c r="CC139" s="46">
        <v>0.71600171560489401</v>
      </c>
      <c r="CD139" s="46">
        <v>21.755373924034487</v>
      </c>
      <c r="CE139" s="46">
        <v>77.528624360360624</v>
      </c>
      <c r="CF139" s="125">
        <v>1</v>
      </c>
      <c r="CG139" s="40">
        <f t="shared" si="99"/>
        <v>2.0590603948263449E-2</v>
      </c>
      <c r="CH139" s="40">
        <f t="shared" si="100"/>
        <v>2.0590603948263449E-2</v>
      </c>
      <c r="CI139" s="99">
        <f t="shared" si="101"/>
        <v>1.4742907752297534E-4</v>
      </c>
      <c r="CJ139" s="100">
        <f t="shared" si="102"/>
        <v>4.4795628821617224E-3</v>
      </c>
      <c r="CK139" s="100">
        <f t="shared" si="103"/>
        <v>1.5963611988578753E-2</v>
      </c>
      <c r="CL139" s="101">
        <f t="shared" si="80"/>
        <v>7.8319213997632615E-4</v>
      </c>
      <c r="CM139" s="100">
        <f t="shared" si="81"/>
        <v>4.1415713223298851E-3</v>
      </c>
      <c r="CN139" s="100">
        <f t="shared" si="82"/>
        <v>6.7193443232425841E-3</v>
      </c>
      <c r="CO139" s="100">
        <f t="shared" si="83"/>
        <v>2.3945417982868131E-2</v>
      </c>
      <c r="CP139" s="101">
        <f t="shared" si="84"/>
        <v>1.1747882099644893E-3</v>
      </c>
      <c r="CQ139" s="100">
        <f t="shared" si="85"/>
        <v>6.2123569834948277E-3</v>
      </c>
      <c r="CR139" s="99">
        <f t="shared" si="86"/>
        <v>0.22471375639639382</v>
      </c>
      <c r="CS139" s="31">
        <v>1.5</v>
      </c>
      <c r="CT139" s="31">
        <v>1.5</v>
      </c>
      <c r="CU139" s="43">
        <v>0.1</v>
      </c>
      <c r="CV139" s="44">
        <v>0.39</v>
      </c>
      <c r="CW139" s="43">
        <v>2.1000000000000001E-2</v>
      </c>
      <c r="CX139" s="44">
        <v>0.15</v>
      </c>
    </row>
    <row r="140" spans="1:102" s="27" customFormat="1" x14ac:dyDescent="0.25">
      <c r="A140" s="31">
        <v>126</v>
      </c>
      <c r="B140" s="84" t="s">
        <v>91</v>
      </c>
      <c r="C140" s="19">
        <v>40</v>
      </c>
      <c r="D140" s="31" t="s">
        <v>36</v>
      </c>
      <c r="E140" s="31" t="s">
        <v>5</v>
      </c>
      <c r="F140" s="19" t="s">
        <v>63</v>
      </c>
      <c r="G140" s="31" t="str">
        <f t="shared" si="87"/>
        <v>Kommunal 40 M 4L ES</v>
      </c>
      <c r="H140" s="48">
        <f t="shared" si="53"/>
        <v>9.5696335819193235E-2</v>
      </c>
      <c r="I140" s="40">
        <f t="shared" si="54"/>
        <v>9.1919555359564933E-2</v>
      </c>
      <c r="J140" s="99">
        <f t="shared" si="55"/>
        <v>2.5358744216863666E-4</v>
      </c>
      <c r="K140" s="48">
        <f t="shared" si="56"/>
        <v>1.2202599857843537E-2</v>
      </c>
      <c r="L140" s="48">
        <f t="shared" si="57"/>
        <v>7.9463368059552758E-2</v>
      </c>
      <c r="M140" s="48">
        <f t="shared" si="88"/>
        <v>0.19789848938946417</v>
      </c>
      <c r="N140" s="99">
        <f t="shared" si="58"/>
        <v>2.5334022519643003E-3</v>
      </c>
      <c r="O140" s="48">
        <f t="shared" si="59"/>
        <v>1.4866686674875292E-2</v>
      </c>
      <c r="P140" s="48">
        <f t="shared" si="60"/>
        <v>1.8303899786765308E-2</v>
      </c>
      <c r="Q140" s="48">
        <f t="shared" si="61"/>
        <v>0.11919505208932914</v>
      </c>
      <c r="R140" s="40">
        <f t="shared" si="89"/>
        <v>1.3852894257262491</v>
      </c>
      <c r="S140" s="99">
        <f t="shared" si="62"/>
        <v>3.8001033779464502E-3</v>
      </c>
      <c r="T140" s="48">
        <f t="shared" si="63"/>
        <v>2.2300030012312941E-2</v>
      </c>
      <c r="U140" s="44">
        <v>4.5808963199999999</v>
      </c>
      <c r="V140" s="44">
        <v>1.2</v>
      </c>
      <c r="W140" s="19">
        <v>0.2</v>
      </c>
      <c r="X140" s="44">
        <v>0.94713542277306062</v>
      </c>
      <c r="Y140" s="46">
        <v>0</v>
      </c>
      <c r="Z140" s="46">
        <v>10.17410703682936</v>
      </c>
      <c r="AA140" s="46">
        <v>89.825892963170645</v>
      </c>
      <c r="AB140" s="46">
        <v>2.9246467817896398</v>
      </c>
      <c r="AC140" s="125">
        <v>1</v>
      </c>
      <c r="AD140" s="94">
        <f t="shared" si="90"/>
        <v>7.1442554877818656E-2</v>
      </c>
      <c r="AE140" s="94">
        <f t="shared" si="91"/>
        <v>6.7665774418190355E-2</v>
      </c>
      <c r="AF140" s="96">
        <f t="shared" si="64"/>
        <v>0</v>
      </c>
      <c r="AG140" s="95">
        <f t="shared" si="104"/>
        <v>6.8843883166061857E-3</v>
      </c>
      <c r="AH140" s="94">
        <f t="shared" si="92"/>
        <v>6.0781386101584171E-2</v>
      </c>
      <c r="AI140" s="94">
        <f t="shared" si="93"/>
        <v>0.19789848938946417</v>
      </c>
      <c r="AJ140" s="96">
        <f t="shared" si="65"/>
        <v>1.5828565203075541E-3</v>
      </c>
      <c r="AK140" s="95">
        <f t="shared" si="66"/>
        <v>9.8292089218556741E-3</v>
      </c>
      <c r="AL140" s="95">
        <f t="shared" si="67"/>
        <v>1.0326582474909279E-2</v>
      </c>
      <c r="AM140" s="94">
        <f t="shared" si="68"/>
        <v>9.1172079152376254E-2</v>
      </c>
      <c r="AN140" s="93">
        <f t="shared" si="69"/>
        <v>1.3852894257262491</v>
      </c>
      <c r="AO140" s="96">
        <f t="shared" si="70"/>
        <v>2.3742847804613309E-3</v>
      </c>
      <c r="AP140" s="95">
        <f t="shared" si="71"/>
        <v>1.4743813382783513E-2</v>
      </c>
      <c r="AQ140" s="93">
        <f t="shared" si="72"/>
        <v>0.10174107036829359</v>
      </c>
      <c r="AR140" s="31">
        <v>1.5</v>
      </c>
      <c r="AS140" s="31">
        <v>1.5</v>
      </c>
      <c r="AT140" s="31">
        <v>7</v>
      </c>
      <c r="AU140" s="43">
        <v>7.0999999999999994E-2</v>
      </c>
      <c r="AV140" s="44">
        <v>0.28000000000000003</v>
      </c>
      <c r="AW140" s="43">
        <v>1.7999999999999999E-2</v>
      </c>
      <c r="AX140" s="44">
        <v>0.13</v>
      </c>
      <c r="AY140" s="44">
        <v>6.3169879599642149</v>
      </c>
      <c r="AZ140" s="46">
        <v>0.5</v>
      </c>
      <c r="BA140" s="44">
        <v>0.72</v>
      </c>
      <c r="BB140" s="47">
        <v>1</v>
      </c>
      <c r="BC140" s="46">
        <v>2.8979862246705488</v>
      </c>
      <c r="BD140" s="47">
        <v>22.894025067660383</v>
      </c>
      <c r="BE140" s="47">
        <v>74.207988707669074</v>
      </c>
      <c r="BF140" s="125">
        <v>1</v>
      </c>
      <c r="BG140" s="48">
        <f t="shared" si="94"/>
        <v>3.6631769931111278E-3</v>
      </c>
      <c r="BH140" s="48">
        <f t="shared" si="95"/>
        <v>3.6631769931111278E-3</v>
      </c>
      <c r="BI140" s="99">
        <f t="shared" si="96"/>
        <v>1.061583646456613E-4</v>
      </c>
      <c r="BJ140" s="99">
        <f t="shared" si="97"/>
        <v>8.3864865907562957E-4</v>
      </c>
      <c r="BK140" s="48">
        <f t="shared" si="98"/>
        <v>2.7183699693898371E-3</v>
      </c>
      <c r="BL140" s="99">
        <f t="shared" si="73"/>
        <v>1.6735359168041996E-4</v>
      </c>
      <c r="BM140" s="48">
        <f t="shared" si="74"/>
        <v>8.9590643068973184E-4</v>
      </c>
      <c r="BN140" s="48">
        <f t="shared" si="75"/>
        <v>1.2579729886134444E-3</v>
      </c>
      <c r="BO140" s="48">
        <f t="shared" si="76"/>
        <v>4.0775549540847554E-3</v>
      </c>
      <c r="BP140" s="99">
        <f t="shared" si="77"/>
        <v>2.5103038752062991E-4</v>
      </c>
      <c r="BQ140" s="48">
        <f t="shared" si="78"/>
        <v>1.3438596460345978E-3</v>
      </c>
      <c r="BR140" s="40">
        <f t="shared" si="79"/>
        <v>0.25792011292330935</v>
      </c>
      <c r="BS140" s="31">
        <v>1.5</v>
      </c>
      <c r="BT140" s="31">
        <v>1.5</v>
      </c>
      <c r="BU140" s="43">
        <v>0.125</v>
      </c>
      <c r="BV140" s="44">
        <v>0.42</v>
      </c>
      <c r="BW140" s="43">
        <v>2.3E-2</v>
      </c>
      <c r="BX140" s="44">
        <v>0.2</v>
      </c>
      <c r="BY140" s="44">
        <v>15.675043576489315</v>
      </c>
      <c r="BZ140" s="44">
        <v>0.52</v>
      </c>
      <c r="CA140" s="44">
        <v>0.65</v>
      </c>
      <c r="CB140" s="47">
        <v>1</v>
      </c>
      <c r="CC140" s="46">
        <v>0.71600171560489401</v>
      </c>
      <c r="CD140" s="46">
        <v>21.755373924034487</v>
      </c>
      <c r="CE140" s="46">
        <v>77.528624360360624</v>
      </c>
      <c r="CF140" s="125">
        <v>1</v>
      </c>
      <c r="CG140" s="40">
        <f t="shared" si="99"/>
        <v>2.0590603948263449E-2</v>
      </c>
      <c r="CH140" s="40">
        <f t="shared" si="100"/>
        <v>2.0590603948263449E-2</v>
      </c>
      <c r="CI140" s="99">
        <f t="shared" si="101"/>
        <v>1.4742907752297534E-4</v>
      </c>
      <c r="CJ140" s="100">
        <f t="shared" si="102"/>
        <v>4.4795628821617224E-3</v>
      </c>
      <c r="CK140" s="100">
        <f t="shared" si="103"/>
        <v>1.5963611988578753E-2</v>
      </c>
      <c r="CL140" s="101">
        <f t="shared" si="80"/>
        <v>7.8319213997632615E-4</v>
      </c>
      <c r="CM140" s="100">
        <f t="shared" si="81"/>
        <v>4.1415713223298851E-3</v>
      </c>
      <c r="CN140" s="100">
        <f t="shared" si="82"/>
        <v>6.7193443232425841E-3</v>
      </c>
      <c r="CO140" s="100">
        <f t="shared" si="83"/>
        <v>2.3945417982868131E-2</v>
      </c>
      <c r="CP140" s="101">
        <f t="shared" si="84"/>
        <v>1.1747882099644893E-3</v>
      </c>
      <c r="CQ140" s="100">
        <f t="shared" si="85"/>
        <v>6.2123569834948277E-3</v>
      </c>
      <c r="CR140" s="99">
        <f t="shared" si="86"/>
        <v>0.22471375639639382</v>
      </c>
      <c r="CS140" s="31">
        <v>1.5</v>
      </c>
      <c r="CT140" s="31">
        <v>1.5</v>
      </c>
      <c r="CU140" s="43">
        <v>0.1</v>
      </c>
      <c r="CV140" s="44">
        <v>0.39</v>
      </c>
      <c r="CW140" s="43">
        <v>2.1000000000000001E-2</v>
      </c>
      <c r="CX140" s="44">
        <v>0.15</v>
      </c>
    </row>
    <row r="141" spans="1:102" s="27" customFormat="1" x14ac:dyDescent="0.25">
      <c r="A141" s="31">
        <v>127</v>
      </c>
      <c r="B141" s="84" t="s">
        <v>91</v>
      </c>
      <c r="C141" s="19">
        <v>40</v>
      </c>
      <c r="D141" s="31" t="s">
        <v>36</v>
      </c>
      <c r="E141" s="31" t="s">
        <v>5</v>
      </c>
      <c r="F141" s="19" t="s">
        <v>64</v>
      </c>
      <c r="G141" s="31" t="str">
        <f t="shared" si="87"/>
        <v>Kommunal 40 M 4L F</v>
      </c>
      <c r="H141" s="48">
        <f t="shared" si="53"/>
        <v>3.7772542739281434E-2</v>
      </c>
      <c r="I141" s="40">
        <f t="shared" si="54"/>
        <v>3.7444476912397398E-2</v>
      </c>
      <c r="J141" s="99">
        <f t="shared" si="55"/>
        <v>3.4638616059748785E-4</v>
      </c>
      <c r="K141" s="48">
        <f t="shared" si="56"/>
        <v>7.0099986767348651E-3</v>
      </c>
      <c r="L141" s="48">
        <f t="shared" si="57"/>
        <v>3.0088092075065041E-2</v>
      </c>
      <c r="M141" s="48">
        <f t="shared" si="88"/>
        <v>4.7317083712568091E-2</v>
      </c>
      <c r="N141" s="99">
        <f t="shared" si="58"/>
        <v>1.2759726003848055E-3</v>
      </c>
      <c r="O141" s="48">
        <f t="shared" si="59"/>
        <v>6.9939724661814591E-3</v>
      </c>
      <c r="P141" s="48">
        <f t="shared" si="60"/>
        <v>1.0514998015102299E-2</v>
      </c>
      <c r="Q141" s="48">
        <f t="shared" si="61"/>
        <v>4.5132138112597558E-2</v>
      </c>
      <c r="R141" s="40">
        <f t="shared" si="89"/>
        <v>0.33121958598797663</v>
      </c>
      <c r="S141" s="99">
        <f t="shared" si="62"/>
        <v>1.9139589005772086E-3</v>
      </c>
      <c r="T141" s="48">
        <f t="shared" si="63"/>
        <v>1.0490958699272189E-2</v>
      </c>
      <c r="U141" s="44">
        <v>0.20459736000000003</v>
      </c>
      <c r="V141" s="19">
        <v>1.45</v>
      </c>
      <c r="W141" s="19">
        <v>0.5</v>
      </c>
      <c r="X141" s="44">
        <v>0.97573255363262401</v>
      </c>
      <c r="Y141" s="46">
        <v>0.70351646821904223</v>
      </c>
      <c r="Z141" s="46">
        <v>12.825609347785846</v>
      </c>
      <c r="AA141" s="46">
        <v>86.470874183995107</v>
      </c>
      <c r="AB141" s="46">
        <v>3.5871559633027528</v>
      </c>
      <c r="AC141" s="125">
        <v>1</v>
      </c>
      <c r="AD141" s="94">
        <f t="shared" si="90"/>
        <v>1.3518761797906852E-2</v>
      </c>
      <c r="AE141" s="94">
        <f t="shared" si="91"/>
        <v>1.3190695971022817E-2</v>
      </c>
      <c r="AF141" s="96">
        <f t="shared" si="64"/>
        <v>9.2798718428851215E-5</v>
      </c>
      <c r="AG141" s="95">
        <f t="shared" si="104"/>
        <v>1.6917871354975133E-3</v>
      </c>
      <c r="AH141" s="94">
        <f t="shared" si="92"/>
        <v>1.1406110117096451E-2</v>
      </c>
      <c r="AI141" s="94">
        <f t="shared" si="93"/>
        <v>4.7317083712568091E-2</v>
      </c>
      <c r="AJ141" s="96">
        <f t="shared" si="65"/>
        <v>3.2542686872805951E-4</v>
      </c>
      <c r="AK141" s="95">
        <f t="shared" si="66"/>
        <v>1.9564947131618425E-3</v>
      </c>
      <c r="AL141" s="95">
        <f t="shared" si="67"/>
        <v>2.5376807032462699E-3</v>
      </c>
      <c r="AM141" s="94">
        <f t="shared" si="68"/>
        <v>1.7109165175644675E-2</v>
      </c>
      <c r="AN141" s="93">
        <f t="shared" si="69"/>
        <v>0.33121958598797663</v>
      </c>
      <c r="AO141" s="96">
        <f t="shared" si="70"/>
        <v>4.8814030309208927E-4</v>
      </c>
      <c r="AP141" s="95">
        <f t="shared" si="71"/>
        <v>2.9347420697427634E-3</v>
      </c>
      <c r="AQ141" s="93">
        <f t="shared" si="72"/>
        <v>0.13529125816004889</v>
      </c>
      <c r="AR141" s="31">
        <v>1.5</v>
      </c>
      <c r="AS141" s="31">
        <v>1.5</v>
      </c>
      <c r="AT141" s="31">
        <v>7</v>
      </c>
      <c r="AU141" s="43">
        <v>7.0999999999999994E-2</v>
      </c>
      <c r="AV141" s="44">
        <v>0.28000000000000003</v>
      </c>
      <c r="AW141" s="43">
        <v>1.7999999999999999E-2</v>
      </c>
      <c r="AX141" s="44">
        <v>0.13</v>
      </c>
      <c r="AY141" s="44">
        <v>6.316987959964214</v>
      </c>
      <c r="AZ141" s="46">
        <v>0.5</v>
      </c>
      <c r="BA141" s="44">
        <v>0.72</v>
      </c>
      <c r="BB141" s="47">
        <v>1</v>
      </c>
      <c r="BC141" s="46">
        <v>2.8979862246705488</v>
      </c>
      <c r="BD141" s="47">
        <v>22.894025067660387</v>
      </c>
      <c r="BE141" s="47">
        <v>74.207988707669074</v>
      </c>
      <c r="BF141" s="125">
        <v>1</v>
      </c>
      <c r="BG141" s="48">
        <f t="shared" si="94"/>
        <v>3.6631769931111274E-3</v>
      </c>
      <c r="BH141" s="48">
        <f t="shared" si="95"/>
        <v>3.6631769931111274E-3</v>
      </c>
      <c r="BI141" s="99">
        <f t="shared" si="96"/>
        <v>1.0615836464566129E-4</v>
      </c>
      <c r="BJ141" s="99">
        <f t="shared" si="97"/>
        <v>8.3864865907562957E-4</v>
      </c>
      <c r="BK141" s="48">
        <f t="shared" si="98"/>
        <v>2.7183699693898366E-3</v>
      </c>
      <c r="BL141" s="99">
        <f t="shared" si="73"/>
        <v>1.6735359168041993E-4</v>
      </c>
      <c r="BM141" s="48">
        <f t="shared" si="74"/>
        <v>8.9590643068973184E-4</v>
      </c>
      <c r="BN141" s="48">
        <f t="shared" si="75"/>
        <v>1.2579729886134444E-3</v>
      </c>
      <c r="BO141" s="48">
        <f t="shared" si="76"/>
        <v>4.0775549540847545E-3</v>
      </c>
      <c r="BP141" s="99">
        <f t="shared" si="77"/>
        <v>2.5103038752062991E-4</v>
      </c>
      <c r="BQ141" s="48">
        <f t="shared" si="78"/>
        <v>1.3438596460345975E-3</v>
      </c>
      <c r="BR141" s="40">
        <f t="shared" si="79"/>
        <v>0.25792011292330935</v>
      </c>
      <c r="BS141" s="31">
        <v>1.5</v>
      </c>
      <c r="BT141" s="31">
        <v>1.5</v>
      </c>
      <c r="BU141" s="43">
        <v>0.125</v>
      </c>
      <c r="BV141" s="44">
        <v>0.42</v>
      </c>
      <c r="BW141" s="43">
        <v>2.3E-2</v>
      </c>
      <c r="BX141" s="44">
        <v>0.2</v>
      </c>
      <c r="BY141" s="44">
        <v>15.675043576489314</v>
      </c>
      <c r="BZ141" s="44">
        <v>0.52</v>
      </c>
      <c r="CA141" s="44">
        <v>0.65</v>
      </c>
      <c r="CB141" s="47">
        <v>1</v>
      </c>
      <c r="CC141" s="46">
        <v>0.71600171560489401</v>
      </c>
      <c r="CD141" s="46">
        <v>21.755373924034487</v>
      </c>
      <c r="CE141" s="46">
        <v>77.528624360360624</v>
      </c>
      <c r="CF141" s="125">
        <v>1</v>
      </c>
      <c r="CG141" s="40">
        <f t="shared" si="99"/>
        <v>2.0590603948263449E-2</v>
      </c>
      <c r="CH141" s="40">
        <f t="shared" si="100"/>
        <v>2.0590603948263449E-2</v>
      </c>
      <c r="CI141" s="99">
        <f t="shared" si="101"/>
        <v>1.4742907752297534E-4</v>
      </c>
      <c r="CJ141" s="100">
        <f t="shared" si="102"/>
        <v>4.4795628821617224E-3</v>
      </c>
      <c r="CK141" s="100">
        <f t="shared" si="103"/>
        <v>1.5963611988578753E-2</v>
      </c>
      <c r="CL141" s="101">
        <f t="shared" si="80"/>
        <v>7.8319213997632615E-4</v>
      </c>
      <c r="CM141" s="100">
        <f t="shared" si="81"/>
        <v>4.1415713223298851E-3</v>
      </c>
      <c r="CN141" s="100">
        <f t="shared" si="82"/>
        <v>6.7193443232425841E-3</v>
      </c>
      <c r="CO141" s="100">
        <f t="shared" si="83"/>
        <v>2.3945417982868131E-2</v>
      </c>
      <c r="CP141" s="101">
        <f t="shared" si="84"/>
        <v>1.1747882099644893E-3</v>
      </c>
      <c r="CQ141" s="100">
        <f t="shared" si="85"/>
        <v>6.2123569834948277E-3</v>
      </c>
      <c r="CR141" s="99">
        <f t="shared" si="86"/>
        <v>0.22471375639639382</v>
      </c>
      <c r="CS141" s="31">
        <v>1.5</v>
      </c>
      <c r="CT141" s="31">
        <v>1.5</v>
      </c>
      <c r="CU141" s="43">
        <v>0.1</v>
      </c>
      <c r="CV141" s="44">
        <v>0.39</v>
      </c>
      <c r="CW141" s="43">
        <v>2.1000000000000001E-2</v>
      </c>
      <c r="CX141" s="44">
        <v>0.15</v>
      </c>
    </row>
    <row r="142" spans="1:102" s="27" customFormat="1" x14ac:dyDescent="0.25">
      <c r="A142" s="31">
        <v>128</v>
      </c>
      <c r="B142" s="84" t="s">
        <v>91</v>
      </c>
      <c r="C142" s="19">
        <v>40</v>
      </c>
      <c r="D142" s="31" t="s">
        <v>36</v>
      </c>
      <c r="E142" s="31" t="s">
        <v>6</v>
      </c>
      <c r="F142" s="19" t="s">
        <v>12</v>
      </c>
      <c r="G142" s="31" t="str">
        <f t="shared" si="87"/>
        <v>Kommunal 40 Y 4L A</v>
      </c>
      <c r="H142" s="48">
        <f t="shared" si="53"/>
        <v>9.7982168868846364E-2</v>
      </c>
      <c r="I142" s="40">
        <f t="shared" si="54"/>
        <v>0.10055695812639706</v>
      </c>
      <c r="J142" s="99">
        <f t="shared" si="55"/>
        <v>1.3382991828578708E-3</v>
      </c>
      <c r="K142" s="48">
        <f t="shared" si="56"/>
        <v>1.7842424013896491E-2</v>
      </c>
      <c r="L142" s="48">
        <f t="shared" si="57"/>
        <v>8.1376234929642702E-2</v>
      </c>
      <c r="M142" s="48">
        <f t="shared" si="88"/>
        <v>0.1380315901886362</v>
      </c>
      <c r="N142" s="99">
        <f t="shared" si="58"/>
        <v>2.9682613707056782E-3</v>
      </c>
      <c r="O142" s="48">
        <f t="shared" si="59"/>
        <v>1.6694510131681807E-2</v>
      </c>
      <c r="P142" s="48">
        <f t="shared" si="60"/>
        <v>2.6763636020844729E-2</v>
      </c>
      <c r="Q142" s="48">
        <f t="shared" si="61"/>
        <v>0.12206435239446403</v>
      </c>
      <c r="R142" s="40">
        <f t="shared" si="89"/>
        <v>0.9662211313204534</v>
      </c>
      <c r="S142" s="99">
        <f t="shared" si="62"/>
        <v>4.4523920560585175E-3</v>
      </c>
      <c r="T142" s="48">
        <f t="shared" si="63"/>
        <v>2.5041765197522707E-2</v>
      </c>
      <c r="U142" s="44">
        <v>1.3900233600000003</v>
      </c>
      <c r="V142" s="19">
        <v>1.45</v>
      </c>
      <c r="W142" s="46">
        <v>0.6</v>
      </c>
      <c r="X142" s="44">
        <v>1.0349226306166297</v>
      </c>
      <c r="Y142" s="46">
        <v>1.4215813557264974</v>
      </c>
      <c r="Z142" s="46">
        <v>16.413749642809776</v>
      </c>
      <c r="AA142" s="46">
        <v>82.164669001463722</v>
      </c>
      <c r="AB142" s="46">
        <v>1.808988764044944</v>
      </c>
      <c r="AC142" s="125">
        <v>1</v>
      </c>
      <c r="AD142" s="94">
        <f t="shared" si="90"/>
        <v>7.37283879274718E-2</v>
      </c>
      <c r="AE142" s="94">
        <f t="shared" si="91"/>
        <v>7.6303177185022483E-2</v>
      </c>
      <c r="AF142" s="96">
        <f t="shared" si="64"/>
        <v>1.084711740689234E-3</v>
      </c>
      <c r="AG142" s="95">
        <f t="shared" si="104"/>
        <v>1.2524212472659137E-2</v>
      </c>
      <c r="AH142" s="94">
        <f t="shared" si="92"/>
        <v>6.2694252971674108E-2</v>
      </c>
      <c r="AI142" s="94">
        <f t="shared" si="93"/>
        <v>0.1380315901886362</v>
      </c>
      <c r="AJ142" s="96">
        <f t="shared" si="65"/>
        <v>2.0177156390489325E-3</v>
      </c>
      <c r="AK142" s="95">
        <f t="shared" si="66"/>
        <v>1.1657032378662193E-2</v>
      </c>
      <c r="AL142" s="95">
        <f t="shared" si="67"/>
        <v>1.8786318708988704E-2</v>
      </c>
      <c r="AM142" s="94">
        <f t="shared" si="68"/>
        <v>9.4041379457511162E-2</v>
      </c>
      <c r="AN142" s="93">
        <f t="shared" si="69"/>
        <v>0.9662211313204534</v>
      </c>
      <c r="AO142" s="96">
        <f t="shared" si="70"/>
        <v>3.0265734585733987E-3</v>
      </c>
      <c r="AP142" s="95">
        <f t="shared" si="71"/>
        <v>1.7485548567993288E-2</v>
      </c>
      <c r="AQ142" s="93">
        <f t="shared" si="72"/>
        <v>0.17835330998536272</v>
      </c>
      <c r="AR142" s="31">
        <v>1.5</v>
      </c>
      <c r="AS142" s="31">
        <v>1.5</v>
      </c>
      <c r="AT142" s="31">
        <v>7</v>
      </c>
      <c r="AU142" s="43">
        <v>7.0999999999999994E-2</v>
      </c>
      <c r="AV142" s="44">
        <v>0.28000000000000003</v>
      </c>
      <c r="AW142" s="43">
        <v>1.7999999999999999E-2</v>
      </c>
      <c r="AX142" s="44">
        <v>0.13</v>
      </c>
      <c r="AY142" s="44">
        <v>6.3169879599642158</v>
      </c>
      <c r="AZ142" s="46">
        <v>0.5</v>
      </c>
      <c r="BA142" s="44">
        <v>0.72</v>
      </c>
      <c r="BB142" s="47">
        <v>1</v>
      </c>
      <c r="BC142" s="46">
        <v>2.8979862246705483</v>
      </c>
      <c r="BD142" s="47">
        <v>22.894025067660383</v>
      </c>
      <c r="BE142" s="47">
        <v>74.207988707669074</v>
      </c>
      <c r="BF142" s="125">
        <v>1</v>
      </c>
      <c r="BG142" s="48">
        <f t="shared" si="94"/>
        <v>3.6631769931111287E-3</v>
      </c>
      <c r="BH142" s="48">
        <f t="shared" si="95"/>
        <v>3.6631769931111287E-3</v>
      </c>
      <c r="BI142" s="99">
        <f t="shared" si="96"/>
        <v>1.061583646456613E-4</v>
      </c>
      <c r="BJ142" s="99">
        <f t="shared" si="97"/>
        <v>8.3864865907562968E-4</v>
      </c>
      <c r="BK142" s="48">
        <f t="shared" si="98"/>
        <v>2.7183699693898379E-3</v>
      </c>
      <c r="BL142" s="99">
        <f t="shared" si="73"/>
        <v>1.6735359168041999E-4</v>
      </c>
      <c r="BM142" s="48">
        <f t="shared" si="74"/>
        <v>8.9590643068973206E-4</v>
      </c>
      <c r="BN142" s="48">
        <f t="shared" si="75"/>
        <v>1.2579729886134446E-3</v>
      </c>
      <c r="BO142" s="48">
        <f t="shared" si="76"/>
        <v>4.0775549540847571E-3</v>
      </c>
      <c r="BP142" s="99">
        <f t="shared" si="77"/>
        <v>2.5103038752062997E-4</v>
      </c>
      <c r="BQ142" s="48">
        <f t="shared" si="78"/>
        <v>1.3438596460345982E-3</v>
      </c>
      <c r="BR142" s="40">
        <f t="shared" si="79"/>
        <v>0.2579201129233093</v>
      </c>
      <c r="BS142" s="31">
        <v>1.5</v>
      </c>
      <c r="BT142" s="31">
        <v>1.5</v>
      </c>
      <c r="BU142" s="43">
        <v>0.125</v>
      </c>
      <c r="BV142" s="44">
        <v>0.42</v>
      </c>
      <c r="BW142" s="43">
        <v>2.3E-2</v>
      </c>
      <c r="BX142" s="44">
        <v>0.2</v>
      </c>
      <c r="BY142" s="44">
        <v>15.675043576489312</v>
      </c>
      <c r="BZ142" s="44">
        <v>0.52</v>
      </c>
      <c r="CA142" s="44">
        <v>0.65</v>
      </c>
      <c r="CB142" s="47">
        <v>1</v>
      </c>
      <c r="CC142" s="46">
        <v>0.71600171560489423</v>
      </c>
      <c r="CD142" s="46">
        <v>21.755373924034487</v>
      </c>
      <c r="CE142" s="46">
        <v>77.52862436036061</v>
      </c>
      <c r="CF142" s="125">
        <v>1</v>
      </c>
      <c r="CG142" s="40">
        <f t="shared" si="99"/>
        <v>2.0590603948263446E-2</v>
      </c>
      <c r="CH142" s="40">
        <f t="shared" si="100"/>
        <v>2.0590603948263446E-2</v>
      </c>
      <c r="CI142" s="99">
        <f t="shared" si="101"/>
        <v>1.4742907752297537E-4</v>
      </c>
      <c r="CJ142" s="100">
        <f t="shared" si="102"/>
        <v>4.4795628821617216E-3</v>
      </c>
      <c r="CK142" s="100">
        <f t="shared" si="103"/>
        <v>1.5963611988578746E-2</v>
      </c>
      <c r="CL142" s="101">
        <f t="shared" si="80"/>
        <v>7.8319213997632593E-4</v>
      </c>
      <c r="CM142" s="100">
        <f t="shared" si="81"/>
        <v>4.1415713223298834E-3</v>
      </c>
      <c r="CN142" s="100">
        <f t="shared" si="82"/>
        <v>6.7193443232425824E-3</v>
      </c>
      <c r="CO142" s="100">
        <f t="shared" si="83"/>
        <v>2.3945417982868117E-2</v>
      </c>
      <c r="CP142" s="101">
        <f t="shared" si="84"/>
        <v>1.1747882099644889E-3</v>
      </c>
      <c r="CQ142" s="100">
        <f t="shared" si="85"/>
        <v>6.2123569834948243E-3</v>
      </c>
      <c r="CR142" s="99">
        <f t="shared" si="86"/>
        <v>0.22471375639639382</v>
      </c>
      <c r="CS142" s="31">
        <v>1.5</v>
      </c>
      <c r="CT142" s="31">
        <v>1.5</v>
      </c>
      <c r="CU142" s="43">
        <v>0.1</v>
      </c>
      <c r="CV142" s="44">
        <v>0.39</v>
      </c>
      <c r="CW142" s="43">
        <v>2.1000000000000001E-2</v>
      </c>
      <c r="CX142" s="44">
        <v>0.15</v>
      </c>
    </row>
    <row r="143" spans="1:102" s="27" customFormat="1" x14ac:dyDescent="0.25">
      <c r="A143" s="31">
        <v>129</v>
      </c>
      <c r="B143" s="84" t="s">
        <v>91</v>
      </c>
      <c r="C143" s="19">
        <v>40</v>
      </c>
      <c r="D143" s="31" t="s">
        <v>36</v>
      </c>
      <c r="E143" s="31" t="s">
        <v>6</v>
      </c>
      <c r="F143" s="19" t="s">
        <v>13</v>
      </c>
      <c r="G143" s="31" t="str">
        <f t="shared" si="87"/>
        <v>Kommunal 40 Y 4L B</v>
      </c>
      <c r="H143" s="48">
        <f t="shared" ref="H143:H206" si="105">AD143+BG143+CG143</f>
        <v>9.4295749472472767E-2</v>
      </c>
      <c r="I143" s="40">
        <f t="shared" ref="I143:I206" si="106">AE143+BH143+CH143</f>
        <v>9.6741799267145906E-2</v>
      </c>
      <c r="J143" s="99">
        <f t="shared" ref="J143:J206" si="107">AF143+BI143+CI143</f>
        <v>1.2840635958234088E-3</v>
      </c>
      <c r="K143" s="48">
        <f t="shared" ref="K143:K206" si="108">AG143+BJ143+CJ143</f>
        <v>1.7216213390263531E-2</v>
      </c>
      <c r="L143" s="48">
        <f t="shared" ref="L143:L206" si="109">AH143+BK143+CK143</f>
        <v>7.8241522281058989E-2</v>
      </c>
      <c r="M143" s="48">
        <f t="shared" si="88"/>
        <v>0.13113001067920435</v>
      </c>
      <c r="N143" s="99">
        <f t="shared" ref="N143:N206" si="110">AJ143+BL143+CL143</f>
        <v>2.8673755887532316E-3</v>
      </c>
      <c r="O143" s="48">
        <f t="shared" ref="O143:O206" si="111">AK143+BM143+CM143</f>
        <v>1.6111658512748699E-2</v>
      </c>
      <c r="P143" s="48">
        <f t="shared" ref="P143:P206" si="112">AL143+BN143+CN143</f>
        <v>2.5824320085395293E-2</v>
      </c>
      <c r="Q143" s="48">
        <f t="shared" ref="Q143:Q206" si="113">AM143+BO143+CO143</f>
        <v>0.11736228342158847</v>
      </c>
      <c r="R143" s="40">
        <f t="shared" si="89"/>
        <v>0.91791007475443043</v>
      </c>
      <c r="S143" s="99">
        <f t="shared" ref="S143:S206" si="114">AO143++BP143+CP143</f>
        <v>4.3010633831298481E-3</v>
      </c>
      <c r="T143" s="48">
        <f t="shared" ref="T143:T206" si="115">AP143++BQ143+CQ143</f>
        <v>2.4167487769123044E-2</v>
      </c>
      <c r="U143" s="44">
        <v>1.3205221920000001</v>
      </c>
      <c r="V143" s="19">
        <v>1.45</v>
      </c>
      <c r="W143" s="46">
        <v>0.6</v>
      </c>
      <c r="X143" s="44">
        <v>1.0349226306166299</v>
      </c>
      <c r="Y143" s="46">
        <v>1.4215813557264974</v>
      </c>
      <c r="Z143" s="46">
        <v>16.413749642809776</v>
      </c>
      <c r="AA143" s="46">
        <v>82.164669001463736</v>
      </c>
      <c r="AB143" s="46">
        <v>1.808988764044944</v>
      </c>
      <c r="AC143" s="125">
        <v>1</v>
      </c>
      <c r="AD143" s="94">
        <f t="shared" si="90"/>
        <v>7.0041968531098189E-2</v>
      </c>
      <c r="AE143" s="94">
        <f t="shared" si="91"/>
        <v>7.2488018325771342E-2</v>
      </c>
      <c r="AF143" s="96">
        <f t="shared" ref="AF143:AF206" si="116">$AE143*Y143/100</f>
        <v>1.0304761536547721E-3</v>
      </c>
      <c r="AG143" s="95">
        <f t="shared" si="104"/>
        <v>1.1898001849026179E-2</v>
      </c>
      <c r="AH143" s="94">
        <f t="shared" si="92"/>
        <v>5.9559540323090403E-2</v>
      </c>
      <c r="AI143" s="94">
        <f t="shared" si="93"/>
        <v>0.13113001067920435</v>
      </c>
      <c r="AJ143" s="96">
        <f t="shared" ref="AJ143:AJ206" si="117">AG143*AU143+AH143*AW143</f>
        <v>1.9168298570964859E-3</v>
      </c>
      <c r="AK143" s="95">
        <f t="shared" ref="AK143:AK206" si="118">AG143*AV143+AH143*AX143</f>
        <v>1.1074180759729083E-2</v>
      </c>
      <c r="AL143" s="95">
        <f t="shared" ref="AL143:AL206" si="119">AG143*AR143</f>
        <v>1.7847002773539268E-2</v>
      </c>
      <c r="AM143" s="94">
        <f t="shared" ref="AM143:AM206" si="120">AH143*AS143</f>
        <v>8.9339310484635601E-2</v>
      </c>
      <c r="AN143" s="93">
        <f t="shared" ref="AN143:AN206" si="121">AI143*AT143</f>
        <v>0.91791007475443043</v>
      </c>
      <c r="AO143" s="96">
        <f t="shared" ref="AO143:AO206" si="122">AL143*AU143+AM143*AW143</f>
        <v>2.8752447856447289E-3</v>
      </c>
      <c r="AP143" s="95">
        <f t="shared" ref="AP143:AP206" si="123">AL143*AV143+AM143*AX143</f>
        <v>1.6611271139593625E-2</v>
      </c>
      <c r="AQ143" s="93">
        <f t="shared" ref="AQ143:AQ206" si="124">(AF143+AG143)/AE143</f>
        <v>0.17835330998536275</v>
      </c>
      <c r="AR143" s="31">
        <v>1.5</v>
      </c>
      <c r="AS143" s="31">
        <v>1.5</v>
      </c>
      <c r="AT143" s="31">
        <v>7</v>
      </c>
      <c r="AU143" s="43">
        <v>7.0999999999999994E-2</v>
      </c>
      <c r="AV143" s="44">
        <v>0.28000000000000003</v>
      </c>
      <c r="AW143" s="43">
        <v>1.7999999999999999E-2</v>
      </c>
      <c r="AX143" s="44">
        <v>0.13</v>
      </c>
      <c r="AY143" s="44">
        <v>6.3169879599642158</v>
      </c>
      <c r="AZ143" s="46">
        <v>0.5</v>
      </c>
      <c r="BA143" s="44">
        <v>0.72</v>
      </c>
      <c r="BB143" s="47">
        <v>1</v>
      </c>
      <c r="BC143" s="46">
        <v>2.8979862246705483</v>
      </c>
      <c r="BD143" s="47">
        <v>22.894025067660383</v>
      </c>
      <c r="BE143" s="47">
        <v>74.207988707669074</v>
      </c>
      <c r="BF143" s="125">
        <v>1</v>
      </c>
      <c r="BG143" s="48">
        <f t="shared" si="94"/>
        <v>3.6631769931111287E-3</v>
      </c>
      <c r="BH143" s="48">
        <f t="shared" si="95"/>
        <v>3.6631769931111287E-3</v>
      </c>
      <c r="BI143" s="99">
        <f t="shared" si="96"/>
        <v>1.061583646456613E-4</v>
      </c>
      <c r="BJ143" s="99">
        <f t="shared" si="97"/>
        <v>8.3864865907562968E-4</v>
      </c>
      <c r="BK143" s="48">
        <f t="shared" si="98"/>
        <v>2.7183699693898379E-3</v>
      </c>
      <c r="BL143" s="99">
        <f t="shared" ref="BL143:BL206" si="125">BJ143*BU143+BK143*BW143</f>
        <v>1.6735359168041999E-4</v>
      </c>
      <c r="BM143" s="48">
        <f t="shared" ref="BM143:BM206" si="126">BJ143*BV143+BK143*BX143</f>
        <v>8.9590643068973206E-4</v>
      </c>
      <c r="BN143" s="48">
        <f t="shared" ref="BN143:BN206" si="127">BJ143*BS143</f>
        <v>1.2579729886134446E-3</v>
      </c>
      <c r="BO143" s="48">
        <f t="shared" ref="BO143:BO206" si="128">BK143*BT143</f>
        <v>4.0775549540847571E-3</v>
      </c>
      <c r="BP143" s="99">
        <f t="shared" ref="BP143:BP206" si="129">BN143*BU143+BO143*BW143</f>
        <v>2.5103038752062997E-4</v>
      </c>
      <c r="BQ143" s="48">
        <f t="shared" ref="BQ143:BQ206" si="130">BN143*BV143+BO143*BX143</f>
        <v>1.3438596460345982E-3</v>
      </c>
      <c r="BR143" s="40">
        <f t="shared" ref="BR143:BR206" si="131">(BI143+BJ143)/BH143</f>
        <v>0.2579201129233093</v>
      </c>
      <c r="BS143" s="31">
        <v>1.5</v>
      </c>
      <c r="BT143" s="31">
        <v>1.5</v>
      </c>
      <c r="BU143" s="43">
        <v>0.125</v>
      </c>
      <c r="BV143" s="44">
        <v>0.42</v>
      </c>
      <c r="BW143" s="43">
        <v>2.3E-2</v>
      </c>
      <c r="BX143" s="44">
        <v>0.2</v>
      </c>
      <c r="BY143" s="44">
        <v>15.675043576489312</v>
      </c>
      <c r="BZ143" s="44">
        <v>0.52</v>
      </c>
      <c r="CA143" s="44">
        <v>0.65</v>
      </c>
      <c r="CB143" s="47">
        <v>1</v>
      </c>
      <c r="CC143" s="46">
        <v>0.71600171560489423</v>
      </c>
      <c r="CD143" s="46">
        <v>21.755373924034487</v>
      </c>
      <c r="CE143" s="46">
        <v>77.52862436036061</v>
      </c>
      <c r="CF143" s="125">
        <v>1</v>
      </c>
      <c r="CG143" s="40">
        <f t="shared" si="99"/>
        <v>2.0590603948263446E-2</v>
      </c>
      <c r="CH143" s="40">
        <f t="shared" si="100"/>
        <v>2.0590603948263446E-2</v>
      </c>
      <c r="CI143" s="99">
        <f t="shared" si="101"/>
        <v>1.4742907752297537E-4</v>
      </c>
      <c r="CJ143" s="100">
        <f t="shared" si="102"/>
        <v>4.4795628821617216E-3</v>
      </c>
      <c r="CK143" s="100">
        <f t="shared" si="103"/>
        <v>1.5963611988578746E-2</v>
      </c>
      <c r="CL143" s="101">
        <f t="shared" ref="CL143:CL206" si="132">CJ143*CU143+CK143*CW143</f>
        <v>7.8319213997632593E-4</v>
      </c>
      <c r="CM143" s="100">
        <f t="shared" ref="CM143:CM206" si="133">CJ143*CV143+CK143*CX143</f>
        <v>4.1415713223298834E-3</v>
      </c>
      <c r="CN143" s="100">
        <f t="shared" ref="CN143:CN206" si="134">CJ143*CS143</f>
        <v>6.7193443232425824E-3</v>
      </c>
      <c r="CO143" s="100">
        <f t="shared" ref="CO143:CO206" si="135">CK143*CT143</f>
        <v>2.3945417982868117E-2</v>
      </c>
      <c r="CP143" s="101">
        <f t="shared" ref="CP143:CP206" si="136">CN143*CU143+CO143*CW143</f>
        <v>1.1747882099644889E-3</v>
      </c>
      <c r="CQ143" s="100">
        <f t="shared" ref="CQ143:CQ206" si="137">CN143*CV143+CO143*CX143</f>
        <v>6.2123569834948243E-3</v>
      </c>
      <c r="CR143" s="99">
        <f t="shared" ref="CR143:CR206" si="138">(CI143+CJ143)/CH143</f>
        <v>0.22471375639639382</v>
      </c>
      <c r="CS143" s="31">
        <v>1.5</v>
      </c>
      <c r="CT143" s="31">
        <v>1.5</v>
      </c>
      <c r="CU143" s="43">
        <v>0.1</v>
      </c>
      <c r="CV143" s="44">
        <v>0.39</v>
      </c>
      <c r="CW143" s="43">
        <v>2.1000000000000001E-2</v>
      </c>
      <c r="CX143" s="44">
        <v>0.15</v>
      </c>
    </row>
    <row r="144" spans="1:102" s="27" customFormat="1" x14ac:dyDescent="0.25">
      <c r="A144" s="31">
        <v>130</v>
      </c>
      <c r="B144" s="84" t="s">
        <v>91</v>
      </c>
      <c r="C144" s="19">
        <v>40</v>
      </c>
      <c r="D144" s="31" t="s">
        <v>36</v>
      </c>
      <c r="E144" s="31" t="s">
        <v>6</v>
      </c>
      <c r="F144" s="19" t="s">
        <v>70</v>
      </c>
      <c r="G144" s="31" t="str">
        <f t="shared" ref="G144:G207" si="139">D144&amp;" "&amp;C144&amp;" "&amp;E144&amp;" "&amp;B144&amp;" "&amp;F144</f>
        <v>Kommunal 40 Y 4L Ck</v>
      </c>
      <c r="H144" s="48">
        <f t="shared" si="105"/>
        <v>9.060933007609917E-2</v>
      </c>
      <c r="I144" s="40">
        <f t="shared" si="106"/>
        <v>9.2926640407894806E-2</v>
      </c>
      <c r="J144" s="99">
        <f t="shared" si="107"/>
        <v>1.2298280087889475E-3</v>
      </c>
      <c r="K144" s="48">
        <f t="shared" si="108"/>
        <v>1.6590002766630578E-2</v>
      </c>
      <c r="L144" s="48">
        <f t="shared" si="109"/>
        <v>7.5106809632475291E-2</v>
      </c>
      <c r="M144" s="48">
        <f t="shared" ref="M144:M207" si="140">AI144</f>
        <v>0.12422843116977259</v>
      </c>
      <c r="N144" s="99">
        <f t="shared" si="110"/>
        <v>2.7664898068007855E-3</v>
      </c>
      <c r="O144" s="48">
        <f t="shared" si="111"/>
        <v>1.5528806893815592E-2</v>
      </c>
      <c r="P144" s="48">
        <f t="shared" si="112"/>
        <v>2.4885004149945864E-2</v>
      </c>
      <c r="Q144" s="48">
        <f t="shared" si="113"/>
        <v>0.11266021444871294</v>
      </c>
      <c r="R144" s="40">
        <f t="shared" ref="R144:R207" si="141">AN144</f>
        <v>0.86959901818840812</v>
      </c>
      <c r="S144" s="99">
        <f t="shared" si="114"/>
        <v>4.1497347102011778E-3</v>
      </c>
      <c r="T144" s="48">
        <f t="shared" si="115"/>
        <v>2.3293210340723382E-2</v>
      </c>
      <c r="U144" s="44">
        <v>1.2510210239999999</v>
      </c>
      <c r="V144" s="19">
        <v>1.45</v>
      </c>
      <c r="W144" s="46">
        <v>0.6</v>
      </c>
      <c r="X144" s="44">
        <v>1.0349226306166301</v>
      </c>
      <c r="Y144" s="46">
        <v>1.4215813557264974</v>
      </c>
      <c r="Z144" s="46">
        <v>16.413749642809776</v>
      </c>
      <c r="AA144" s="46">
        <v>82.164669001463736</v>
      </c>
      <c r="AB144" s="46">
        <v>1.808988764044944</v>
      </c>
      <c r="AC144" s="125">
        <v>1</v>
      </c>
      <c r="AD144" s="94">
        <f t="shared" ref="AD144:AD207" si="142">AC144*$E$7*U144/10^6*($B$7)^V144*($B$8/$B$7)^W144</f>
        <v>6.6355549134724606E-2</v>
      </c>
      <c r="AE144" s="94">
        <f t="shared" ref="AE144:AE207" si="143">X144*AD144</f>
        <v>6.8672859466520242E-2</v>
      </c>
      <c r="AF144" s="96">
        <f t="shared" si="116"/>
        <v>9.7624056662031075E-4</v>
      </c>
      <c r="AG144" s="95">
        <f t="shared" si="104"/>
        <v>1.1271791225393226E-2</v>
      </c>
      <c r="AH144" s="94">
        <f t="shared" ref="AH144:AH207" si="144">$AE144*AA144/100</f>
        <v>5.6424827674506711E-2</v>
      </c>
      <c r="AI144" s="94">
        <f t="shared" ref="AI144:AI207" si="145">$AE144*AB144</f>
        <v>0.12422843116977259</v>
      </c>
      <c r="AJ144" s="96">
        <f t="shared" si="117"/>
        <v>1.8159440751440398E-3</v>
      </c>
      <c r="AK144" s="95">
        <f t="shared" si="118"/>
        <v>1.0491329140795976E-2</v>
      </c>
      <c r="AL144" s="95">
        <f t="shared" si="119"/>
        <v>1.6907686838089839E-2</v>
      </c>
      <c r="AM144" s="94">
        <f t="shared" si="120"/>
        <v>8.4637241511760067E-2</v>
      </c>
      <c r="AN144" s="93">
        <f t="shared" si="121"/>
        <v>0.86959901818840812</v>
      </c>
      <c r="AO144" s="96">
        <f t="shared" si="122"/>
        <v>2.7239161127160594E-3</v>
      </c>
      <c r="AP144" s="95">
        <f t="shared" si="123"/>
        <v>1.5736993711193963E-2</v>
      </c>
      <c r="AQ144" s="93">
        <f t="shared" si="124"/>
        <v>0.17835330998536275</v>
      </c>
      <c r="AR144" s="31">
        <v>1.5</v>
      </c>
      <c r="AS144" s="31">
        <v>1.5</v>
      </c>
      <c r="AT144" s="31">
        <v>7</v>
      </c>
      <c r="AU144" s="43">
        <v>7.0999999999999994E-2</v>
      </c>
      <c r="AV144" s="44">
        <v>0.28000000000000003</v>
      </c>
      <c r="AW144" s="43">
        <v>1.7999999999999999E-2</v>
      </c>
      <c r="AX144" s="44">
        <v>0.13</v>
      </c>
      <c r="AY144" s="44">
        <v>6.3169879599642158</v>
      </c>
      <c r="AZ144" s="46">
        <v>0.5</v>
      </c>
      <c r="BA144" s="44">
        <v>0.72</v>
      </c>
      <c r="BB144" s="47">
        <v>1</v>
      </c>
      <c r="BC144" s="46">
        <v>2.8979862246705483</v>
      </c>
      <c r="BD144" s="47">
        <v>22.894025067660383</v>
      </c>
      <c r="BE144" s="47">
        <v>74.207988707669074</v>
      </c>
      <c r="BF144" s="125">
        <v>1</v>
      </c>
      <c r="BG144" s="48">
        <f t="shared" ref="BG144:BG207" si="146">BF144*$E$8*AY144/10^6*($B$7)^AZ144*($B$9)^BA144</f>
        <v>3.6631769931111287E-3</v>
      </c>
      <c r="BH144" s="48">
        <f t="shared" ref="BH144:BH207" si="147">BB144*BG144</f>
        <v>3.6631769931111287E-3</v>
      </c>
      <c r="BI144" s="99">
        <f t="shared" ref="BI144:BI207" si="148">$BH144*BC144/100</f>
        <v>1.061583646456613E-4</v>
      </c>
      <c r="BJ144" s="99">
        <f t="shared" ref="BJ144:BJ207" si="149">$BH144*BD144/100</f>
        <v>8.3864865907562968E-4</v>
      </c>
      <c r="BK144" s="48">
        <f t="shared" ref="BK144:BK207" si="150">$BH144*BE144/100</f>
        <v>2.7183699693898379E-3</v>
      </c>
      <c r="BL144" s="99">
        <f t="shared" si="125"/>
        <v>1.6735359168041999E-4</v>
      </c>
      <c r="BM144" s="48">
        <f t="shared" si="126"/>
        <v>8.9590643068973206E-4</v>
      </c>
      <c r="BN144" s="48">
        <f t="shared" si="127"/>
        <v>1.2579729886134446E-3</v>
      </c>
      <c r="BO144" s="48">
        <f t="shared" si="128"/>
        <v>4.0775549540847571E-3</v>
      </c>
      <c r="BP144" s="99">
        <f t="shared" si="129"/>
        <v>2.5103038752062997E-4</v>
      </c>
      <c r="BQ144" s="48">
        <f t="shared" si="130"/>
        <v>1.3438596460345982E-3</v>
      </c>
      <c r="BR144" s="40">
        <f t="shared" si="131"/>
        <v>0.2579201129233093</v>
      </c>
      <c r="BS144" s="31">
        <v>1.5</v>
      </c>
      <c r="BT144" s="31">
        <v>1.5</v>
      </c>
      <c r="BU144" s="43">
        <v>0.125</v>
      </c>
      <c r="BV144" s="44">
        <v>0.42</v>
      </c>
      <c r="BW144" s="43">
        <v>2.3E-2</v>
      </c>
      <c r="BX144" s="44">
        <v>0.2</v>
      </c>
      <c r="BY144" s="44">
        <v>15.675043576489312</v>
      </c>
      <c r="BZ144" s="44">
        <v>0.52</v>
      </c>
      <c r="CA144" s="44">
        <v>0.65</v>
      </c>
      <c r="CB144" s="47">
        <v>1</v>
      </c>
      <c r="CC144" s="46">
        <v>0.71600171560489423</v>
      </c>
      <c r="CD144" s="46">
        <v>21.755373924034487</v>
      </c>
      <c r="CE144" s="46">
        <v>77.52862436036061</v>
      </c>
      <c r="CF144" s="125">
        <v>1</v>
      </c>
      <c r="CG144" s="40">
        <f t="shared" ref="CG144:CG207" si="151">CF144*$E$9*BY144/10^6*($B$7)^BZ144*($B$10)^CA144</f>
        <v>2.0590603948263446E-2</v>
      </c>
      <c r="CH144" s="40">
        <f t="shared" ref="CH144:CH207" si="152">CB144*CG144</f>
        <v>2.0590603948263446E-2</v>
      </c>
      <c r="CI144" s="99">
        <f t="shared" ref="CI144:CI207" si="153">CC144/100*CH144</f>
        <v>1.4742907752297537E-4</v>
      </c>
      <c r="CJ144" s="100">
        <f t="shared" ref="CJ144:CJ207" si="154">CD144/100*CH144</f>
        <v>4.4795628821617216E-3</v>
      </c>
      <c r="CK144" s="100">
        <f t="shared" ref="CK144:CK207" si="155">CE144/100*CH144</f>
        <v>1.5963611988578746E-2</v>
      </c>
      <c r="CL144" s="101">
        <f t="shared" si="132"/>
        <v>7.8319213997632593E-4</v>
      </c>
      <c r="CM144" s="100">
        <f t="shared" si="133"/>
        <v>4.1415713223298834E-3</v>
      </c>
      <c r="CN144" s="100">
        <f t="shared" si="134"/>
        <v>6.7193443232425824E-3</v>
      </c>
      <c r="CO144" s="100">
        <f t="shared" si="135"/>
        <v>2.3945417982868117E-2</v>
      </c>
      <c r="CP144" s="101">
        <f t="shared" si="136"/>
        <v>1.1747882099644889E-3</v>
      </c>
      <c r="CQ144" s="100">
        <f t="shared" si="137"/>
        <v>6.2123569834948243E-3</v>
      </c>
      <c r="CR144" s="99">
        <f t="shared" si="138"/>
        <v>0.22471375639639382</v>
      </c>
      <c r="CS144" s="31">
        <v>1.5</v>
      </c>
      <c r="CT144" s="31">
        <v>1.5</v>
      </c>
      <c r="CU144" s="43">
        <v>0.1</v>
      </c>
      <c r="CV144" s="44">
        <v>0.39</v>
      </c>
      <c r="CW144" s="43">
        <v>2.1000000000000001E-2</v>
      </c>
      <c r="CX144" s="44">
        <v>0.15</v>
      </c>
    </row>
    <row r="145" spans="1:102" s="27" customFormat="1" x14ac:dyDescent="0.25">
      <c r="A145" s="31">
        <v>131</v>
      </c>
      <c r="B145" s="84" t="s">
        <v>91</v>
      </c>
      <c r="C145" s="19">
        <v>40</v>
      </c>
      <c r="D145" s="31" t="s">
        <v>36</v>
      </c>
      <c r="E145" s="31" t="s">
        <v>6</v>
      </c>
      <c r="F145" s="31" t="s">
        <v>71</v>
      </c>
      <c r="G145" s="31" t="str">
        <f t="shared" si="139"/>
        <v>Kommunal 40 Y 4L Cm</v>
      </c>
      <c r="H145" s="48">
        <f t="shared" si="105"/>
        <v>9.060933007609917E-2</v>
      </c>
      <c r="I145" s="40">
        <f t="shared" si="106"/>
        <v>9.2926640407894806E-2</v>
      </c>
      <c r="J145" s="99">
        <f t="shared" si="107"/>
        <v>1.2298280087889475E-3</v>
      </c>
      <c r="K145" s="48">
        <f t="shared" si="108"/>
        <v>1.6590002766630578E-2</v>
      </c>
      <c r="L145" s="48">
        <f t="shared" si="109"/>
        <v>7.5106809632475291E-2</v>
      </c>
      <c r="M145" s="48">
        <f t="shared" si="140"/>
        <v>0.12422843116977259</v>
      </c>
      <c r="N145" s="99">
        <f t="shared" si="110"/>
        <v>2.7664898068007855E-3</v>
      </c>
      <c r="O145" s="48">
        <f t="shared" si="111"/>
        <v>1.5528806893815592E-2</v>
      </c>
      <c r="P145" s="48">
        <f t="shared" si="112"/>
        <v>2.4885004149945864E-2</v>
      </c>
      <c r="Q145" s="48">
        <f t="shared" si="113"/>
        <v>0.11266021444871294</v>
      </c>
      <c r="R145" s="40">
        <f t="shared" si="141"/>
        <v>0.86959901818840812</v>
      </c>
      <c r="S145" s="99">
        <f t="shared" si="114"/>
        <v>4.1497347102011778E-3</v>
      </c>
      <c r="T145" s="48">
        <f t="shared" si="115"/>
        <v>2.3293210340723382E-2</v>
      </c>
      <c r="U145" s="44">
        <v>1.2510210239999999</v>
      </c>
      <c r="V145" s="19">
        <v>1.45</v>
      </c>
      <c r="W145" s="46">
        <v>0.6</v>
      </c>
      <c r="X145" s="44">
        <v>1.0349226306166301</v>
      </c>
      <c r="Y145" s="46">
        <v>1.4215813557264974</v>
      </c>
      <c r="Z145" s="46">
        <v>16.413749642809776</v>
      </c>
      <c r="AA145" s="46">
        <v>82.164669001463736</v>
      </c>
      <c r="AB145" s="46">
        <v>1.808988764044944</v>
      </c>
      <c r="AC145" s="125">
        <v>1</v>
      </c>
      <c r="AD145" s="94">
        <f t="shared" si="142"/>
        <v>6.6355549134724606E-2</v>
      </c>
      <c r="AE145" s="94">
        <f t="shared" si="143"/>
        <v>6.8672859466520242E-2</v>
      </c>
      <c r="AF145" s="96">
        <f t="shared" si="116"/>
        <v>9.7624056662031075E-4</v>
      </c>
      <c r="AG145" s="95">
        <f t="shared" si="104"/>
        <v>1.1271791225393226E-2</v>
      </c>
      <c r="AH145" s="94">
        <f t="shared" si="144"/>
        <v>5.6424827674506711E-2</v>
      </c>
      <c r="AI145" s="94">
        <f t="shared" si="145"/>
        <v>0.12422843116977259</v>
      </c>
      <c r="AJ145" s="96">
        <f t="shared" si="117"/>
        <v>1.8159440751440398E-3</v>
      </c>
      <c r="AK145" s="95">
        <f t="shared" si="118"/>
        <v>1.0491329140795976E-2</v>
      </c>
      <c r="AL145" s="95">
        <f t="shared" si="119"/>
        <v>1.6907686838089839E-2</v>
      </c>
      <c r="AM145" s="94">
        <f t="shared" si="120"/>
        <v>8.4637241511760067E-2</v>
      </c>
      <c r="AN145" s="93">
        <f t="shared" si="121"/>
        <v>0.86959901818840812</v>
      </c>
      <c r="AO145" s="96">
        <f t="shared" si="122"/>
        <v>2.7239161127160594E-3</v>
      </c>
      <c r="AP145" s="95">
        <f t="shared" si="123"/>
        <v>1.5736993711193963E-2</v>
      </c>
      <c r="AQ145" s="93">
        <f t="shared" si="124"/>
        <v>0.17835330998536275</v>
      </c>
      <c r="AR145" s="31">
        <v>1.5</v>
      </c>
      <c r="AS145" s="31">
        <v>1.5</v>
      </c>
      <c r="AT145" s="31">
        <v>7</v>
      </c>
      <c r="AU145" s="43">
        <v>7.0999999999999994E-2</v>
      </c>
      <c r="AV145" s="44">
        <v>0.28000000000000003</v>
      </c>
      <c r="AW145" s="43">
        <v>1.7999999999999999E-2</v>
      </c>
      <c r="AX145" s="44">
        <v>0.13</v>
      </c>
      <c r="AY145" s="44">
        <v>6.3169879599642158</v>
      </c>
      <c r="AZ145" s="46">
        <v>0.5</v>
      </c>
      <c r="BA145" s="44">
        <v>0.72</v>
      </c>
      <c r="BB145" s="47">
        <v>1</v>
      </c>
      <c r="BC145" s="46">
        <v>2.8979862246705483</v>
      </c>
      <c r="BD145" s="47">
        <v>22.894025067660383</v>
      </c>
      <c r="BE145" s="47">
        <v>74.207988707669074</v>
      </c>
      <c r="BF145" s="125">
        <v>1</v>
      </c>
      <c r="BG145" s="48">
        <f t="shared" si="146"/>
        <v>3.6631769931111287E-3</v>
      </c>
      <c r="BH145" s="48">
        <f t="shared" si="147"/>
        <v>3.6631769931111287E-3</v>
      </c>
      <c r="BI145" s="99">
        <f t="shared" si="148"/>
        <v>1.061583646456613E-4</v>
      </c>
      <c r="BJ145" s="99">
        <f t="shared" si="149"/>
        <v>8.3864865907562968E-4</v>
      </c>
      <c r="BK145" s="48">
        <f t="shared" si="150"/>
        <v>2.7183699693898379E-3</v>
      </c>
      <c r="BL145" s="99">
        <f t="shared" si="125"/>
        <v>1.6735359168041999E-4</v>
      </c>
      <c r="BM145" s="48">
        <f t="shared" si="126"/>
        <v>8.9590643068973206E-4</v>
      </c>
      <c r="BN145" s="48">
        <f t="shared" si="127"/>
        <v>1.2579729886134446E-3</v>
      </c>
      <c r="BO145" s="48">
        <f t="shared" si="128"/>
        <v>4.0775549540847571E-3</v>
      </c>
      <c r="BP145" s="99">
        <f t="shared" si="129"/>
        <v>2.5103038752062997E-4</v>
      </c>
      <c r="BQ145" s="48">
        <f t="shared" si="130"/>
        <v>1.3438596460345982E-3</v>
      </c>
      <c r="BR145" s="40">
        <f t="shared" si="131"/>
        <v>0.2579201129233093</v>
      </c>
      <c r="BS145" s="31">
        <v>1.5</v>
      </c>
      <c r="BT145" s="31">
        <v>1.5</v>
      </c>
      <c r="BU145" s="43">
        <v>0.125</v>
      </c>
      <c r="BV145" s="44">
        <v>0.42</v>
      </c>
      <c r="BW145" s="43">
        <v>2.3E-2</v>
      </c>
      <c r="BX145" s="44">
        <v>0.2</v>
      </c>
      <c r="BY145" s="44">
        <v>15.675043576489312</v>
      </c>
      <c r="BZ145" s="44">
        <v>0.52</v>
      </c>
      <c r="CA145" s="44">
        <v>0.65</v>
      </c>
      <c r="CB145" s="47">
        <v>1</v>
      </c>
      <c r="CC145" s="46">
        <v>0.71600171560489423</v>
      </c>
      <c r="CD145" s="46">
        <v>21.755373924034487</v>
      </c>
      <c r="CE145" s="46">
        <v>77.52862436036061</v>
      </c>
      <c r="CF145" s="125">
        <v>1</v>
      </c>
      <c r="CG145" s="40">
        <f t="shared" si="151"/>
        <v>2.0590603948263446E-2</v>
      </c>
      <c r="CH145" s="40">
        <f t="shared" si="152"/>
        <v>2.0590603948263446E-2</v>
      </c>
      <c r="CI145" s="99">
        <f t="shared" si="153"/>
        <v>1.4742907752297537E-4</v>
      </c>
      <c r="CJ145" s="100">
        <f t="shared" si="154"/>
        <v>4.4795628821617216E-3</v>
      </c>
      <c r="CK145" s="100">
        <f t="shared" si="155"/>
        <v>1.5963611988578746E-2</v>
      </c>
      <c r="CL145" s="101">
        <f t="shared" si="132"/>
        <v>7.8319213997632593E-4</v>
      </c>
      <c r="CM145" s="100">
        <f t="shared" si="133"/>
        <v>4.1415713223298834E-3</v>
      </c>
      <c r="CN145" s="100">
        <f t="shared" si="134"/>
        <v>6.7193443232425824E-3</v>
      </c>
      <c r="CO145" s="100">
        <f t="shared" si="135"/>
        <v>2.3945417982868117E-2</v>
      </c>
      <c r="CP145" s="101">
        <f t="shared" si="136"/>
        <v>1.1747882099644889E-3</v>
      </c>
      <c r="CQ145" s="100">
        <f t="shared" si="137"/>
        <v>6.2123569834948243E-3</v>
      </c>
      <c r="CR145" s="99">
        <f t="shared" si="138"/>
        <v>0.22471375639639382</v>
      </c>
      <c r="CS145" s="31">
        <v>1.5</v>
      </c>
      <c r="CT145" s="31">
        <v>1.5</v>
      </c>
      <c r="CU145" s="43">
        <v>0.1</v>
      </c>
      <c r="CV145" s="44">
        <v>0.39</v>
      </c>
      <c r="CW145" s="43">
        <v>2.1000000000000001E-2</v>
      </c>
      <c r="CX145" s="44">
        <v>0.15</v>
      </c>
    </row>
    <row r="146" spans="1:102" s="27" customFormat="1" x14ac:dyDescent="0.25">
      <c r="A146" s="31">
        <v>132</v>
      </c>
      <c r="B146" s="84" t="s">
        <v>91</v>
      </c>
      <c r="C146" s="19">
        <v>40</v>
      </c>
      <c r="D146" s="31" t="s">
        <v>36</v>
      </c>
      <c r="E146" s="31" t="s">
        <v>6</v>
      </c>
      <c r="F146" s="19" t="s">
        <v>0</v>
      </c>
      <c r="G146" s="31" t="str">
        <f t="shared" si="139"/>
        <v>Kommunal 40 Y 4L D</v>
      </c>
      <c r="H146" s="48">
        <f t="shared" si="105"/>
        <v>5.6488475346832621E-2</v>
      </c>
      <c r="I146" s="40">
        <f t="shared" si="106"/>
        <v>7.5703530999602808E-2</v>
      </c>
      <c r="J146" s="99">
        <f t="shared" si="107"/>
        <v>2.5358744216863666E-4</v>
      </c>
      <c r="K146" s="48">
        <f t="shared" si="108"/>
        <v>1.0552764182342668E-2</v>
      </c>
      <c r="L146" s="48">
        <f t="shared" si="109"/>
        <v>6.4897179375091499E-2</v>
      </c>
      <c r="M146" s="48">
        <f t="shared" si="140"/>
        <v>0.30191391792410838</v>
      </c>
      <c r="N146" s="99">
        <f t="shared" si="110"/>
        <v>2.1540725226834355E-3</v>
      </c>
      <c r="O146" s="48">
        <f t="shared" si="111"/>
        <v>1.2511128156755083E-2</v>
      </c>
      <c r="P146" s="48">
        <f t="shared" si="112"/>
        <v>1.5829146273513998E-2</v>
      </c>
      <c r="Q146" s="48">
        <f t="shared" si="113"/>
        <v>9.7345769062637241E-2</v>
      </c>
      <c r="R146" s="40">
        <f t="shared" si="141"/>
        <v>2.1133974254687589</v>
      </c>
      <c r="S146" s="99">
        <f t="shared" si="114"/>
        <v>3.2311087840251537E-3</v>
      </c>
      <c r="T146" s="48">
        <f t="shared" si="115"/>
        <v>1.8766692235132623E-2</v>
      </c>
      <c r="U146" s="44">
        <v>1.3318905600000006</v>
      </c>
      <c r="V146" s="44">
        <v>1.2</v>
      </c>
      <c r="W146" s="19">
        <v>0</v>
      </c>
      <c r="X146" s="44">
        <v>1.5960985828212675</v>
      </c>
      <c r="Y146" s="46">
        <v>0</v>
      </c>
      <c r="Z146" s="46">
        <v>10.174107036829358</v>
      </c>
      <c r="AA146" s="46">
        <v>89.825892963170645</v>
      </c>
      <c r="AB146" s="46">
        <v>5.8681318681318659</v>
      </c>
      <c r="AC146" s="125">
        <v>1</v>
      </c>
      <c r="AD146" s="94">
        <f t="shared" si="142"/>
        <v>3.223469440545805E-2</v>
      </c>
      <c r="AE146" s="94">
        <f t="shared" si="143"/>
        <v>5.144975005822823E-2</v>
      </c>
      <c r="AF146" s="96">
        <f t="shared" si="116"/>
        <v>0</v>
      </c>
      <c r="AG146" s="95">
        <f t="shared" si="104"/>
        <v>5.2345526411053155E-3</v>
      </c>
      <c r="AH146" s="94">
        <f t="shared" si="144"/>
        <v>4.6215197417122919E-2</v>
      </c>
      <c r="AI146" s="94">
        <f t="shared" si="145"/>
        <v>0.30191391792410838</v>
      </c>
      <c r="AJ146" s="96">
        <f t="shared" si="117"/>
        <v>1.2035267910266898E-3</v>
      </c>
      <c r="AK146" s="95">
        <f t="shared" si="118"/>
        <v>7.4736504037354679E-3</v>
      </c>
      <c r="AL146" s="95">
        <f t="shared" si="119"/>
        <v>7.8518289616579737E-3</v>
      </c>
      <c r="AM146" s="94">
        <f t="shared" si="120"/>
        <v>6.9322796125684372E-2</v>
      </c>
      <c r="AN146" s="93">
        <f t="shared" si="121"/>
        <v>2.1133974254687589</v>
      </c>
      <c r="AO146" s="96">
        <f t="shared" si="122"/>
        <v>1.8052901865400347E-3</v>
      </c>
      <c r="AP146" s="95">
        <f t="shared" si="123"/>
        <v>1.1210475605603201E-2</v>
      </c>
      <c r="AQ146" s="93">
        <f t="shared" si="124"/>
        <v>0.10174107036829359</v>
      </c>
      <c r="AR146" s="31">
        <v>1.5</v>
      </c>
      <c r="AS146" s="31">
        <v>1.5</v>
      </c>
      <c r="AT146" s="31">
        <v>7</v>
      </c>
      <c r="AU146" s="43">
        <v>7.0999999999999994E-2</v>
      </c>
      <c r="AV146" s="44">
        <v>0.28000000000000003</v>
      </c>
      <c r="AW146" s="43">
        <v>1.7999999999999999E-2</v>
      </c>
      <c r="AX146" s="44">
        <v>0.13</v>
      </c>
      <c r="AY146" s="44">
        <v>6.3169879599642158</v>
      </c>
      <c r="AZ146" s="46">
        <v>0.5</v>
      </c>
      <c r="BA146" s="44">
        <v>0.72</v>
      </c>
      <c r="BB146" s="47">
        <v>1</v>
      </c>
      <c r="BC146" s="46">
        <v>2.8979862246705483</v>
      </c>
      <c r="BD146" s="47">
        <v>22.894025067660383</v>
      </c>
      <c r="BE146" s="47">
        <v>74.207988707669074</v>
      </c>
      <c r="BF146" s="125">
        <v>1</v>
      </c>
      <c r="BG146" s="48">
        <f t="shared" si="146"/>
        <v>3.6631769931111287E-3</v>
      </c>
      <c r="BH146" s="48">
        <f t="shared" si="147"/>
        <v>3.6631769931111287E-3</v>
      </c>
      <c r="BI146" s="99">
        <f t="shared" si="148"/>
        <v>1.061583646456613E-4</v>
      </c>
      <c r="BJ146" s="99">
        <f t="shared" si="149"/>
        <v>8.3864865907562968E-4</v>
      </c>
      <c r="BK146" s="48">
        <f t="shared" si="150"/>
        <v>2.7183699693898379E-3</v>
      </c>
      <c r="BL146" s="99">
        <f t="shared" si="125"/>
        <v>1.6735359168041999E-4</v>
      </c>
      <c r="BM146" s="48">
        <f t="shared" si="126"/>
        <v>8.9590643068973206E-4</v>
      </c>
      <c r="BN146" s="48">
        <f t="shared" si="127"/>
        <v>1.2579729886134446E-3</v>
      </c>
      <c r="BO146" s="48">
        <f t="shared" si="128"/>
        <v>4.0775549540847571E-3</v>
      </c>
      <c r="BP146" s="99">
        <f t="shared" si="129"/>
        <v>2.5103038752062997E-4</v>
      </c>
      <c r="BQ146" s="48">
        <f t="shared" si="130"/>
        <v>1.3438596460345982E-3</v>
      </c>
      <c r="BR146" s="40">
        <f t="shared" si="131"/>
        <v>0.2579201129233093</v>
      </c>
      <c r="BS146" s="31">
        <v>1.5</v>
      </c>
      <c r="BT146" s="31">
        <v>1.5</v>
      </c>
      <c r="BU146" s="43">
        <v>0.125</v>
      </c>
      <c r="BV146" s="44">
        <v>0.42</v>
      </c>
      <c r="BW146" s="43">
        <v>2.3E-2</v>
      </c>
      <c r="BX146" s="44">
        <v>0.2</v>
      </c>
      <c r="BY146" s="44">
        <v>15.675043576489312</v>
      </c>
      <c r="BZ146" s="44">
        <v>0.52</v>
      </c>
      <c r="CA146" s="44">
        <v>0.65</v>
      </c>
      <c r="CB146" s="47">
        <v>1</v>
      </c>
      <c r="CC146" s="46">
        <v>0.71600171560489423</v>
      </c>
      <c r="CD146" s="46">
        <v>21.755373924034487</v>
      </c>
      <c r="CE146" s="46">
        <v>77.52862436036061</v>
      </c>
      <c r="CF146" s="125">
        <v>1</v>
      </c>
      <c r="CG146" s="40">
        <f t="shared" si="151"/>
        <v>2.0590603948263446E-2</v>
      </c>
      <c r="CH146" s="40">
        <f t="shared" si="152"/>
        <v>2.0590603948263446E-2</v>
      </c>
      <c r="CI146" s="99">
        <f t="shared" si="153"/>
        <v>1.4742907752297537E-4</v>
      </c>
      <c r="CJ146" s="100">
        <f t="shared" si="154"/>
        <v>4.4795628821617216E-3</v>
      </c>
      <c r="CK146" s="100">
        <f t="shared" si="155"/>
        <v>1.5963611988578746E-2</v>
      </c>
      <c r="CL146" s="101">
        <f t="shared" si="132"/>
        <v>7.8319213997632593E-4</v>
      </c>
      <c r="CM146" s="100">
        <f t="shared" si="133"/>
        <v>4.1415713223298834E-3</v>
      </c>
      <c r="CN146" s="100">
        <f t="shared" si="134"/>
        <v>6.7193443232425824E-3</v>
      </c>
      <c r="CO146" s="100">
        <f t="shared" si="135"/>
        <v>2.3945417982868117E-2</v>
      </c>
      <c r="CP146" s="101">
        <f t="shared" si="136"/>
        <v>1.1747882099644889E-3</v>
      </c>
      <c r="CQ146" s="100">
        <f t="shared" si="137"/>
        <v>6.2123569834948243E-3</v>
      </c>
      <c r="CR146" s="99">
        <f t="shared" si="138"/>
        <v>0.22471375639639382</v>
      </c>
      <c r="CS146" s="31">
        <v>1.5</v>
      </c>
      <c r="CT146" s="31">
        <v>1.5</v>
      </c>
      <c r="CU146" s="43">
        <v>0.1</v>
      </c>
      <c r="CV146" s="44">
        <v>0.39</v>
      </c>
      <c r="CW146" s="43">
        <v>2.1000000000000001E-2</v>
      </c>
      <c r="CX146" s="44">
        <v>0.15</v>
      </c>
    </row>
    <row r="147" spans="1:102" s="27" customFormat="1" x14ac:dyDescent="0.25">
      <c r="A147" s="31">
        <v>133</v>
      </c>
      <c r="B147" s="84" t="s">
        <v>91</v>
      </c>
      <c r="C147" s="19">
        <v>40</v>
      </c>
      <c r="D147" s="31" t="s">
        <v>36</v>
      </c>
      <c r="E147" s="31" t="s">
        <v>6</v>
      </c>
      <c r="F147" s="19" t="s">
        <v>62</v>
      </c>
      <c r="G147" s="31" t="str">
        <f t="shared" si="139"/>
        <v>Kommunal 40 Y 4L EE</v>
      </c>
      <c r="H147" s="48">
        <f t="shared" si="105"/>
        <v>0.16672485698317155</v>
      </c>
      <c r="I147" s="40">
        <f t="shared" si="106"/>
        <v>0.17218581664562715</v>
      </c>
      <c r="J147" s="99">
        <f t="shared" si="107"/>
        <v>1.3016237090350046E-3</v>
      </c>
      <c r="K147" s="48">
        <f t="shared" si="108"/>
        <v>2.9519717605782446E-2</v>
      </c>
      <c r="L147" s="48">
        <f t="shared" si="109"/>
        <v>0.14136447533080967</v>
      </c>
      <c r="M147" s="48">
        <f t="shared" si="140"/>
        <v>0.26760739043128834</v>
      </c>
      <c r="N147" s="99">
        <f t="shared" si="110"/>
        <v>4.8771375429505874E-3</v>
      </c>
      <c r="O147" s="48">
        <f t="shared" si="111"/>
        <v>2.7762623589561587E-2</v>
      </c>
      <c r="P147" s="48">
        <f t="shared" si="112"/>
        <v>4.4279576408673665E-2</v>
      </c>
      <c r="Q147" s="48">
        <f t="shared" si="113"/>
        <v>0.21204671299621455</v>
      </c>
      <c r="R147" s="40">
        <f t="shared" si="141"/>
        <v>1.8732517330190184</v>
      </c>
      <c r="S147" s="99">
        <f t="shared" si="114"/>
        <v>7.3157063144258811E-3</v>
      </c>
      <c r="T147" s="48">
        <f t="shared" si="115"/>
        <v>4.1643935384342377E-2</v>
      </c>
      <c r="U147" s="44">
        <v>9.1352448000000042</v>
      </c>
      <c r="V147" s="44">
        <v>1.2</v>
      </c>
      <c r="W147" s="19">
        <v>0.2</v>
      </c>
      <c r="X147" s="44">
        <v>1.0383303040460894</v>
      </c>
      <c r="Y147" s="46">
        <v>0.70845794954218977</v>
      </c>
      <c r="Z147" s="46">
        <v>16.359881718202693</v>
      </c>
      <c r="AA147" s="46">
        <v>82.93166033225512</v>
      </c>
      <c r="AB147" s="46">
        <v>1.8089887640449438</v>
      </c>
      <c r="AC147" s="125">
        <v>1</v>
      </c>
      <c r="AD147" s="94">
        <f t="shared" si="142"/>
        <v>0.14247107604179696</v>
      </c>
      <c r="AE147" s="94">
        <f t="shared" si="143"/>
        <v>0.14793203570425256</v>
      </c>
      <c r="AF147" s="96">
        <f t="shared" si="116"/>
        <v>1.0480362668663678E-3</v>
      </c>
      <c r="AG147" s="95">
        <f t="shared" si="104"/>
        <v>2.4201506064545096E-2</v>
      </c>
      <c r="AH147" s="94">
        <f t="shared" si="144"/>
        <v>0.12268249337284111</v>
      </c>
      <c r="AI147" s="94">
        <f t="shared" si="145"/>
        <v>0.26760739043128834</v>
      </c>
      <c r="AJ147" s="96">
        <f t="shared" si="117"/>
        <v>3.9265918112938412E-3</v>
      </c>
      <c r="AK147" s="95">
        <f t="shared" si="118"/>
        <v>2.2725145836541973E-2</v>
      </c>
      <c r="AL147" s="95">
        <f t="shared" si="119"/>
        <v>3.6302259096817641E-2</v>
      </c>
      <c r="AM147" s="94">
        <f t="shared" si="120"/>
        <v>0.18402374005926167</v>
      </c>
      <c r="AN147" s="93">
        <f t="shared" si="121"/>
        <v>1.8732517330190184</v>
      </c>
      <c r="AO147" s="96">
        <f t="shared" si="122"/>
        <v>5.8898877169407619E-3</v>
      </c>
      <c r="AP147" s="95">
        <f t="shared" si="123"/>
        <v>3.4087718754812958E-2</v>
      </c>
      <c r="AQ147" s="93">
        <f t="shared" si="124"/>
        <v>0.17068339667744883</v>
      </c>
      <c r="AR147" s="31">
        <v>1.5</v>
      </c>
      <c r="AS147" s="31">
        <v>1.5</v>
      </c>
      <c r="AT147" s="31">
        <v>7</v>
      </c>
      <c r="AU147" s="43">
        <v>7.0999999999999994E-2</v>
      </c>
      <c r="AV147" s="44">
        <v>0.28000000000000003</v>
      </c>
      <c r="AW147" s="43">
        <v>1.7999999999999999E-2</v>
      </c>
      <c r="AX147" s="44">
        <v>0.13</v>
      </c>
      <c r="AY147" s="44">
        <v>6.3169879599642158</v>
      </c>
      <c r="AZ147" s="46">
        <v>0.5</v>
      </c>
      <c r="BA147" s="44">
        <v>0.72</v>
      </c>
      <c r="BB147" s="47">
        <v>1</v>
      </c>
      <c r="BC147" s="46">
        <v>2.8979862246705483</v>
      </c>
      <c r="BD147" s="47">
        <v>22.894025067660383</v>
      </c>
      <c r="BE147" s="47">
        <v>74.207988707669074</v>
      </c>
      <c r="BF147" s="125">
        <v>1</v>
      </c>
      <c r="BG147" s="48">
        <f t="shared" si="146"/>
        <v>3.6631769931111287E-3</v>
      </c>
      <c r="BH147" s="48">
        <f t="shared" si="147"/>
        <v>3.6631769931111287E-3</v>
      </c>
      <c r="BI147" s="99">
        <f t="shared" si="148"/>
        <v>1.061583646456613E-4</v>
      </c>
      <c r="BJ147" s="99">
        <f t="shared" si="149"/>
        <v>8.3864865907562968E-4</v>
      </c>
      <c r="BK147" s="48">
        <f t="shared" si="150"/>
        <v>2.7183699693898379E-3</v>
      </c>
      <c r="BL147" s="99">
        <f t="shared" si="125"/>
        <v>1.6735359168041999E-4</v>
      </c>
      <c r="BM147" s="48">
        <f t="shared" si="126"/>
        <v>8.9590643068973206E-4</v>
      </c>
      <c r="BN147" s="48">
        <f t="shared" si="127"/>
        <v>1.2579729886134446E-3</v>
      </c>
      <c r="BO147" s="48">
        <f t="shared" si="128"/>
        <v>4.0775549540847571E-3</v>
      </c>
      <c r="BP147" s="99">
        <f t="shared" si="129"/>
        <v>2.5103038752062997E-4</v>
      </c>
      <c r="BQ147" s="48">
        <f t="shared" si="130"/>
        <v>1.3438596460345982E-3</v>
      </c>
      <c r="BR147" s="40">
        <f t="shared" si="131"/>
        <v>0.2579201129233093</v>
      </c>
      <c r="BS147" s="31">
        <v>1.5</v>
      </c>
      <c r="BT147" s="31">
        <v>1.5</v>
      </c>
      <c r="BU147" s="43">
        <v>0.125</v>
      </c>
      <c r="BV147" s="44">
        <v>0.42</v>
      </c>
      <c r="BW147" s="43">
        <v>2.3E-2</v>
      </c>
      <c r="BX147" s="44">
        <v>0.2</v>
      </c>
      <c r="BY147" s="44">
        <v>15.675043576489312</v>
      </c>
      <c r="BZ147" s="44">
        <v>0.52</v>
      </c>
      <c r="CA147" s="44">
        <v>0.65</v>
      </c>
      <c r="CB147" s="47">
        <v>1</v>
      </c>
      <c r="CC147" s="46">
        <v>0.71600171560489423</v>
      </c>
      <c r="CD147" s="46">
        <v>21.755373924034487</v>
      </c>
      <c r="CE147" s="46">
        <v>77.52862436036061</v>
      </c>
      <c r="CF147" s="125">
        <v>1</v>
      </c>
      <c r="CG147" s="40">
        <f t="shared" si="151"/>
        <v>2.0590603948263446E-2</v>
      </c>
      <c r="CH147" s="40">
        <f t="shared" si="152"/>
        <v>2.0590603948263446E-2</v>
      </c>
      <c r="CI147" s="99">
        <f t="shared" si="153"/>
        <v>1.4742907752297537E-4</v>
      </c>
      <c r="CJ147" s="100">
        <f t="shared" si="154"/>
        <v>4.4795628821617216E-3</v>
      </c>
      <c r="CK147" s="100">
        <f t="shared" si="155"/>
        <v>1.5963611988578746E-2</v>
      </c>
      <c r="CL147" s="101">
        <f t="shared" si="132"/>
        <v>7.8319213997632593E-4</v>
      </c>
      <c r="CM147" s="100">
        <f t="shared" si="133"/>
        <v>4.1415713223298834E-3</v>
      </c>
      <c r="CN147" s="100">
        <f t="shared" si="134"/>
        <v>6.7193443232425824E-3</v>
      </c>
      <c r="CO147" s="100">
        <f t="shared" si="135"/>
        <v>2.3945417982868117E-2</v>
      </c>
      <c r="CP147" s="101">
        <f t="shared" si="136"/>
        <v>1.1747882099644889E-3</v>
      </c>
      <c r="CQ147" s="100">
        <f t="shared" si="137"/>
        <v>6.2123569834948243E-3</v>
      </c>
      <c r="CR147" s="99">
        <f t="shared" si="138"/>
        <v>0.22471375639639382</v>
      </c>
      <c r="CS147" s="31">
        <v>1.5</v>
      </c>
      <c r="CT147" s="31">
        <v>1.5</v>
      </c>
      <c r="CU147" s="43">
        <v>0.1</v>
      </c>
      <c r="CV147" s="44">
        <v>0.39</v>
      </c>
      <c r="CW147" s="43">
        <v>2.1000000000000001E-2</v>
      </c>
      <c r="CX147" s="44">
        <v>0.15</v>
      </c>
    </row>
    <row r="148" spans="1:102" s="27" customFormat="1" x14ac:dyDescent="0.25">
      <c r="A148" s="31">
        <v>134</v>
      </c>
      <c r="B148" s="84" t="s">
        <v>91</v>
      </c>
      <c r="C148" s="19">
        <v>40</v>
      </c>
      <c r="D148" s="31" t="s">
        <v>36</v>
      </c>
      <c r="E148" s="31" t="s">
        <v>6</v>
      </c>
      <c r="F148" s="19" t="s">
        <v>63</v>
      </c>
      <c r="G148" s="31" t="str">
        <f t="shared" si="139"/>
        <v>Kommunal 40 Y 4L ES</v>
      </c>
      <c r="H148" s="48">
        <f t="shared" si="105"/>
        <v>0.10343501130831331</v>
      </c>
      <c r="I148" s="40">
        <f t="shared" si="106"/>
        <v>9.9437974739363832E-2</v>
      </c>
      <c r="J148" s="99">
        <f t="shared" si="107"/>
        <v>2.5358744216863666E-4</v>
      </c>
      <c r="K148" s="48">
        <f t="shared" si="108"/>
        <v>1.2967531893021998E-2</v>
      </c>
      <c r="L148" s="48">
        <f t="shared" si="109"/>
        <v>8.6216855404173204E-2</v>
      </c>
      <c r="M148" s="48">
        <f t="shared" si="140"/>
        <v>0.19104878707307754</v>
      </c>
      <c r="N148" s="99">
        <f t="shared" si="110"/>
        <v>2.7092751986651387E-3</v>
      </c>
      <c r="O148" s="48">
        <f t="shared" si="111"/>
        <v>1.5958820999525919E-2</v>
      </c>
      <c r="P148" s="48">
        <f t="shared" si="112"/>
        <v>1.9451297839532998E-2</v>
      </c>
      <c r="Q148" s="48">
        <f t="shared" si="113"/>
        <v>0.12932528310625979</v>
      </c>
      <c r="R148" s="40">
        <f t="shared" si="141"/>
        <v>1.3373415095115428</v>
      </c>
      <c r="S148" s="99">
        <f t="shared" si="114"/>
        <v>4.0639127979977072E-3</v>
      </c>
      <c r="T148" s="48">
        <f t="shared" si="115"/>
        <v>2.3938231499288871E-2</v>
      </c>
      <c r="U148" s="44">
        <v>5.0771001600000005</v>
      </c>
      <c r="V148" s="44">
        <v>1.2</v>
      </c>
      <c r="W148" s="19">
        <v>0.2</v>
      </c>
      <c r="X148" s="44">
        <v>0.9495204033780914</v>
      </c>
      <c r="Y148" s="46">
        <v>0</v>
      </c>
      <c r="Z148" s="46">
        <v>10.174107036829358</v>
      </c>
      <c r="AA148" s="46">
        <v>89.825892963170645</v>
      </c>
      <c r="AB148" s="46">
        <v>2.5410764872521252</v>
      </c>
      <c r="AC148" s="125">
        <v>1</v>
      </c>
      <c r="AD148" s="94">
        <f t="shared" si="142"/>
        <v>7.9181230366938748E-2</v>
      </c>
      <c r="AE148" s="94">
        <f t="shared" si="143"/>
        <v>7.5184193797989254E-2</v>
      </c>
      <c r="AF148" s="96">
        <f t="shared" si="116"/>
        <v>0</v>
      </c>
      <c r="AG148" s="95">
        <f t="shared" si="104"/>
        <v>7.6493203517846468E-3</v>
      </c>
      <c r="AH148" s="94">
        <f t="shared" si="144"/>
        <v>6.753487344620461E-2</v>
      </c>
      <c r="AI148" s="94">
        <f t="shared" si="145"/>
        <v>0.19104878707307754</v>
      </c>
      <c r="AJ148" s="96">
        <f t="shared" si="117"/>
        <v>1.7587294670083928E-3</v>
      </c>
      <c r="AK148" s="95">
        <f t="shared" si="118"/>
        <v>1.0921343246506302E-2</v>
      </c>
      <c r="AL148" s="95">
        <f t="shared" si="119"/>
        <v>1.147398052767697E-2</v>
      </c>
      <c r="AM148" s="94">
        <f t="shared" si="120"/>
        <v>0.10130231016930691</v>
      </c>
      <c r="AN148" s="93">
        <f t="shared" si="121"/>
        <v>1.3373415095115428</v>
      </c>
      <c r="AO148" s="96">
        <f t="shared" si="122"/>
        <v>2.6380942005125889E-3</v>
      </c>
      <c r="AP148" s="95">
        <f t="shared" si="123"/>
        <v>1.6382014869759449E-2</v>
      </c>
      <c r="AQ148" s="93">
        <f t="shared" si="124"/>
        <v>0.10174107036829358</v>
      </c>
      <c r="AR148" s="31">
        <v>1.5</v>
      </c>
      <c r="AS148" s="31">
        <v>1.5</v>
      </c>
      <c r="AT148" s="31">
        <v>7</v>
      </c>
      <c r="AU148" s="43">
        <v>7.0999999999999994E-2</v>
      </c>
      <c r="AV148" s="44">
        <v>0.28000000000000003</v>
      </c>
      <c r="AW148" s="43">
        <v>1.7999999999999999E-2</v>
      </c>
      <c r="AX148" s="44">
        <v>0.13</v>
      </c>
      <c r="AY148" s="44">
        <v>6.3169879599642158</v>
      </c>
      <c r="AZ148" s="46">
        <v>0.5</v>
      </c>
      <c r="BA148" s="44">
        <v>0.72</v>
      </c>
      <c r="BB148" s="47">
        <v>1</v>
      </c>
      <c r="BC148" s="46">
        <v>2.8979862246705483</v>
      </c>
      <c r="BD148" s="47">
        <v>22.894025067660383</v>
      </c>
      <c r="BE148" s="47">
        <v>74.207988707669074</v>
      </c>
      <c r="BF148" s="125">
        <v>1</v>
      </c>
      <c r="BG148" s="48">
        <f t="shared" si="146"/>
        <v>3.6631769931111287E-3</v>
      </c>
      <c r="BH148" s="48">
        <f t="shared" si="147"/>
        <v>3.6631769931111287E-3</v>
      </c>
      <c r="BI148" s="99">
        <f t="shared" si="148"/>
        <v>1.061583646456613E-4</v>
      </c>
      <c r="BJ148" s="99">
        <f t="shared" si="149"/>
        <v>8.3864865907562968E-4</v>
      </c>
      <c r="BK148" s="48">
        <f t="shared" si="150"/>
        <v>2.7183699693898379E-3</v>
      </c>
      <c r="BL148" s="99">
        <f t="shared" si="125"/>
        <v>1.6735359168041999E-4</v>
      </c>
      <c r="BM148" s="48">
        <f t="shared" si="126"/>
        <v>8.9590643068973206E-4</v>
      </c>
      <c r="BN148" s="48">
        <f t="shared" si="127"/>
        <v>1.2579729886134446E-3</v>
      </c>
      <c r="BO148" s="48">
        <f t="shared" si="128"/>
        <v>4.0775549540847571E-3</v>
      </c>
      <c r="BP148" s="99">
        <f t="shared" si="129"/>
        <v>2.5103038752062997E-4</v>
      </c>
      <c r="BQ148" s="48">
        <f t="shared" si="130"/>
        <v>1.3438596460345982E-3</v>
      </c>
      <c r="BR148" s="40">
        <f t="shared" si="131"/>
        <v>0.2579201129233093</v>
      </c>
      <c r="BS148" s="31">
        <v>1.5</v>
      </c>
      <c r="BT148" s="31">
        <v>1.5</v>
      </c>
      <c r="BU148" s="43">
        <v>0.125</v>
      </c>
      <c r="BV148" s="44">
        <v>0.42</v>
      </c>
      <c r="BW148" s="43">
        <v>2.3E-2</v>
      </c>
      <c r="BX148" s="44">
        <v>0.2</v>
      </c>
      <c r="BY148" s="44">
        <v>15.675043576489312</v>
      </c>
      <c r="BZ148" s="44">
        <v>0.52</v>
      </c>
      <c r="CA148" s="44">
        <v>0.65</v>
      </c>
      <c r="CB148" s="47">
        <v>1</v>
      </c>
      <c r="CC148" s="46">
        <v>0.71600171560489423</v>
      </c>
      <c r="CD148" s="46">
        <v>21.755373924034487</v>
      </c>
      <c r="CE148" s="46">
        <v>77.52862436036061</v>
      </c>
      <c r="CF148" s="125">
        <v>1</v>
      </c>
      <c r="CG148" s="40">
        <f t="shared" si="151"/>
        <v>2.0590603948263446E-2</v>
      </c>
      <c r="CH148" s="40">
        <f t="shared" si="152"/>
        <v>2.0590603948263446E-2</v>
      </c>
      <c r="CI148" s="99">
        <f t="shared" si="153"/>
        <v>1.4742907752297537E-4</v>
      </c>
      <c r="CJ148" s="100">
        <f t="shared" si="154"/>
        <v>4.4795628821617216E-3</v>
      </c>
      <c r="CK148" s="100">
        <f t="shared" si="155"/>
        <v>1.5963611988578746E-2</v>
      </c>
      <c r="CL148" s="101">
        <f t="shared" si="132"/>
        <v>7.8319213997632593E-4</v>
      </c>
      <c r="CM148" s="100">
        <f t="shared" si="133"/>
        <v>4.1415713223298834E-3</v>
      </c>
      <c r="CN148" s="100">
        <f t="shared" si="134"/>
        <v>6.7193443232425824E-3</v>
      </c>
      <c r="CO148" s="100">
        <f t="shared" si="135"/>
        <v>2.3945417982868117E-2</v>
      </c>
      <c r="CP148" s="101">
        <f t="shared" si="136"/>
        <v>1.1747882099644889E-3</v>
      </c>
      <c r="CQ148" s="100">
        <f t="shared" si="137"/>
        <v>6.2123569834948243E-3</v>
      </c>
      <c r="CR148" s="99">
        <f t="shared" si="138"/>
        <v>0.22471375639639382</v>
      </c>
      <c r="CS148" s="31">
        <v>1.5</v>
      </c>
      <c r="CT148" s="31">
        <v>1.5</v>
      </c>
      <c r="CU148" s="43">
        <v>0.1</v>
      </c>
      <c r="CV148" s="44">
        <v>0.39</v>
      </c>
      <c r="CW148" s="43">
        <v>2.1000000000000001E-2</v>
      </c>
      <c r="CX148" s="44">
        <v>0.15</v>
      </c>
    </row>
    <row r="149" spans="1:102" s="27" customFormat="1" x14ac:dyDescent="0.25">
      <c r="A149" s="31">
        <v>135</v>
      </c>
      <c r="B149" s="84" t="s">
        <v>91</v>
      </c>
      <c r="C149" s="19">
        <v>40</v>
      </c>
      <c r="D149" s="31" t="s">
        <v>36</v>
      </c>
      <c r="E149" s="31" t="s">
        <v>6</v>
      </c>
      <c r="F149" s="19" t="s">
        <v>64</v>
      </c>
      <c r="G149" s="31" t="str">
        <f t="shared" si="139"/>
        <v>Kommunal 40 Y 4L F</v>
      </c>
      <c r="H149" s="48">
        <f t="shared" si="105"/>
        <v>4.0625125503977365E-2</v>
      </c>
      <c r="I149" s="40">
        <f t="shared" si="106"/>
        <v>3.8989808436008619E-2</v>
      </c>
      <c r="J149" s="99">
        <f t="shared" si="107"/>
        <v>3.5798600040109428E-4</v>
      </c>
      <c r="K149" s="48">
        <f t="shared" si="108"/>
        <v>7.7290082093213084E-3</v>
      </c>
      <c r="L149" s="48">
        <f t="shared" si="109"/>
        <v>3.0902814226286216E-2</v>
      </c>
      <c r="M149" s="48">
        <f t="shared" si="140"/>
        <v>4.108225846988886E-2</v>
      </c>
      <c r="N149" s="99">
        <f t="shared" si="110"/>
        <v>1.3416872759204244E-3</v>
      </c>
      <c r="O149" s="48">
        <f t="shared" si="111"/>
        <v>7.3012090149644163E-3</v>
      </c>
      <c r="P149" s="48">
        <f t="shared" si="112"/>
        <v>1.1593512313981962E-2</v>
      </c>
      <c r="Q149" s="48">
        <f t="shared" si="113"/>
        <v>4.6354221339429326E-2</v>
      </c>
      <c r="R149" s="40">
        <f t="shared" si="141"/>
        <v>0.287575809289222</v>
      </c>
      <c r="S149" s="99">
        <f t="shared" si="114"/>
        <v>2.0125309138806363E-3</v>
      </c>
      <c r="T149" s="48">
        <f t="shared" si="115"/>
        <v>1.0951813522446625E-2</v>
      </c>
      <c r="U149" s="44">
        <v>0.24776927999999993</v>
      </c>
      <c r="V149" s="19">
        <v>1.45</v>
      </c>
      <c r="W149" s="19">
        <v>0.5</v>
      </c>
      <c r="X149" s="44">
        <v>0.90011101032566898</v>
      </c>
      <c r="Y149" s="46">
        <v>0.70845794954218966</v>
      </c>
      <c r="Z149" s="46">
        <v>16.35988171820269</v>
      </c>
      <c r="AA149" s="46">
        <v>82.93166033225512</v>
      </c>
      <c r="AB149" s="46">
        <v>2.787878787878789</v>
      </c>
      <c r="AC149" s="125">
        <v>1</v>
      </c>
      <c r="AD149" s="94">
        <f t="shared" si="142"/>
        <v>1.6371344562602787E-2</v>
      </c>
      <c r="AE149" s="94">
        <f t="shared" si="143"/>
        <v>1.4736027494634043E-2</v>
      </c>
      <c r="AF149" s="96">
        <f t="shared" si="116"/>
        <v>1.0439855823245764E-4</v>
      </c>
      <c r="AG149" s="95">
        <f t="shared" si="104"/>
        <v>2.4107966680839564E-3</v>
      </c>
      <c r="AH149" s="94">
        <f t="shared" si="144"/>
        <v>1.2220832268317628E-2</v>
      </c>
      <c r="AI149" s="94">
        <f t="shared" si="145"/>
        <v>4.108225846988886E-2</v>
      </c>
      <c r="AJ149" s="96">
        <f t="shared" si="117"/>
        <v>3.9114154426367819E-4</v>
      </c>
      <c r="AK149" s="95">
        <f t="shared" si="118"/>
        <v>2.2637312619447998E-3</v>
      </c>
      <c r="AL149" s="95">
        <f t="shared" si="119"/>
        <v>3.6161950021259348E-3</v>
      </c>
      <c r="AM149" s="94">
        <f t="shared" si="120"/>
        <v>1.8331248402476442E-2</v>
      </c>
      <c r="AN149" s="93">
        <f t="shared" si="121"/>
        <v>0.287575809289222</v>
      </c>
      <c r="AO149" s="96">
        <f t="shared" si="122"/>
        <v>5.8671231639551729E-4</v>
      </c>
      <c r="AP149" s="95">
        <f t="shared" si="123"/>
        <v>3.3955968929171992E-3</v>
      </c>
      <c r="AQ149" s="93">
        <f t="shared" si="124"/>
        <v>0.17068339667744878</v>
      </c>
      <c r="AR149" s="31">
        <v>1.5</v>
      </c>
      <c r="AS149" s="31">
        <v>1.5</v>
      </c>
      <c r="AT149" s="31">
        <v>7</v>
      </c>
      <c r="AU149" s="43">
        <v>7.0999999999999994E-2</v>
      </c>
      <c r="AV149" s="44">
        <v>0.28000000000000003</v>
      </c>
      <c r="AW149" s="43">
        <v>1.7999999999999999E-2</v>
      </c>
      <c r="AX149" s="44">
        <v>0.13</v>
      </c>
      <c r="AY149" s="44">
        <v>6.316987959964214</v>
      </c>
      <c r="AZ149" s="46">
        <v>0.5</v>
      </c>
      <c r="BA149" s="44">
        <v>0.72</v>
      </c>
      <c r="BB149" s="47">
        <v>1</v>
      </c>
      <c r="BC149" s="46">
        <v>2.8979862246705488</v>
      </c>
      <c r="BD149" s="47">
        <v>22.894025067660387</v>
      </c>
      <c r="BE149" s="47">
        <v>74.207988707669074</v>
      </c>
      <c r="BF149" s="125">
        <v>1</v>
      </c>
      <c r="BG149" s="48">
        <f t="shared" si="146"/>
        <v>3.6631769931111274E-3</v>
      </c>
      <c r="BH149" s="48">
        <f t="shared" si="147"/>
        <v>3.6631769931111274E-3</v>
      </c>
      <c r="BI149" s="99">
        <f t="shared" si="148"/>
        <v>1.0615836464566129E-4</v>
      </c>
      <c r="BJ149" s="99">
        <f t="shared" si="149"/>
        <v>8.3864865907562957E-4</v>
      </c>
      <c r="BK149" s="48">
        <f t="shared" si="150"/>
        <v>2.7183699693898366E-3</v>
      </c>
      <c r="BL149" s="99">
        <f t="shared" si="125"/>
        <v>1.6735359168041993E-4</v>
      </c>
      <c r="BM149" s="48">
        <f t="shared" si="126"/>
        <v>8.9590643068973184E-4</v>
      </c>
      <c r="BN149" s="48">
        <f t="shared" si="127"/>
        <v>1.2579729886134444E-3</v>
      </c>
      <c r="BO149" s="48">
        <f t="shared" si="128"/>
        <v>4.0775549540847545E-3</v>
      </c>
      <c r="BP149" s="99">
        <f t="shared" si="129"/>
        <v>2.5103038752062991E-4</v>
      </c>
      <c r="BQ149" s="48">
        <f t="shared" si="130"/>
        <v>1.3438596460345975E-3</v>
      </c>
      <c r="BR149" s="40">
        <f t="shared" si="131"/>
        <v>0.25792011292330935</v>
      </c>
      <c r="BS149" s="31">
        <v>1.5</v>
      </c>
      <c r="BT149" s="31">
        <v>1.5</v>
      </c>
      <c r="BU149" s="43">
        <v>0.125</v>
      </c>
      <c r="BV149" s="44">
        <v>0.42</v>
      </c>
      <c r="BW149" s="43">
        <v>2.3E-2</v>
      </c>
      <c r="BX149" s="44">
        <v>0.2</v>
      </c>
      <c r="BY149" s="44">
        <v>15.675043576489314</v>
      </c>
      <c r="BZ149" s="44">
        <v>0.52</v>
      </c>
      <c r="CA149" s="44">
        <v>0.65</v>
      </c>
      <c r="CB149" s="47">
        <v>1</v>
      </c>
      <c r="CC149" s="46">
        <v>0.71600171560489401</v>
      </c>
      <c r="CD149" s="46">
        <v>21.755373924034487</v>
      </c>
      <c r="CE149" s="46">
        <v>77.528624360360624</v>
      </c>
      <c r="CF149" s="125">
        <v>1</v>
      </c>
      <c r="CG149" s="40">
        <f t="shared" si="151"/>
        <v>2.0590603948263449E-2</v>
      </c>
      <c r="CH149" s="40">
        <f t="shared" si="152"/>
        <v>2.0590603948263449E-2</v>
      </c>
      <c r="CI149" s="99">
        <f t="shared" si="153"/>
        <v>1.4742907752297534E-4</v>
      </c>
      <c r="CJ149" s="100">
        <f t="shared" si="154"/>
        <v>4.4795628821617224E-3</v>
      </c>
      <c r="CK149" s="100">
        <f t="shared" si="155"/>
        <v>1.5963611988578753E-2</v>
      </c>
      <c r="CL149" s="101">
        <f t="shared" si="132"/>
        <v>7.8319213997632615E-4</v>
      </c>
      <c r="CM149" s="100">
        <f t="shared" si="133"/>
        <v>4.1415713223298851E-3</v>
      </c>
      <c r="CN149" s="100">
        <f t="shared" si="134"/>
        <v>6.7193443232425841E-3</v>
      </c>
      <c r="CO149" s="100">
        <f t="shared" si="135"/>
        <v>2.3945417982868131E-2</v>
      </c>
      <c r="CP149" s="101">
        <f t="shared" si="136"/>
        <v>1.1747882099644893E-3</v>
      </c>
      <c r="CQ149" s="100">
        <f t="shared" si="137"/>
        <v>6.2123569834948277E-3</v>
      </c>
      <c r="CR149" s="99">
        <f t="shared" si="138"/>
        <v>0.22471375639639382</v>
      </c>
      <c r="CS149" s="31">
        <v>1.5</v>
      </c>
      <c r="CT149" s="31">
        <v>1.5</v>
      </c>
      <c r="CU149" s="43">
        <v>0.1</v>
      </c>
      <c r="CV149" s="44">
        <v>0.39</v>
      </c>
      <c r="CW149" s="43">
        <v>2.1000000000000001E-2</v>
      </c>
      <c r="CX149" s="44">
        <v>0.15</v>
      </c>
    </row>
    <row r="150" spans="1:102" s="27" customFormat="1" x14ac:dyDescent="0.25">
      <c r="A150" s="31">
        <v>136</v>
      </c>
      <c r="B150" s="84" t="s">
        <v>91</v>
      </c>
      <c r="C150" s="19">
        <v>50</v>
      </c>
      <c r="D150" s="31" t="s">
        <v>36</v>
      </c>
      <c r="E150" s="31" t="s">
        <v>4</v>
      </c>
      <c r="F150" s="31" t="s">
        <v>12</v>
      </c>
      <c r="G150" s="31" t="str">
        <f t="shared" si="139"/>
        <v>Kommunal 50 C 4L A</v>
      </c>
      <c r="H150" s="48">
        <f t="shared" si="105"/>
        <v>7.2648006899736814E-2</v>
      </c>
      <c r="I150" s="40">
        <f t="shared" si="106"/>
        <v>8.1896777647544258E-2</v>
      </c>
      <c r="J150" s="99">
        <f t="shared" si="107"/>
        <v>7.73409616419126E-4</v>
      </c>
      <c r="K150" s="48">
        <f t="shared" si="108"/>
        <v>1.4794409130781158E-2</v>
      </c>
      <c r="L150" s="48">
        <f t="shared" si="109"/>
        <v>6.6328958900343973E-2</v>
      </c>
      <c r="M150" s="48">
        <f t="shared" si="140"/>
        <v>0.19433082264562476</v>
      </c>
      <c r="N150" s="99">
        <f t="shared" si="110"/>
        <v>2.518700530405421E-3</v>
      </c>
      <c r="O150" s="48">
        <f t="shared" si="111"/>
        <v>1.4044595992077294E-2</v>
      </c>
      <c r="P150" s="48">
        <f t="shared" si="112"/>
        <v>2.2191613696171737E-2</v>
      </c>
      <c r="Q150" s="48">
        <f t="shared" si="113"/>
        <v>9.9493438350515953E-2</v>
      </c>
      <c r="R150" s="40">
        <f t="shared" si="141"/>
        <v>1.3603157585193733</v>
      </c>
      <c r="S150" s="99">
        <f t="shared" si="114"/>
        <v>3.7780507956081317E-3</v>
      </c>
      <c r="T150" s="48">
        <f t="shared" si="115"/>
        <v>2.1066893988115939E-2</v>
      </c>
      <c r="U150" s="44">
        <v>0.85900320000000019</v>
      </c>
      <c r="V150" s="19">
        <v>1.45</v>
      </c>
      <c r="W150" s="46">
        <v>0.6</v>
      </c>
      <c r="X150" s="44">
        <v>1.20299091144318</v>
      </c>
      <c r="Y150" s="46">
        <v>0.81689374316930796</v>
      </c>
      <c r="Z150" s="46">
        <v>15.527974136477221</v>
      </c>
      <c r="AA150" s="46">
        <v>83.655132120353471</v>
      </c>
      <c r="AB150" s="46">
        <v>3.5454545454545459</v>
      </c>
      <c r="AC150" s="125">
        <v>1</v>
      </c>
      <c r="AD150" s="94">
        <f t="shared" si="142"/>
        <v>4.5562486921471336E-2</v>
      </c>
      <c r="AE150" s="94">
        <f t="shared" si="143"/>
        <v>5.4811257669278773E-2</v>
      </c>
      <c r="AF150" s="96">
        <f t="shared" si="116"/>
        <v>4.4774973445274574E-4</v>
      </c>
      <c r="AG150" s="95">
        <f t="shared" si="104"/>
        <v>8.5110779147634947E-3</v>
      </c>
      <c r="AH150" s="94">
        <f t="shared" si="144"/>
        <v>4.5852430020062535E-2</v>
      </c>
      <c r="AI150" s="94">
        <f t="shared" si="145"/>
        <v>0.19433082264562476</v>
      </c>
      <c r="AJ150" s="96">
        <f t="shared" si="117"/>
        <v>1.4296302723093336E-3</v>
      </c>
      <c r="AK150" s="95">
        <f t="shared" si="118"/>
        <v>8.343917718741909E-3</v>
      </c>
      <c r="AL150" s="95">
        <f t="shared" si="119"/>
        <v>1.2766616872145243E-2</v>
      </c>
      <c r="AM150" s="94">
        <f t="shared" si="120"/>
        <v>6.8778645030093802E-2</v>
      </c>
      <c r="AN150" s="93">
        <f t="shared" si="121"/>
        <v>1.3603157585193733</v>
      </c>
      <c r="AO150" s="96">
        <f t="shared" si="122"/>
        <v>2.1444454084640005E-3</v>
      </c>
      <c r="AP150" s="95">
        <f t="shared" si="123"/>
        <v>1.2515876578112862E-2</v>
      </c>
      <c r="AQ150" s="93">
        <f t="shared" si="124"/>
        <v>0.1634486787964653</v>
      </c>
      <c r="AR150" s="31">
        <v>1.5</v>
      </c>
      <c r="AS150" s="31">
        <v>1.5</v>
      </c>
      <c r="AT150" s="31">
        <v>7</v>
      </c>
      <c r="AU150" s="43">
        <v>7.0999999999999994E-2</v>
      </c>
      <c r="AV150" s="44">
        <v>0.28000000000000003</v>
      </c>
      <c r="AW150" s="43">
        <v>1.7999999999999999E-2</v>
      </c>
      <c r="AX150" s="44">
        <v>0.13</v>
      </c>
      <c r="AY150" s="44">
        <v>7.0817582490074757</v>
      </c>
      <c r="AZ150" s="46">
        <v>0.5</v>
      </c>
      <c r="BA150" s="44">
        <v>0.72</v>
      </c>
      <c r="BB150" s="47">
        <v>1</v>
      </c>
      <c r="BC150" s="46">
        <v>3.3197225366043672</v>
      </c>
      <c r="BD150" s="47">
        <v>24.127673726603241</v>
      </c>
      <c r="BE150" s="47">
        <v>72.552603736792392</v>
      </c>
      <c r="BF150" s="125">
        <v>1</v>
      </c>
      <c r="BG150" s="48">
        <f t="shared" si="146"/>
        <v>4.1066619175076109E-3</v>
      </c>
      <c r="BH150" s="48">
        <f t="shared" si="147"/>
        <v>4.1066619175076109E-3</v>
      </c>
      <c r="BI150" s="99">
        <f t="shared" si="148"/>
        <v>1.3632978117764921E-4</v>
      </c>
      <c r="BJ150" s="99">
        <f t="shared" si="149"/>
        <v>9.9084198851090476E-4</v>
      </c>
      <c r="BK150" s="48">
        <f t="shared" si="150"/>
        <v>2.9794901478190573E-3</v>
      </c>
      <c r="BL150" s="99">
        <f t="shared" si="125"/>
        <v>1.9238352196370142E-4</v>
      </c>
      <c r="BM150" s="48">
        <f t="shared" si="126"/>
        <v>1.0120516647383914E-3</v>
      </c>
      <c r="BN150" s="48">
        <f t="shared" si="127"/>
        <v>1.4862629827663571E-3</v>
      </c>
      <c r="BO150" s="48">
        <f t="shared" si="128"/>
        <v>4.4692352217285862E-3</v>
      </c>
      <c r="BP150" s="99">
        <f t="shared" si="129"/>
        <v>2.8857528294555214E-4</v>
      </c>
      <c r="BQ150" s="48">
        <f t="shared" si="130"/>
        <v>1.5180774971075874E-3</v>
      </c>
      <c r="BR150" s="40">
        <f t="shared" si="131"/>
        <v>0.27447396263207607</v>
      </c>
      <c r="BS150" s="31">
        <v>1.5</v>
      </c>
      <c r="BT150" s="31">
        <v>1.5</v>
      </c>
      <c r="BU150" s="43">
        <v>0.125</v>
      </c>
      <c r="BV150" s="44">
        <v>0.42</v>
      </c>
      <c r="BW150" s="43">
        <v>2.3E-2</v>
      </c>
      <c r="BX150" s="44">
        <v>0.2</v>
      </c>
      <c r="BY150" s="44">
        <v>17.493153787299189</v>
      </c>
      <c r="BZ150" s="44">
        <v>0.52</v>
      </c>
      <c r="CA150" s="44">
        <v>0.65</v>
      </c>
      <c r="CB150" s="47">
        <v>1</v>
      </c>
      <c r="CC150" s="46">
        <v>0.82393172144641669</v>
      </c>
      <c r="CD150" s="46">
        <v>23.031994076959833</v>
      </c>
      <c r="CE150" s="46">
        <v>76.144074201593753</v>
      </c>
      <c r="CF150" s="125">
        <v>1</v>
      </c>
      <c r="CG150" s="40">
        <f t="shared" si="151"/>
        <v>2.2978858060757872E-2</v>
      </c>
      <c r="CH150" s="40">
        <f t="shared" si="152"/>
        <v>2.2978858060757872E-2</v>
      </c>
      <c r="CI150" s="99">
        <f t="shared" si="153"/>
        <v>1.8933010078873102E-4</v>
      </c>
      <c r="CJ150" s="100">
        <f t="shared" si="154"/>
        <v>5.29248922750676E-3</v>
      </c>
      <c r="CK150" s="100">
        <f t="shared" si="155"/>
        <v>1.7497038732462382E-2</v>
      </c>
      <c r="CL150" s="101">
        <f t="shared" si="132"/>
        <v>8.9668673613238611E-4</v>
      </c>
      <c r="CM150" s="100">
        <f t="shared" si="133"/>
        <v>4.6886266085969935E-3</v>
      </c>
      <c r="CN150" s="100">
        <f t="shared" si="134"/>
        <v>7.9387338412601396E-3</v>
      </c>
      <c r="CO150" s="100">
        <f t="shared" si="135"/>
        <v>2.6245558098693573E-2</v>
      </c>
      <c r="CP150" s="101">
        <f t="shared" si="136"/>
        <v>1.3450301041985791E-3</v>
      </c>
      <c r="CQ150" s="100">
        <f t="shared" si="137"/>
        <v>7.0329399128954903E-3</v>
      </c>
      <c r="CR150" s="99">
        <f t="shared" si="138"/>
        <v>0.23855925798406249</v>
      </c>
      <c r="CS150" s="31">
        <v>1.5</v>
      </c>
      <c r="CT150" s="31">
        <v>1.5</v>
      </c>
      <c r="CU150" s="43">
        <v>0.1</v>
      </c>
      <c r="CV150" s="44">
        <v>0.39</v>
      </c>
      <c r="CW150" s="43">
        <v>2.1000000000000001E-2</v>
      </c>
      <c r="CX150" s="44">
        <v>0.15</v>
      </c>
    </row>
    <row r="151" spans="1:102" s="27" customFormat="1" x14ac:dyDescent="0.25">
      <c r="A151" s="31">
        <v>137</v>
      </c>
      <c r="B151" s="84" t="s">
        <v>91</v>
      </c>
      <c r="C151" s="19">
        <v>50</v>
      </c>
      <c r="D151" s="31" t="s">
        <v>36</v>
      </c>
      <c r="E151" s="31" t="s">
        <v>4</v>
      </c>
      <c r="F151" s="31" t="s">
        <v>13</v>
      </c>
      <c r="G151" s="31" t="str">
        <f t="shared" si="139"/>
        <v>Kommunal 50 C 4L B</v>
      </c>
      <c r="H151" s="48">
        <f t="shared" si="105"/>
        <v>7.0369882553663235E-2</v>
      </c>
      <c r="I151" s="40">
        <f t="shared" si="106"/>
        <v>7.9156214764080288E-2</v>
      </c>
      <c r="J151" s="99">
        <f t="shared" si="107"/>
        <v>7.5102212969648842E-4</v>
      </c>
      <c r="K151" s="48">
        <f t="shared" si="108"/>
        <v>1.4368855235042981E-2</v>
      </c>
      <c r="L151" s="48">
        <f t="shared" si="109"/>
        <v>6.4036337399340809E-2</v>
      </c>
      <c r="M151" s="48">
        <f t="shared" si="140"/>
        <v>0.18461428151334344</v>
      </c>
      <c r="N151" s="99">
        <f t="shared" si="110"/>
        <v>2.4472190167899536E-3</v>
      </c>
      <c r="O151" s="48">
        <f t="shared" si="111"/>
        <v>1.3627400106140193E-2</v>
      </c>
      <c r="P151" s="48">
        <f t="shared" si="112"/>
        <v>2.155328285256447E-2</v>
      </c>
      <c r="Q151" s="48">
        <f t="shared" si="113"/>
        <v>9.6054506099011214E-2</v>
      </c>
      <c r="R151" s="40">
        <f t="shared" si="141"/>
        <v>1.2922999705934042</v>
      </c>
      <c r="S151" s="99">
        <f t="shared" si="114"/>
        <v>3.6708285251849304E-3</v>
      </c>
      <c r="T151" s="48">
        <f t="shared" si="115"/>
        <v>2.0441100159210288E-2</v>
      </c>
      <c r="U151" s="44">
        <v>0.8160530399999999</v>
      </c>
      <c r="V151" s="19">
        <v>1.45</v>
      </c>
      <c r="W151" s="46">
        <v>0.6</v>
      </c>
      <c r="X151" s="44">
        <v>1.2029909114431798</v>
      </c>
      <c r="Y151" s="46">
        <v>0.81689374316930796</v>
      </c>
      <c r="Z151" s="46">
        <v>15.527974136477225</v>
      </c>
      <c r="AA151" s="46">
        <v>83.655132120353471</v>
      </c>
      <c r="AB151" s="46">
        <v>3.5454545454545463</v>
      </c>
      <c r="AC151" s="125">
        <v>1</v>
      </c>
      <c r="AD151" s="94">
        <f t="shared" si="142"/>
        <v>4.328436257539775E-2</v>
      </c>
      <c r="AE151" s="94">
        <f t="shared" si="143"/>
        <v>5.2070694785814803E-2</v>
      </c>
      <c r="AF151" s="96">
        <f t="shared" si="116"/>
        <v>4.2536224773010822E-4</v>
      </c>
      <c r="AG151" s="95">
        <f t="shared" si="104"/>
        <v>8.085524019025318E-3</v>
      </c>
      <c r="AH151" s="94">
        <f t="shared" si="144"/>
        <v>4.3559808519059377E-2</v>
      </c>
      <c r="AI151" s="94">
        <f t="shared" si="145"/>
        <v>0.18461428151334344</v>
      </c>
      <c r="AJ151" s="96">
        <f t="shared" si="117"/>
        <v>1.3581487586938662E-3</v>
      </c>
      <c r="AK151" s="95">
        <f t="shared" si="118"/>
        <v>7.9267218328048089E-3</v>
      </c>
      <c r="AL151" s="95">
        <f t="shared" si="119"/>
        <v>1.2128286028537976E-2</v>
      </c>
      <c r="AM151" s="94">
        <f t="shared" si="120"/>
        <v>6.5339712778589062E-2</v>
      </c>
      <c r="AN151" s="93">
        <f t="shared" si="121"/>
        <v>1.2922999705934042</v>
      </c>
      <c r="AO151" s="96">
        <f t="shared" si="122"/>
        <v>2.0372231380407992E-3</v>
      </c>
      <c r="AP151" s="95">
        <f t="shared" si="123"/>
        <v>1.1890082749207212E-2</v>
      </c>
      <c r="AQ151" s="93">
        <f t="shared" si="124"/>
        <v>0.16344867879646532</v>
      </c>
      <c r="AR151" s="31">
        <v>1.5</v>
      </c>
      <c r="AS151" s="31">
        <v>1.5</v>
      </c>
      <c r="AT151" s="31">
        <v>7</v>
      </c>
      <c r="AU151" s="43">
        <v>7.0999999999999994E-2</v>
      </c>
      <c r="AV151" s="44">
        <v>0.28000000000000003</v>
      </c>
      <c r="AW151" s="43">
        <v>1.7999999999999999E-2</v>
      </c>
      <c r="AX151" s="44">
        <v>0.13</v>
      </c>
      <c r="AY151" s="44">
        <v>7.0817582490074757</v>
      </c>
      <c r="AZ151" s="46">
        <v>0.5</v>
      </c>
      <c r="BA151" s="44">
        <v>0.72</v>
      </c>
      <c r="BB151" s="47">
        <v>1</v>
      </c>
      <c r="BC151" s="46">
        <v>3.3197225366043672</v>
      </c>
      <c r="BD151" s="47">
        <v>24.127673726603241</v>
      </c>
      <c r="BE151" s="47">
        <v>72.552603736792392</v>
      </c>
      <c r="BF151" s="125">
        <v>1</v>
      </c>
      <c r="BG151" s="48">
        <f t="shared" si="146"/>
        <v>4.1066619175076109E-3</v>
      </c>
      <c r="BH151" s="48">
        <f t="shared" si="147"/>
        <v>4.1066619175076109E-3</v>
      </c>
      <c r="BI151" s="99">
        <f t="shared" si="148"/>
        <v>1.3632978117764921E-4</v>
      </c>
      <c r="BJ151" s="99">
        <f t="shared" si="149"/>
        <v>9.9084198851090476E-4</v>
      </c>
      <c r="BK151" s="48">
        <f t="shared" si="150"/>
        <v>2.9794901478190573E-3</v>
      </c>
      <c r="BL151" s="99">
        <f t="shared" si="125"/>
        <v>1.9238352196370142E-4</v>
      </c>
      <c r="BM151" s="48">
        <f t="shared" si="126"/>
        <v>1.0120516647383914E-3</v>
      </c>
      <c r="BN151" s="48">
        <f t="shared" si="127"/>
        <v>1.4862629827663571E-3</v>
      </c>
      <c r="BO151" s="48">
        <f t="shared" si="128"/>
        <v>4.4692352217285862E-3</v>
      </c>
      <c r="BP151" s="99">
        <f t="shared" si="129"/>
        <v>2.8857528294555214E-4</v>
      </c>
      <c r="BQ151" s="48">
        <f t="shared" si="130"/>
        <v>1.5180774971075874E-3</v>
      </c>
      <c r="BR151" s="40">
        <f t="shared" si="131"/>
        <v>0.27447396263207607</v>
      </c>
      <c r="BS151" s="31">
        <v>1.5</v>
      </c>
      <c r="BT151" s="31">
        <v>1.5</v>
      </c>
      <c r="BU151" s="43">
        <v>0.125</v>
      </c>
      <c r="BV151" s="44">
        <v>0.42</v>
      </c>
      <c r="BW151" s="43">
        <v>2.3E-2</v>
      </c>
      <c r="BX151" s="44">
        <v>0.2</v>
      </c>
      <c r="BY151" s="44">
        <v>17.493153787299189</v>
      </c>
      <c r="BZ151" s="44">
        <v>0.52</v>
      </c>
      <c r="CA151" s="44">
        <v>0.65</v>
      </c>
      <c r="CB151" s="47">
        <v>1</v>
      </c>
      <c r="CC151" s="46">
        <v>0.82393172144641669</v>
      </c>
      <c r="CD151" s="46">
        <v>23.031994076959833</v>
      </c>
      <c r="CE151" s="46">
        <v>76.144074201593753</v>
      </c>
      <c r="CF151" s="125">
        <v>1</v>
      </c>
      <c r="CG151" s="40">
        <f t="shared" si="151"/>
        <v>2.2978858060757872E-2</v>
      </c>
      <c r="CH151" s="40">
        <f t="shared" si="152"/>
        <v>2.2978858060757872E-2</v>
      </c>
      <c r="CI151" s="99">
        <f t="shared" si="153"/>
        <v>1.8933010078873102E-4</v>
      </c>
      <c r="CJ151" s="100">
        <f t="shared" si="154"/>
        <v>5.29248922750676E-3</v>
      </c>
      <c r="CK151" s="100">
        <f t="shared" si="155"/>
        <v>1.7497038732462382E-2</v>
      </c>
      <c r="CL151" s="101">
        <f t="shared" si="132"/>
        <v>8.9668673613238611E-4</v>
      </c>
      <c r="CM151" s="100">
        <f t="shared" si="133"/>
        <v>4.6886266085969935E-3</v>
      </c>
      <c r="CN151" s="100">
        <f t="shared" si="134"/>
        <v>7.9387338412601396E-3</v>
      </c>
      <c r="CO151" s="100">
        <f t="shared" si="135"/>
        <v>2.6245558098693573E-2</v>
      </c>
      <c r="CP151" s="101">
        <f t="shared" si="136"/>
        <v>1.3450301041985791E-3</v>
      </c>
      <c r="CQ151" s="100">
        <f t="shared" si="137"/>
        <v>7.0329399128954903E-3</v>
      </c>
      <c r="CR151" s="99">
        <f t="shared" si="138"/>
        <v>0.23855925798406249</v>
      </c>
      <c r="CS151" s="31">
        <v>1.5</v>
      </c>
      <c r="CT151" s="31">
        <v>1.5</v>
      </c>
      <c r="CU151" s="43">
        <v>0.1</v>
      </c>
      <c r="CV151" s="44">
        <v>0.39</v>
      </c>
      <c r="CW151" s="43">
        <v>2.1000000000000001E-2</v>
      </c>
      <c r="CX151" s="44">
        <v>0.15</v>
      </c>
    </row>
    <row r="152" spans="1:102" s="27" customFormat="1" x14ac:dyDescent="0.25">
      <c r="A152" s="31">
        <v>138</v>
      </c>
      <c r="B152" s="84" t="s">
        <v>91</v>
      </c>
      <c r="C152" s="19">
        <v>50</v>
      </c>
      <c r="D152" s="31" t="s">
        <v>36</v>
      </c>
      <c r="E152" s="31" t="s">
        <v>4</v>
      </c>
      <c r="F152" s="31" t="s">
        <v>70</v>
      </c>
      <c r="G152" s="31" t="str">
        <f t="shared" si="139"/>
        <v>Kommunal 50 C 4L Ck</v>
      </c>
      <c r="H152" s="48">
        <f t="shared" si="105"/>
        <v>6.809175820758967E-2</v>
      </c>
      <c r="I152" s="40">
        <f t="shared" si="106"/>
        <v>7.6415651880616359E-2</v>
      </c>
      <c r="J152" s="99">
        <f t="shared" si="107"/>
        <v>7.2863464297385117E-4</v>
      </c>
      <c r="K152" s="48">
        <f t="shared" si="108"/>
        <v>1.3943301339304808E-2</v>
      </c>
      <c r="L152" s="48">
        <f t="shared" si="109"/>
        <v>6.17437158983377E-2</v>
      </c>
      <c r="M152" s="48">
        <f t="shared" si="140"/>
        <v>0.17489774038106221</v>
      </c>
      <c r="N152" s="99">
        <f t="shared" si="110"/>
        <v>2.375737503174487E-3</v>
      </c>
      <c r="O152" s="48">
        <f t="shared" si="111"/>
        <v>1.3210204220203099E-2</v>
      </c>
      <c r="P152" s="48">
        <f t="shared" si="112"/>
        <v>2.0914952008957211E-2</v>
      </c>
      <c r="Q152" s="48">
        <f t="shared" si="113"/>
        <v>9.2615573847506544E-2</v>
      </c>
      <c r="R152" s="40">
        <f t="shared" si="141"/>
        <v>1.2242841826674353</v>
      </c>
      <c r="S152" s="99">
        <f t="shared" si="114"/>
        <v>3.5636062547617308E-3</v>
      </c>
      <c r="T152" s="48">
        <f t="shared" si="115"/>
        <v>1.9815306330304649E-2</v>
      </c>
      <c r="U152" s="44">
        <v>0.77310287999999983</v>
      </c>
      <c r="V152" s="19">
        <v>1.45</v>
      </c>
      <c r="W152" s="46">
        <v>0.6</v>
      </c>
      <c r="X152" s="44">
        <v>1.20299091144318</v>
      </c>
      <c r="Y152" s="46">
        <v>0.81689374316930785</v>
      </c>
      <c r="Z152" s="46">
        <v>15.527974136477221</v>
      </c>
      <c r="AA152" s="46">
        <v>83.655132120353471</v>
      </c>
      <c r="AB152" s="46">
        <v>3.5454545454545459</v>
      </c>
      <c r="AC152" s="125">
        <v>1</v>
      </c>
      <c r="AD152" s="94">
        <f t="shared" si="142"/>
        <v>4.1006238229324185E-2</v>
      </c>
      <c r="AE152" s="94">
        <f t="shared" si="143"/>
        <v>4.9330131902350874E-2</v>
      </c>
      <c r="AF152" s="96">
        <f t="shared" si="116"/>
        <v>4.0297476100747097E-4</v>
      </c>
      <c r="AG152" s="95">
        <f t="shared" si="104"/>
        <v>7.6599701232871421E-3</v>
      </c>
      <c r="AH152" s="94">
        <f t="shared" si="144"/>
        <v>4.1267187018056262E-2</v>
      </c>
      <c r="AI152" s="94">
        <f t="shared" si="145"/>
        <v>0.17489774038106221</v>
      </c>
      <c r="AJ152" s="96">
        <f t="shared" si="117"/>
        <v>1.2866672450783997E-3</v>
      </c>
      <c r="AK152" s="95">
        <f t="shared" si="118"/>
        <v>7.509525946867714E-3</v>
      </c>
      <c r="AL152" s="95">
        <f t="shared" si="119"/>
        <v>1.1489955184930713E-2</v>
      </c>
      <c r="AM152" s="94">
        <f t="shared" si="120"/>
        <v>6.1900780527084392E-2</v>
      </c>
      <c r="AN152" s="93">
        <f t="shared" si="121"/>
        <v>1.2242841826674353</v>
      </c>
      <c r="AO152" s="96">
        <f t="shared" si="122"/>
        <v>1.9300008676175996E-3</v>
      </c>
      <c r="AP152" s="95">
        <f t="shared" si="123"/>
        <v>1.1264288920301572E-2</v>
      </c>
      <c r="AQ152" s="93">
        <f t="shared" si="124"/>
        <v>0.16344867879646527</v>
      </c>
      <c r="AR152" s="31">
        <v>1.5</v>
      </c>
      <c r="AS152" s="31">
        <v>1.5</v>
      </c>
      <c r="AT152" s="31">
        <v>7</v>
      </c>
      <c r="AU152" s="43">
        <v>7.0999999999999994E-2</v>
      </c>
      <c r="AV152" s="44">
        <v>0.28000000000000003</v>
      </c>
      <c r="AW152" s="43">
        <v>1.7999999999999999E-2</v>
      </c>
      <c r="AX152" s="44">
        <v>0.13</v>
      </c>
      <c r="AY152" s="44">
        <v>7.0817582490074757</v>
      </c>
      <c r="AZ152" s="46">
        <v>0.5</v>
      </c>
      <c r="BA152" s="44">
        <v>0.72</v>
      </c>
      <c r="BB152" s="47">
        <v>1</v>
      </c>
      <c r="BC152" s="46">
        <v>3.3197225366043672</v>
      </c>
      <c r="BD152" s="47">
        <v>24.127673726603241</v>
      </c>
      <c r="BE152" s="47">
        <v>72.552603736792392</v>
      </c>
      <c r="BF152" s="125">
        <v>1</v>
      </c>
      <c r="BG152" s="48">
        <f t="shared" si="146"/>
        <v>4.1066619175076109E-3</v>
      </c>
      <c r="BH152" s="48">
        <f t="shared" si="147"/>
        <v>4.1066619175076109E-3</v>
      </c>
      <c r="BI152" s="99">
        <f t="shared" si="148"/>
        <v>1.3632978117764921E-4</v>
      </c>
      <c r="BJ152" s="99">
        <f t="shared" si="149"/>
        <v>9.9084198851090476E-4</v>
      </c>
      <c r="BK152" s="48">
        <f t="shared" si="150"/>
        <v>2.9794901478190573E-3</v>
      </c>
      <c r="BL152" s="99">
        <f t="shared" si="125"/>
        <v>1.9238352196370142E-4</v>
      </c>
      <c r="BM152" s="48">
        <f t="shared" si="126"/>
        <v>1.0120516647383914E-3</v>
      </c>
      <c r="BN152" s="48">
        <f t="shared" si="127"/>
        <v>1.4862629827663571E-3</v>
      </c>
      <c r="BO152" s="48">
        <f t="shared" si="128"/>
        <v>4.4692352217285862E-3</v>
      </c>
      <c r="BP152" s="99">
        <f t="shared" si="129"/>
        <v>2.8857528294555214E-4</v>
      </c>
      <c r="BQ152" s="48">
        <f t="shared" si="130"/>
        <v>1.5180774971075874E-3</v>
      </c>
      <c r="BR152" s="40">
        <f t="shared" si="131"/>
        <v>0.27447396263207607</v>
      </c>
      <c r="BS152" s="31">
        <v>1.5</v>
      </c>
      <c r="BT152" s="31">
        <v>1.5</v>
      </c>
      <c r="BU152" s="43">
        <v>0.125</v>
      </c>
      <c r="BV152" s="44">
        <v>0.42</v>
      </c>
      <c r="BW152" s="43">
        <v>2.3E-2</v>
      </c>
      <c r="BX152" s="44">
        <v>0.2</v>
      </c>
      <c r="BY152" s="44">
        <v>17.493153787299189</v>
      </c>
      <c r="BZ152" s="44">
        <v>0.52</v>
      </c>
      <c r="CA152" s="44">
        <v>0.65</v>
      </c>
      <c r="CB152" s="47">
        <v>1</v>
      </c>
      <c r="CC152" s="46">
        <v>0.82393172144641669</v>
      </c>
      <c r="CD152" s="46">
        <v>23.031994076959833</v>
      </c>
      <c r="CE152" s="46">
        <v>76.144074201593753</v>
      </c>
      <c r="CF152" s="125">
        <v>1</v>
      </c>
      <c r="CG152" s="40">
        <f t="shared" si="151"/>
        <v>2.2978858060757872E-2</v>
      </c>
      <c r="CH152" s="40">
        <f t="shared" si="152"/>
        <v>2.2978858060757872E-2</v>
      </c>
      <c r="CI152" s="99">
        <f t="shared" si="153"/>
        <v>1.8933010078873102E-4</v>
      </c>
      <c r="CJ152" s="100">
        <f t="shared" si="154"/>
        <v>5.29248922750676E-3</v>
      </c>
      <c r="CK152" s="100">
        <f t="shared" si="155"/>
        <v>1.7497038732462382E-2</v>
      </c>
      <c r="CL152" s="101">
        <f t="shared" si="132"/>
        <v>8.9668673613238611E-4</v>
      </c>
      <c r="CM152" s="100">
        <f t="shared" si="133"/>
        <v>4.6886266085969935E-3</v>
      </c>
      <c r="CN152" s="100">
        <f t="shared" si="134"/>
        <v>7.9387338412601396E-3</v>
      </c>
      <c r="CO152" s="100">
        <f t="shared" si="135"/>
        <v>2.6245558098693573E-2</v>
      </c>
      <c r="CP152" s="101">
        <f t="shared" si="136"/>
        <v>1.3450301041985791E-3</v>
      </c>
      <c r="CQ152" s="100">
        <f t="shared" si="137"/>
        <v>7.0329399128954903E-3</v>
      </c>
      <c r="CR152" s="99">
        <f t="shared" si="138"/>
        <v>0.23855925798406249</v>
      </c>
      <c r="CS152" s="31">
        <v>1.5</v>
      </c>
      <c r="CT152" s="31">
        <v>1.5</v>
      </c>
      <c r="CU152" s="43">
        <v>0.1</v>
      </c>
      <c r="CV152" s="44">
        <v>0.39</v>
      </c>
      <c r="CW152" s="43">
        <v>2.1000000000000001E-2</v>
      </c>
      <c r="CX152" s="44">
        <v>0.15</v>
      </c>
    </row>
    <row r="153" spans="1:102" s="27" customFormat="1" x14ac:dyDescent="0.25">
      <c r="A153" s="31">
        <v>139</v>
      </c>
      <c r="B153" s="84" t="s">
        <v>91</v>
      </c>
      <c r="C153" s="19">
        <v>50</v>
      </c>
      <c r="D153" s="31" t="s">
        <v>36</v>
      </c>
      <c r="E153" s="31" t="s">
        <v>4</v>
      </c>
      <c r="F153" s="31" t="s">
        <v>71</v>
      </c>
      <c r="G153" s="31" t="str">
        <f t="shared" si="139"/>
        <v>Kommunal 50 C 4L Cm</v>
      </c>
      <c r="H153" s="48">
        <f t="shared" si="105"/>
        <v>6.809175820758967E-2</v>
      </c>
      <c r="I153" s="40">
        <f t="shared" si="106"/>
        <v>7.6415651880616359E-2</v>
      </c>
      <c r="J153" s="99">
        <f t="shared" si="107"/>
        <v>7.2863464297385117E-4</v>
      </c>
      <c r="K153" s="48">
        <f t="shared" si="108"/>
        <v>1.3943301339304808E-2</v>
      </c>
      <c r="L153" s="48">
        <f t="shared" si="109"/>
        <v>6.17437158983377E-2</v>
      </c>
      <c r="M153" s="48">
        <f t="shared" si="140"/>
        <v>0.17489774038106221</v>
      </c>
      <c r="N153" s="99">
        <f t="shared" si="110"/>
        <v>2.375737503174487E-3</v>
      </c>
      <c r="O153" s="48">
        <f t="shared" si="111"/>
        <v>1.3210204220203099E-2</v>
      </c>
      <c r="P153" s="48">
        <f t="shared" si="112"/>
        <v>2.0914952008957211E-2</v>
      </c>
      <c r="Q153" s="48">
        <f t="shared" si="113"/>
        <v>9.2615573847506544E-2</v>
      </c>
      <c r="R153" s="40">
        <f t="shared" si="141"/>
        <v>1.2242841826674353</v>
      </c>
      <c r="S153" s="99">
        <f t="shared" si="114"/>
        <v>3.5636062547617308E-3</v>
      </c>
      <c r="T153" s="48">
        <f t="shared" si="115"/>
        <v>1.9815306330304649E-2</v>
      </c>
      <c r="U153" s="44">
        <v>0.77310287999999983</v>
      </c>
      <c r="V153" s="19">
        <v>1.45</v>
      </c>
      <c r="W153" s="46">
        <v>0.6</v>
      </c>
      <c r="X153" s="44">
        <v>1.20299091144318</v>
      </c>
      <c r="Y153" s="46">
        <v>0.81689374316930785</v>
      </c>
      <c r="Z153" s="46">
        <v>15.527974136477221</v>
      </c>
      <c r="AA153" s="46">
        <v>83.655132120353471</v>
      </c>
      <c r="AB153" s="46">
        <v>3.5454545454545459</v>
      </c>
      <c r="AC153" s="125">
        <v>1</v>
      </c>
      <c r="AD153" s="94">
        <f t="shared" si="142"/>
        <v>4.1006238229324185E-2</v>
      </c>
      <c r="AE153" s="94">
        <f t="shared" si="143"/>
        <v>4.9330131902350874E-2</v>
      </c>
      <c r="AF153" s="96">
        <f t="shared" si="116"/>
        <v>4.0297476100747097E-4</v>
      </c>
      <c r="AG153" s="95">
        <f t="shared" si="104"/>
        <v>7.6599701232871421E-3</v>
      </c>
      <c r="AH153" s="94">
        <f t="shared" si="144"/>
        <v>4.1267187018056262E-2</v>
      </c>
      <c r="AI153" s="94">
        <f t="shared" si="145"/>
        <v>0.17489774038106221</v>
      </c>
      <c r="AJ153" s="96">
        <f t="shared" si="117"/>
        <v>1.2866672450783997E-3</v>
      </c>
      <c r="AK153" s="95">
        <f t="shared" si="118"/>
        <v>7.509525946867714E-3</v>
      </c>
      <c r="AL153" s="95">
        <f t="shared" si="119"/>
        <v>1.1489955184930713E-2</v>
      </c>
      <c r="AM153" s="94">
        <f t="shared" si="120"/>
        <v>6.1900780527084392E-2</v>
      </c>
      <c r="AN153" s="93">
        <f t="shared" si="121"/>
        <v>1.2242841826674353</v>
      </c>
      <c r="AO153" s="96">
        <f t="shared" si="122"/>
        <v>1.9300008676175996E-3</v>
      </c>
      <c r="AP153" s="95">
        <f t="shared" si="123"/>
        <v>1.1264288920301572E-2</v>
      </c>
      <c r="AQ153" s="93">
        <f t="shared" si="124"/>
        <v>0.16344867879646527</v>
      </c>
      <c r="AR153" s="31">
        <v>1.5</v>
      </c>
      <c r="AS153" s="31">
        <v>1.5</v>
      </c>
      <c r="AT153" s="31">
        <v>7</v>
      </c>
      <c r="AU153" s="43">
        <v>7.0999999999999994E-2</v>
      </c>
      <c r="AV153" s="44">
        <v>0.28000000000000003</v>
      </c>
      <c r="AW153" s="43">
        <v>1.7999999999999999E-2</v>
      </c>
      <c r="AX153" s="44">
        <v>0.13</v>
      </c>
      <c r="AY153" s="44">
        <v>7.0817582490074757</v>
      </c>
      <c r="AZ153" s="46">
        <v>0.5</v>
      </c>
      <c r="BA153" s="44">
        <v>0.72</v>
      </c>
      <c r="BB153" s="47">
        <v>1</v>
      </c>
      <c r="BC153" s="46">
        <v>3.3197225366043672</v>
      </c>
      <c r="BD153" s="47">
        <v>24.127673726603241</v>
      </c>
      <c r="BE153" s="47">
        <v>72.552603736792392</v>
      </c>
      <c r="BF153" s="125">
        <v>1</v>
      </c>
      <c r="BG153" s="48">
        <f t="shared" si="146"/>
        <v>4.1066619175076109E-3</v>
      </c>
      <c r="BH153" s="48">
        <f t="shared" si="147"/>
        <v>4.1066619175076109E-3</v>
      </c>
      <c r="BI153" s="99">
        <f t="shared" si="148"/>
        <v>1.3632978117764921E-4</v>
      </c>
      <c r="BJ153" s="99">
        <f t="shared" si="149"/>
        <v>9.9084198851090476E-4</v>
      </c>
      <c r="BK153" s="48">
        <f t="shared" si="150"/>
        <v>2.9794901478190573E-3</v>
      </c>
      <c r="BL153" s="99">
        <f t="shared" si="125"/>
        <v>1.9238352196370142E-4</v>
      </c>
      <c r="BM153" s="48">
        <f t="shared" si="126"/>
        <v>1.0120516647383914E-3</v>
      </c>
      <c r="BN153" s="48">
        <f t="shared" si="127"/>
        <v>1.4862629827663571E-3</v>
      </c>
      <c r="BO153" s="48">
        <f t="shared" si="128"/>
        <v>4.4692352217285862E-3</v>
      </c>
      <c r="BP153" s="99">
        <f t="shared" si="129"/>
        <v>2.8857528294555214E-4</v>
      </c>
      <c r="BQ153" s="48">
        <f t="shared" si="130"/>
        <v>1.5180774971075874E-3</v>
      </c>
      <c r="BR153" s="40">
        <f t="shared" si="131"/>
        <v>0.27447396263207607</v>
      </c>
      <c r="BS153" s="31">
        <v>1.5</v>
      </c>
      <c r="BT153" s="31">
        <v>1.5</v>
      </c>
      <c r="BU153" s="43">
        <v>0.125</v>
      </c>
      <c r="BV153" s="44">
        <v>0.42</v>
      </c>
      <c r="BW153" s="43">
        <v>2.3E-2</v>
      </c>
      <c r="BX153" s="44">
        <v>0.2</v>
      </c>
      <c r="BY153" s="44">
        <v>17.493153787299189</v>
      </c>
      <c r="BZ153" s="44">
        <v>0.52</v>
      </c>
      <c r="CA153" s="44">
        <v>0.65</v>
      </c>
      <c r="CB153" s="47">
        <v>1</v>
      </c>
      <c r="CC153" s="46">
        <v>0.82393172144641669</v>
      </c>
      <c r="CD153" s="46">
        <v>23.031994076959833</v>
      </c>
      <c r="CE153" s="46">
        <v>76.144074201593753</v>
      </c>
      <c r="CF153" s="125">
        <v>1</v>
      </c>
      <c r="CG153" s="40">
        <f t="shared" si="151"/>
        <v>2.2978858060757872E-2</v>
      </c>
      <c r="CH153" s="40">
        <f t="shared" si="152"/>
        <v>2.2978858060757872E-2</v>
      </c>
      <c r="CI153" s="99">
        <f t="shared" si="153"/>
        <v>1.8933010078873102E-4</v>
      </c>
      <c r="CJ153" s="100">
        <f t="shared" si="154"/>
        <v>5.29248922750676E-3</v>
      </c>
      <c r="CK153" s="100">
        <f t="shared" si="155"/>
        <v>1.7497038732462382E-2</v>
      </c>
      <c r="CL153" s="101">
        <f t="shared" si="132"/>
        <v>8.9668673613238611E-4</v>
      </c>
      <c r="CM153" s="100">
        <f t="shared" si="133"/>
        <v>4.6886266085969935E-3</v>
      </c>
      <c r="CN153" s="100">
        <f t="shared" si="134"/>
        <v>7.9387338412601396E-3</v>
      </c>
      <c r="CO153" s="100">
        <f t="shared" si="135"/>
        <v>2.6245558098693573E-2</v>
      </c>
      <c r="CP153" s="101">
        <f t="shared" si="136"/>
        <v>1.3450301041985791E-3</v>
      </c>
      <c r="CQ153" s="100">
        <f t="shared" si="137"/>
        <v>7.0329399128954903E-3</v>
      </c>
      <c r="CR153" s="99">
        <f t="shared" si="138"/>
        <v>0.23855925798406249</v>
      </c>
      <c r="CS153" s="31">
        <v>1.5</v>
      </c>
      <c r="CT153" s="31">
        <v>1.5</v>
      </c>
      <c r="CU153" s="43">
        <v>0.1</v>
      </c>
      <c r="CV153" s="44">
        <v>0.39</v>
      </c>
      <c r="CW153" s="43">
        <v>2.1000000000000001E-2</v>
      </c>
      <c r="CX153" s="44">
        <v>0.15</v>
      </c>
    </row>
    <row r="154" spans="1:102" s="27" customFormat="1" x14ac:dyDescent="0.25">
      <c r="A154" s="31">
        <v>140</v>
      </c>
      <c r="B154" s="84" t="s">
        <v>91</v>
      </c>
      <c r="C154" s="19">
        <v>50</v>
      </c>
      <c r="D154" s="31" t="s">
        <v>36</v>
      </c>
      <c r="E154" s="31" t="s">
        <v>4</v>
      </c>
      <c r="F154" s="31" t="s">
        <v>0</v>
      </c>
      <c r="G154" s="31" t="str">
        <f t="shared" si="139"/>
        <v>Kommunal 50 C 4L D</v>
      </c>
      <c r="H154" s="48">
        <f t="shared" si="105"/>
        <v>4.7010811849771128E-2</v>
      </c>
      <c r="I154" s="40">
        <f t="shared" si="106"/>
        <v>7.0807835470942118E-2</v>
      </c>
      <c r="J154" s="99">
        <f t="shared" si="107"/>
        <v>3.256598819663802E-4</v>
      </c>
      <c r="K154" s="48">
        <f t="shared" si="108"/>
        <v>1.1040631493305468E-2</v>
      </c>
      <c r="L154" s="48">
        <f t="shared" si="109"/>
        <v>5.9441544095670269E-2</v>
      </c>
      <c r="M154" s="48">
        <f t="shared" si="140"/>
        <v>0.4420811899815083</v>
      </c>
      <c r="N154" s="99">
        <f t="shared" si="110"/>
        <v>2.1282088516605202E-3</v>
      </c>
      <c r="O154" s="48">
        <f t="shared" si="111"/>
        <v>1.2098174328976518E-2</v>
      </c>
      <c r="P154" s="48">
        <f t="shared" si="112"/>
        <v>1.6560947239958202E-2</v>
      </c>
      <c r="Q154" s="48">
        <f t="shared" si="113"/>
        <v>8.9162316143505393E-2</v>
      </c>
      <c r="R154" s="40">
        <f t="shared" si="141"/>
        <v>3.0945683298705582</v>
      </c>
      <c r="S154" s="99">
        <f t="shared" si="114"/>
        <v>3.1923132774907808E-3</v>
      </c>
      <c r="T154" s="48">
        <f t="shared" si="115"/>
        <v>1.8147261493464777E-2</v>
      </c>
      <c r="U154" s="44">
        <v>0.82328399999999979</v>
      </c>
      <c r="V154" s="44">
        <v>1.2</v>
      </c>
      <c r="W154" s="19">
        <v>0</v>
      </c>
      <c r="X154" s="44">
        <v>2.1943124233578803</v>
      </c>
      <c r="Y154" s="46">
        <v>0</v>
      </c>
      <c r="Z154" s="46">
        <v>10.880714398771122</v>
      </c>
      <c r="AA154" s="46">
        <v>89.119285601228881</v>
      </c>
      <c r="AB154" s="46">
        <v>10.111111111111114</v>
      </c>
      <c r="AC154" s="125">
        <v>1</v>
      </c>
      <c r="AD154" s="94">
        <f t="shared" si="142"/>
        <v>1.9925291871505647E-2</v>
      </c>
      <c r="AE154" s="94">
        <f t="shared" si="143"/>
        <v>4.3722315492676633E-2</v>
      </c>
      <c r="AF154" s="96">
        <f t="shared" si="116"/>
        <v>0</v>
      </c>
      <c r="AG154" s="95">
        <f t="shared" si="104"/>
        <v>4.7573002772878037E-3</v>
      </c>
      <c r="AH154" s="94">
        <f t="shared" si="144"/>
        <v>3.896501521538883E-2</v>
      </c>
      <c r="AI154" s="94">
        <f t="shared" si="145"/>
        <v>0.4420811899815083</v>
      </c>
      <c r="AJ154" s="96">
        <f t="shared" si="117"/>
        <v>1.0391385935644328E-3</v>
      </c>
      <c r="AK154" s="95">
        <f t="shared" si="118"/>
        <v>6.3974960556411331E-3</v>
      </c>
      <c r="AL154" s="95">
        <f t="shared" si="119"/>
        <v>7.135950415931706E-3</v>
      </c>
      <c r="AM154" s="94">
        <f t="shared" si="120"/>
        <v>5.8447522823083242E-2</v>
      </c>
      <c r="AN154" s="93">
        <f t="shared" si="121"/>
        <v>3.0945683298705582</v>
      </c>
      <c r="AO154" s="96">
        <f t="shared" si="122"/>
        <v>1.5587078903466494E-3</v>
      </c>
      <c r="AP154" s="95">
        <f t="shared" si="123"/>
        <v>9.5962440834616997E-3</v>
      </c>
      <c r="AQ154" s="93">
        <f t="shared" si="124"/>
        <v>0.10880714398771123</v>
      </c>
      <c r="AR154" s="31">
        <v>1.5</v>
      </c>
      <c r="AS154" s="31">
        <v>1.5</v>
      </c>
      <c r="AT154" s="31">
        <v>7</v>
      </c>
      <c r="AU154" s="43">
        <v>7.0999999999999994E-2</v>
      </c>
      <c r="AV154" s="44">
        <v>0.28000000000000003</v>
      </c>
      <c r="AW154" s="43">
        <v>1.7999999999999999E-2</v>
      </c>
      <c r="AX154" s="44">
        <v>0.13</v>
      </c>
      <c r="AY154" s="44">
        <v>7.0817582490074757</v>
      </c>
      <c r="AZ154" s="46">
        <v>0.5</v>
      </c>
      <c r="BA154" s="44">
        <v>0.72</v>
      </c>
      <c r="BB154" s="47">
        <v>1</v>
      </c>
      <c r="BC154" s="46">
        <v>3.3197225366043672</v>
      </c>
      <c r="BD154" s="47">
        <v>24.127673726603241</v>
      </c>
      <c r="BE154" s="47">
        <v>72.552603736792392</v>
      </c>
      <c r="BF154" s="125">
        <v>1</v>
      </c>
      <c r="BG154" s="48">
        <f t="shared" si="146"/>
        <v>4.1066619175076109E-3</v>
      </c>
      <c r="BH154" s="48">
        <f t="shared" si="147"/>
        <v>4.1066619175076109E-3</v>
      </c>
      <c r="BI154" s="99">
        <f t="shared" si="148"/>
        <v>1.3632978117764921E-4</v>
      </c>
      <c r="BJ154" s="99">
        <f t="shared" si="149"/>
        <v>9.9084198851090476E-4</v>
      </c>
      <c r="BK154" s="48">
        <f t="shared" si="150"/>
        <v>2.9794901478190573E-3</v>
      </c>
      <c r="BL154" s="99">
        <f t="shared" si="125"/>
        <v>1.9238352196370142E-4</v>
      </c>
      <c r="BM154" s="48">
        <f t="shared" si="126"/>
        <v>1.0120516647383914E-3</v>
      </c>
      <c r="BN154" s="48">
        <f t="shared" si="127"/>
        <v>1.4862629827663571E-3</v>
      </c>
      <c r="BO154" s="48">
        <f t="shared" si="128"/>
        <v>4.4692352217285862E-3</v>
      </c>
      <c r="BP154" s="99">
        <f t="shared" si="129"/>
        <v>2.8857528294555214E-4</v>
      </c>
      <c r="BQ154" s="48">
        <f t="shared" si="130"/>
        <v>1.5180774971075874E-3</v>
      </c>
      <c r="BR154" s="40">
        <f t="shared" si="131"/>
        <v>0.27447396263207607</v>
      </c>
      <c r="BS154" s="31">
        <v>1.5</v>
      </c>
      <c r="BT154" s="31">
        <v>1.5</v>
      </c>
      <c r="BU154" s="43">
        <v>0.125</v>
      </c>
      <c r="BV154" s="44">
        <v>0.42</v>
      </c>
      <c r="BW154" s="43">
        <v>2.3E-2</v>
      </c>
      <c r="BX154" s="44">
        <v>0.2</v>
      </c>
      <c r="BY154" s="44">
        <v>17.493153787299189</v>
      </c>
      <c r="BZ154" s="44">
        <v>0.52</v>
      </c>
      <c r="CA154" s="44">
        <v>0.65</v>
      </c>
      <c r="CB154" s="47">
        <v>1</v>
      </c>
      <c r="CC154" s="46">
        <v>0.82393172144641669</v>
      </c>
      <c r="CD154" s="46">
        <v>23.031994076959833</v>
      </c>
      <c r="CE154" s="46">
        <v>76.144074201593753</v>
      </c>
      <c r="CF154" s="125">
        <v>1</v>
      </c>
      <c r="CG154" s="40">
        <f t="shared" si="151"/>
        <v>2.2978858060757872E-2</v>
      </c>
      <c r="CH154" s="40">
        <f t="shared" si="152"/>
        <v>2.2978858060757872E-2</v>
      </c>
      <c r="CI154" s="99">
        <f t="shared" si="153"/>
        <v>1.8933010078873102E-4</v>
      </c>
      <c r="CJ154" s="100">
        <f t="shared" si="154"/>
        <v>5.29248922750676E-3</v>
      </c>
      <c r="CK154" s="100">
        <f t="shared" si="155"/>
        <v>1.7497038732462382E-2</v>
      </c>
      <c r="CL154" s="101">
        <f t="shared" si="132"/>
        <v>8.9668673613238611E-4</v>
      </c>
      <c r="CM154" s="100">
        <f t="shared" si="133"/>
        <v>4.6886266085969935E-3</v>
      </c>
      <c r="CN154" s="100">
        <f t="shared" si="134"/>
        <v>7.9387338412601396E-3</v>
      </c>
      <c r="CO154" s="100">
        <f t="shared" si="135"/>
        <v>2.6245558098693573E-2</v>
      </c>
      <c r="CP154" s="101">
        <f t="shared" si="136"/>
        <v>1.3450301041985791E-3</v>
      </c>
      <c r="CQ154" s="100">
        <f t="shared" si="137"/>
        <v>7.0329399128954903E-3</v>
      </c>
      <c r="CR154" s="99">
        <f t="shared" si="138"/>
        <v>0.23855925798406249</v>
      </c>
      <c r="CS154" s="31">
        <v>1.5</v>
      </c>
      <c r="CT154" s="31">
        <v>1.5</v>
      </c>
      <c r="CU154" s="43">
        <v>0.1</v>
      </c>
      <c r="CV154" s="44">
        <v>0.39</v>
      </c>
      <c r="CW154" s="43">
        <v>2.1000000000000001E-2</v>
      </c>
      <c r="CX154" s="44">
        <v>0.15</v>
      </c>
    </row>
    <row r="155" spans="1:102" s="27" customFormat="1" x14ac:dyDescent="0.25">
      <c r="A155" s="31">
        <v>141</v>
      </c>
      <c r="B155" s="84" t="s">
        <v>91</v>
      </c>
      <c r="C155" s="19">
        <v>50</v>
      </c>
      <c r="D155" s="31" t="s">
        <v>36</v>
      </c>
      <c r="E155" s="31" t="s">
        <v>4</v>
      </c>
      <c r="F155" s="19" t="s">
        <v>62</v>
      </c>
      <c r="G155" s="31" t="str">
        <f t="shared" si="139"/>
        <v>Kommunal 50 C 4L EE</v>
      </c>
      <c r="H155" s="48">
        <f t="shared" si="105"/>
        <v>9.5119460784741566E-2</v>
      </c>
      <c r="I155" s="40">
        <f t="shared" si="106"/>
        <v>0.113571774829292</v>
      </c>
      <c r="J155" s="99">
        <f t="shared" si="107"/>
        <v>1.0306551790332196E-3</v>
      </c>
      <c r="K155" s="48">
        <f t="shared" si="108"/>
        <v>1.8107695116819821E-2</v>
      </c>
      <c r="L155" s="48">
        <f t="shared" si="109"/>
        <v>9.4433424533438948E-2</v>
      </c>
      <c r="M155" s="48">
        <f t="shared" si="140"/>
        <v>0.42225642074324699</v>
      </c>
      <c r="N155" s="99">
        <f t="shared" si="110"/>
        <v>3.2598242168098757E-3</v>
      </c>
      <c r="O155" s="48">
        <f t="shared" si="111"/>
        <v>1.8625896600470468E-2</v>
      </c>
      <c r="P155" s="48">
        <f t="shared" si="112"/>
        <v>2.716154267522973E-2</v>
      </c>
      <c r="Q155" s="48">
        <f t="shared" si="113"/>
        <v>0.14165013680015842</v>
      </c>
      <c r="R155" s="40">
        <f t="shared" si="141"/>
        <v>2.955794945202729</v>
      </c>
      <c r="S155" s="99">
        <f t="shared" si="114"/>
        <v>4.8897363252148138E-3</v>
      </c>
      <c r="T155" s="48">
        <f t="shared" si="115"/>
        <v>2.7938844900705698E-2</v>
      </c>
      <c r="U155" s="44">
        <v>4.3623360000000027</v>
      </c>
      <c r="V155" s="44">
        <v>1.2</v>
      </c>
      <c r="W155" s="19">
        <v>0.2</v>
      </c>
      <c r="X155" s="44">
        <v>1.2712221844834537</v>
      </c>
      <c r="Y155" s="46">
        <v>0.81515299544557829</v>
      </c>
      <c r="Z155" s="46">
        <v>13.671957377700942</v>
      </c>
      <c r="AA155" s="46">
        <v>85.512889626853479</v>
      </c>
      <c r="AB155" s="46">
        <v>4.8823529411764692</v>
      </c>
      <c r="AC155" s="125">
        <v>1</v>
      </c>
      <c r="AD155" s="94">
        <f t="shared" si="142"/>
        <v>6.8033940806476081E-2</v>
      </c>
      <c r="AE155" s="94">
        <f t="shared" si="143"/>
        <v>8.6486254851026512E-2</v>
      </c>
      <c r="AF155" s="96">
        <f t="shared" si="116"/>
        <v>7.0499529706683937E-4</v>
      </c>
      <c r="AG155" s="95">
        <f t="shared" si="104"/>
        <v>1.1824363900802158E-2</v>
      </c>
      <c r="AH155" s="94">
        <f t="shared" si="144"/>
        <v>7.3956895653157509E-2</v>
      </c>
      <c r="AI155" s="94">
        <f t="shared" si="145"/>
        <v>0.42225642074324699</v>
      </c>
      <c r="AJ155" s="96">
        <f t="shared" si="117"/>
        <v>2.1707539587137881E-3</v>
      </c>
      <c r="AK155" s="95">
        <f t="shared" si="118"/>
        <v>1.2925218327135082E-2</v>
      </c>
      <c r="AL155" s="95">
        <f t="shared" si="119"/>
        <v>1.7736545851203236E-2</v>
      </c>
      <c r="AM155" s="94">
        <f t="shared" si="120"/>
        <v>0.11093534347973627</v>
      </c>
      <c r="AN155" s="93">
        <f t="shared" si="121"/>
        <v>2.955794945202729</v>
      </c>
      <c r="AO155" s="96">
        <f t="shared" si="122"/>
        <v>3.2561309380706822E-3</v>
      </c>
      <c r="AP155" s="95">
        <f t="shared" si="123"/>
        <v>1.9387827490702621E-2</v>
      </c>
      <c r="AQ155" s="93">
        <f t="shared" si="124"/>
        <v>0.1448711037314652</v>
      </c>
      <c r="AR155" s="31">
        <v>1.5</v>
      </c>
      <c r="AS155" s="31">
        <v>1.5</v>
      </c>
      <c r="AT155" s="31">
        <v>7</v>
      </c>
      <c r="AU155" s="43">
        <v>7.0999999999999994E-2</v>
      </c>
      <c r="AV155" s="44">
        <v>0.28000000000000003</v>
      </c>
      <c r="AW155" s="43">
        <v>1.7999999999999999E-2</v>
      </c>
      <c r="AX155" s="44">
        <v>0.13</v>
      </c>
      <c r="AY155" s="44">
        <v>7.0817582490074757</v>
      </c>
      <c r="AZ155" s="46">
        <v>0.5</v>
      </c>
      <c r="BA155" s="44">
        <v>0.72</v>
      </c>
      <c r="BB155" s="47">
        <v>1</v>
      </c>
      <c r="BC155" s="46">
        <v>3.3197225366043672</v>
      </c>
      <c r="BD155" s="47">
        <v>24.127673726603241</v>
      </c>
      <c r="BE155" s="47">
        <v>72.552603736792392</v>
      </c>
      <c r="BF155" s="125">
        <v>1</v>
      </c>
      <c r="BG155" s="48">
        <f t="shared" si="146"/>
        <v>4.1066619175076109E-3</v>
      </c>
      <c r="BH155" s="48">
        <f t="shared" si="147"/>
        <v>4.1066619175076109E-3</v>
      </c>
      <c r="BI155" s="99">
        <f t="shared" si="148"/>
        <v>1.3632978117764921E-4</v>
      </c>
      <c r="BJ155" s="99">
        <f t="shared" si="149"/>
        <v>9.9084198851090476E-4</v>
      </c>
      <c r="BK155" s="48">
        <f t="shared" si="150"/>
        <v>2.9794901478190573E-3</v>
      </c>
      <c r="BL155" s="99">
        <f t="shared" si="125"/>
        <v>1.9238352196370142E-4</v>
      </c>
      <c r="BM155" s="48">
        <f t="shared" si="126"/>
        <v>1.0120516647383914E-3</v>
      </c>
      <c r="BN155" s="48">
        <f t="shared" si="127"/>
        <v>1.4862629827663571E-3</v>
      </c>
      <c r="BO155" s="48">
        <f t="shared" si="128"/>
        <v>4.4692352217285862E-3</v>
      </c>
      <c r="BP155" s="99">
        <f t="shared" si="129"/>
        <v>2.8857528294555214E-4</v>
      </c>
      <c r="BQ155" s="48">
        <f t="shared" si="130"/>
        <v>1.5180774971075874E-3</v>
      </c>
      <c r="BR155" s="40">
        <f t="shared" si="131"/>
        <v>0.27447396263207607</v>
      </c>
      <c r="BS155" s="31">
        <v>1.5</v>
      </c>
      <c r="BT155" s="31">
        <v>1.5</v>
      </c>
      <c r="BU155" s="43">
        <v>0.125</v>
      </c>
      <c r="BV155" s="44">
        <v>0.42</v>
      </c>
      <c r="BW155" s="43">
        <v>2.3E-2</v>
      </c>
      <c r="BX155" s="44">
        <v>0.2</v>
      </c>
      <c r="BY155" s="44">
        <v>17.493153787299189</v>
      </c>
      <c r="BZ155" s="44">
        <v>0.52</v>
      </c>
      <c r="CA155" s="44">
        <v>0.65</v>
      </c>
      <c r="CB155" s="47">
        <v>1</v>
      </c>
      <c r="CC155" s="46">
        <v>0.82393172144641669</v>
      </c>
      <c r="CD155" s="46">
        <v>23.031994076959833</v>
      </c>
      <c r="CE155" s="46">
        <v>76.144074201593753</v>
      </c>
      <c r="CF155" s="125">
        <v>1</v>
      </c>
      <c r="CG155" s="40">
        <f t="shared" si="151"/>
        <v>2.2978858060757872E-2</v>
      </c>
      <c r="CH155" s="40">
        <f t="shared" si="152"/>
        <v>2.2978858060757872E-2</v>
      </c>
      <c r="CI155" s="99">
        <f t="shared" si="153"/>
        <v>1.8933010078873102E-4</v>
      </c>
      <c r="CJ155" s="100">
        <f t="shared" si="154"/>
        <v>5.29248922750676E-3</v>
      </c>
      <c r="CK155" s="100">
        <f t="shared" si="155"/>
        <v>1.7497038732462382E-2</v>
      </c>
      <c r="CL155" s="101">
        <f t="shared" si="132"/>
        <v>8.9668673613238611E-4</v>
      </c>
      <c r="CM155" s="100">
        <f t="shared" si="133"/>
        <v>4.6886266085969935E-3</v>
      </c>
      <c r="CN155" s="100">
        <f t="shared" si="134"/>
        <v>7.9387338412601396E-3</v>
      </c>
      <c r="CO155" s="100">
        <f t="shared" si="135"/>
        <v>2.6245558098693573E-2</v>
      </c>
      <c r="CP155" s="101">
        <f t="shared" si="136"/>
        <v>1.3450301041985791E-3</v>
      </c>
      <c r="CQ155" s="100">
        <f t="shared" si="137"/>
        <v>7.0329399128954903E-3</v>
      </c>
      <c r="CR155" s="99">
        <f t="shared" si="138"/>
        <v>0.23855925798406249</v>
      </c>
      <c r="CS155" s="31">
        <v>1.5</v>
      </c>
      <c r="CT155" s="31">
        <v>1.5</v>
      </c>
      <c r="CU155" s="43">
        <v>0.1</v>
      </c>
      <c r="CV155" s="44">
        <v>0.39</v>
      </c>
      <c r="CW155" s="43">
        <v>2.1000000000000001E-2</v>
      </c>
      <c r="CX155" s="44">
        <v>0.15</v>
      </c>
    </row>
    <row r="156" spans="1:102" s="27" customFormat="1" x14ac:dyDescent="0.25">
      <c r="A156" s="31">
        <v>142</v>
      </c>
      <c r="B156" s="84" t="s">
        <v>91</v>
      </c>
      <c r="C156" s="19">
        <v>50</v>
      </c>
      <c r="D156" s="31" t="s">
        <v>36</v>
      </c>
      <c r="E156" s="31" t="s">
        <v>4</v>
      </c>
      <c r="F156" s="19" t="s">
        <v>63</v>
      </c>
      <c r="G156" s="31" t="str">
        <f t="shared" si="139"/>
        <v>Kommunal 50 C 4L ES</v>
      </c>
      <c r="H156" s="48">
        <f t="shared" si="105"/>
        <v>7.475127480255582E-2</v>
      </c>
      <c r="I156" s="40">
        <f t="shared" si="106"/>
        <v>8.7995886095838638E-2</v>
      </c>
      <c r="J156" s="99">
        <f t="shared" si="107"/>
        <v>3.256598819663802E-4</v>
      </c>
      <c r="K156" s="48">
        <f t="shared" si="108"/>
        <v>1.2910814192516652E-2</v>
      </c>
      <c r="L156" s="48">
        <f t="shared" si="109"/>
        <v>7.4759412021355595E-2</v>
      </c>
      <c r="M156" s="48">
        <f t="shared" si="140"/>
        <v>0.29738590516226882</v>
      </c>
      <c r="N156" s="99">
        <f t="shared" si="110"/>
        <v>2.5367134459668506E-3</v>
      </c>
      <c r="O156" s="48">
        <f t="shared" si="111"/>
        <v>1.4613148315094743E-2</v>
      </c>
      <c r="P156" s="48">
        <f t="shared" si="112"/>
        <v>1.9366221288774979E-2</v>
      </c>
      <c r="Q156" s="48">
        <f t="shared" si="113"/>
        <v>0.11213911803203339</v>
      </c>
      <c r="R156" s="40">
        <f t="shared" si="141"/>
        <v>2.0817013361358816</v>
      </c>
      <c r="S156" s="99">
        <f t="shared" si="114"/>
        <v>3.8050701689502755E-3</v>
      </c>
      <c r="T156" s="48">
        <f t="shared" si="115"/>
        <v>2.1919722472642112E-2</v>
      </c>
      <c r="U156" s="44">
        <v>3.0563280000000019</v>
      </c>
      <c r="V156" s="44">
        <v>1.2</v>
      </c>
      <c r="W156" s="19">
        <v>0.2</v>
      </c>
      <c r="X156" s="44">
        <v>1.2778642936025297</v>
      </c>
      <c r="Y156" s="46">
        <v>0</v>
      </c>
      <c r="Z156" s="46">
        <v>10.88071439877112</v>
      </c>
      <c r="AA156" s="46">
        <v>89.119285601228867</v>
      </c>
      <c r="AB156" s="46">
        <v>4.8823529411764692</v>
      </c>
      <c r="AC156" s="125">
        <v>1</v>
      </c>
      <c r="AD156" s="94">
        <f t="shared" si="142"/>
        <v>4.7665754824290342E-2</v>
      </c>
      <c r="AE156" s="94">
        <f t="shared" si="143"/>
        <v>6.0910366117573153E-2</v>
      </c>
      <c r="AF156" s="96">
        <f t="shared" si="116"/>
        <v>0</v>
      </c>
      <c r="AG156" s="95">
        <f t="shared" si="104"/>
        <v>6.6274829764989881E-3</v>
      </c>
      <c r="AH156" s="94">
        <f t="shared" si="144"/>
        <v>5.4282883141074156E-2</v>
      </c>
      <c r="AI156" s="94">
        <f t="shared" si="145"/>
        <v>0.29738590516226882</v>
      </c>
      <c r="AJ156" s="96">
        <f t="shared" si="117"/>
        <v>1.447643187870763E-3</v>
      </c>
      <c r="AK156" s="95">
        <f t="shared" si="118"/>
        <v>8.9124700417593586E-3</v>
      </c>
      <c r="AL156" s="95">
        <f t="shared" si="119"/>
        <v>9.9412244647484813E-3</v>
      </c>
      <c r="AM156" s="94">
        <f t="shared" si="120"/>
        <v>8.1424324711611235E-2</v>
      </c>
      <c r="AN156" s="93">
        <f t="shared" si="121"/>
        <v>2.0817013361358816</v>
      </c>
      <c r="AO156" s="96">
        <f t="shared" si="122"/>
        <v>2.1714647818061442E-3</v>
      </c>
      <c r="AP156" s="95">
        <f t="shared" si="123"/>
        <v>1.3368705062639034E-2</v>
      </c>
      <c r="AQ156" s="93">
        <f t="shared" si="124"/>
        <v>0.1088071439877112</v>
      </c>
      <c r="AR156" s="31">
        <v>1.5</v>
      </c>
      <c r="AS156" s="31">
        <v>1.5</v>
      </c>
      <c r="AT156" s="31">
        <v>7</v>
      </c>
      <c r="AU156" s="43">
        <v>7.0999999999999994E-2</v>
      </c>
      <c r="AV156" s="44">
        <v>0.28000000000000003</v>
      </c>
      <c r="AW156" s="43">
        <v>1.7999999999999999E-2</v>
      </c>
      <c r="AX156" s="44">
        <v>0.13</v>
      </c>
      <c r="AY156" s="44">
        <v>7.0817582490074757</v>
      </c>
      <c r="AZ156" s="46">
        <v>0.5</v>
      </c>
      <c r="BA156" s="44">
        <v>0.72</v>
      </c>
      <c r="BB156" s="47">
        <v>1</v>
      </c>
      <c r="BC156" s="46">
        <v>3.3197225366043672</v>
      </c>
      <c r="BD156" s="47">
        <v>24.127673726603241</v>
      </c>
      <c r="BE156" s="47">
        <v>72.552603736792392</v>
      </c>
      <c r="BF156" s="125">
        <v>1</v>
      </c>
      <c r="BG156" s="48">
        <f t="shared" si="146"/>
        <v>4.1066619175076109E-3</v>
      </c>
      <c r="BH156" s="48">
        <f t="shared" si="147"/>
        <v>4.1066619175076109E-3</v>
      </c>
      <c r="BI156" s="99">
        <f t="shared" si="148"/>
        <v>1.3632978117764921E-4</v>
      </c>
      <c r="BJ156" s="99">
        <f t="shared" si="149"/>
        <v>9.9084198851090476E-4</v>
      </c>
      <c r="BK156" s="48">
        <f t="shared" si="150"/>
        <v>2.9794901478190573E-3</v>
      </c>
      <c r="BL156" s="99">
        <f t="shared" si="125"/>
        <v>1.9238352196370142E-4</v>
      </c>
      <c r="BM156" s="48">
        <f t="shared" si="126"/>
        <v>1.0120516647383914E-3</v>
      </c>
      <c r="BN156" s="48">
        <f t="shared" si="127"/>
        <v>1.4862629827663571E-3</v>
      </c>
      <c r="BO156" s="48">
        <f t="shared" si="128"/>
        <v>4.4692352217285862E-3</v>
      </c>
      <c r="BP156" s="99">
        <f t="shared" si="129"/>
        <v>2.8857528294555214E-4</v>
      </c>
      <c r="BQ156" s="48">
        <f t="shared" si="130"/>
        <v>1.5180774971075874E-3</v>
      </c>
      <c r="BR156" s="40">
        <f t="shared" si="131"/>
        <v>0.27447396263207607</v>
      </c>
      <c r="BS156" s="31">
        <v>1.5</v>
      </c>
      <c r="BT156" s="31">
        <v>1.5</v>
      </c>
      <c r="BU156" s="43">
        <v>0.125</v>
      </c>
      <c r="BV156" s="44">
        <v>0.42</v>
      </c>
      <c r="BW156" s="43">
        <v>2.3E-2</v>
      </c>
      <c r="BX156" s="44">
        <v>0.2</v>
      </c>
      <c r="BY156" s="44">
        <v>17.493153787299189</v>
      </c>
      <c r="BZ156" s="44">
        <v>0.52</v>
      </c>
      <c r="CA156" s="44">
        <v>0.65</v>
      </c>
      <c r="CB156" s="47">
        <v>1</v>
      </c>
      <c r="CC156" s="46">
        <v>0.82393172144641669</v>
      </c>
      <c r="CD156" s="46">
        <v>23.031994076959833</v>
      </c>
      <c r="CE156" s="46">
        <v>76.144074201593753</v>
      </c>
      <c r="CF156" s="125">
        <v>1</v>
      </c>
      <c r="CG156" s="40">
        <f t="shared" si="151"/>
        <v>2.2978858060757872E-2</v>
      </c>
      <c r="CH156" s="40">
        <f t="shared" si="152"/>
        <v>2.2978858060757872E-2</v>
      </c>
      <c r="CI156" s="99">
        <f t="shared" si="153"/>
        <v>1.8933010078873102E-4</v>
      </c>
      <c r="CJ156" s="100">
        <f t="shared" si="154"/>
        <v>5.29248922750676E-3</v>
      </c>
      <c r="CK156" s="100">
        <f t="shared" si="155"/>
        <v>1.7497038732462382E-2</v>
      </c>
      <c r="CL156" s="101">
        <f t="shared" si="132"/>
        <v>8.9668673613238611E-4</v>
      </c>
      <c r="CM156" s="100">
        <f t="shared" si="133"/>
        <v>4.6886266085969935E-3</v>
      </c>
      <c r="CN156" s="100">
        <f t="shared" si="134"/>
        <v>7.9387338412601396E-3</v>
      </c>
      <c r="CO156" s="100">
        <f t="shared" si="135"/>
        <v>2.6245558098693573E-2</v>
      </c>
      <c r="CP156" s="101">
        <f t="shared" si="136"/>
        <v>1.3450301041985791E-3</v>
      </c>
      <c r="CQ156" s="100">
        <f t="shared" si="137"/>
        <v>7.0329399128954903E-3</v>
      </c>
      <c r="CR156" s="99">
        <f t="shared" si="138"/>
        <v>0.23855925798406249</v>
      </c>
      <c r="CS156" s="31">
        <v>1.5</v>
      </c>
      <c r="CT156" s="31">
        <v>1.5</v>
      </c>
      <c r="CU156" s="43">
        <v>0.1</v>
      </c>
      <c r="CV156" s="44">
        <v>0.39</v>
      </c>
      <c r="CW156" s="43">
        <v>2.1000000000000001E-2</v>
      </c>
      <c r="CX156" s="44">
        <v>0.15</v>
      </c>
    </row>
    <row r="157" spans="1:102" s="27" customFormat="1" x14ac:dyDescent="0.25">
      <c r="A157" s="31">
        <v>143</v>
      </c>
      <c r="B157" s="84" t="s">
        <v>91</v>
      </c>
      <c r="C157" s="19">
        <v>50</v>
      </c>
      <c r="D157" s="31" t="s">
        <v>36</v>
      </c>
      <c r="E157" s="31" t="s">
        <v>5</v>
      </c>
      <c r="F157" s="19" t="s">
        <v>12</v>
      </c>
      <c r="G157" s="31" t="str">
        <f t="shared" si="139"/>
        <v>Kommunal 50 M 4L A</v>
      </c>
      <c r="H157" s="48">
        <f t="shared" si="105"/>
        <v>7.8861073298119269E-2</v>
      </c>
      <c r="I157" s="40">
        <f t="shared" si="106"/>
        <v>9.2047010549262537E-2</v>
      </c>
      <c r="J157" s="99">
        <f t="shared" si="107"/>
        <v>8.5632623391037493E-4</v>
      </c>
      <c r="K157" s="48">
        <f t="shared" si="108"/>
        <v>1.6370534670552175E-2</v>
      </c>
      <c r="L157" s="48">
        <f t="shared" si="109"/>
        <v>7.4820149644799994E-2</v>
      </c>
      <c r="M157" s="48">
        <f t="shared" si="140"/>
        <v>0.19488447171299117</v>
      </c>
      <c r="N157" s="99">
        <f t="shared" si="110"/>
        <v>2.7834468771293719E-3</v>
      </c>
      <c r="O157" s="48">
        <f t="shared" si="111"/>
        <v>1.5589765939992459E-2</v>
      </c>
      <c r="P157" s="48">
        <f t="shared" si="112"/>
        <v>2.4555802005828263E-2</v>
      </c>
      <c r="Q157" s="48">
        <f t="shared" si="113"/>
        <v>0.11223022446719999</v>
      </c>
      <c r="R157" s="40">
        <f t="shared" si="141"/>
        <v>1.3641913019909382</v>
      </c>
      <c r="S157" s="99">
        <f t="shared" si="114"/>
        <v>4.1751703156940566E-3</v>
      </c>
      <c r="T157" s="48">
        <f t="shared" si="115"/>
        <v>2.3384648909988693E-2</v>
      </c>
      <c r="U157" s="44">
        <v>0.97614000000000034</v>
      </c>
      <c r="V157" s="19">
        <v>1.45</v>
      </c>
      <c r="W157" s="46">
        <v>0.6</v>
      </c>
      <c r="X157" s="44">
        <v>1.2546749654162941</v>
      </c>
      <c r="Y157" s="46">
        <v>0.81689374316930796</v>
      </c>
      <c r="Z157" s="46">
        <v>15.527974136477221</v>
      </c>
      <c r="AA157" s="46">
        <v>83.655132120353485</v>
      </c>
      <c r="AB157" s="46">
        <v>3</v>
      </c>
      <c r="AC157" s="125">
        <v>1</v>
      </c>
      <c r="AD157" s="94">
        <f t="shared" si="142"/>
        <v>5.1775553319853791E-2</v>
      </c>
      <c r="AE157" s="94">
        <f t="shared" si="143"/>
        <v>6.4961490570997052E-2</v>
      </c>
      <c r="AF157" s="96">
        <f t="shared" si="116"/>
        <v>5.3066635194399484E-4</v>
      </c>
      <c r="AG157" s="95">
        <f t="shared" si="104"/>
        <v>1.008720345453451E-2</v>
      </c>
      <c r="AH157" s="94">
        <f t="shared" si="144"/>
        <v>5.4343620764518555E-2</v>
      </c>
      <c r="AI157" s="94">
        <f t="shared" si="145"/>
        <v>0.19488447171299117</v>
      </c>
      <c r="AJ157" s="96">
        <f t="shared" si="117"/>
        <v>1.6943766190332843E-3</v>
      </c>
      <c r="AK157" s="95">
        <f t="shared" si="118"/>
        <v>9.8890876666570746E-3</v>
      </c>
      <c r="AL157" s="95">
        <f t="shared" si="119"/>
        <v>1.5130805181801765E-2</v>
      </c>
      <c r="AM157" s="94">
        <f t="shared" si="120"/>
        <v>8.1515431146777839E-2</v>
      </c>
      <c r="AN157" s="93">
        <f t="shared" si="121"/>
        <v>1.3641913019909382</v>
      </c>
      <c r="AO157" s="96">
        <f t="shared" si="122"/>
        <v>2.5415649285499258E-3</v>
      </c>
      <c r="AP157" s="95">
        <f t="shared" si="123"/>
        <v>1.4833631499985615E-2</v>
      </c>
      <c r="AQ157" s="93">
        <f t="shared" si="124"/>
        <v>0.1634486787964653</v>
      </c>
      <c r="AR157" s="31">
        <v>1.5</v>
      </c>
      <c r="AS157" s="31">
        <v>1.5</v>
      </c>
      <c r="AT157" s="31">
        <v>7</v>
      </c>
      <c r="AU157" s="43">
        <v>7.0999999999999994E-2</v>
      </c>
      <c r="AV157" s="44">
        <v>0.28000000000000003</v>
      </c>
      <c r="AW157" s="43">
        <v>1.7999999999999999E-2</v>
      </c>
      <c r="AX157" s="44">
        <v>0.13</v>
      </c>
      <c r="AY157" s="44">
        <v>7.081758249007474</v>
      </c>
      <c r="AZ157" s="46">
        <v>0.5</v>
      </c>
      <c r="BA157" s="44">
        <v>0.72</v>
      </c>
      <c r="BB157" s="47">
        <v>1</v>
      </c>
      <c r="BC157" s="46">
        <v>3.3197225366043677</v>
      </c>
      <c r="BD157" s="47">
        <v>24.127673726603245</v>
      </c>
      <c r="BE157" s="47">
        <v>72.552603736792392</v>
      </c>
      <c r="BF157" s="125">
        <v>1</v>
      </c>
      <c r="BG157" s="48">
        <f t="shared" si="146"/>
        <v>4.10666191750761E-3</v>
      </c>
      <c r="BH157" s="48">
        <f t="shared" si="147"/>
        <v>4.10666191750761E-3</v>
      </c>
      <c r="BI157" s="99">
        <f t="shared" si="148"/>
        <v>1.3632978117764921E-4</v>
      </c>
      <c r="BJ157" s="99">
        <f t="shared" si="149"/>
        <v>9.9084198851090454E-4</v>
      </c>
      <c r="BK157" s="48">
        <f t="shared" si="150"/>
        <v>2.979490147819056E-3</v>
      </c>
      <c r="BL157" s="99">
        <f t="shared" si="125"/>
        <v>1.9238352196370134E-4</v>
      </c>
      <c r="BM157" s="48">
        <f t="shared" si="126"/>
        <v>1.012051664738391E-3</v>
      </c>
      <c r="BN157" s="48">
        <f t="shared" si="127"/>
        <v>1.4862629827663569E-3</v>
      </c>
      <c r="BO157" s="48">
        <f t="shared" si="128"/>
        <v>4.4692352217285836E-3</v>
      </c>
      <c r="BP157" s="99">
        <f t="shared" si="129"/>
        <v>2.8857528294555203E-4</v>
      </c>
      <c r="BQ157" s="48">
        <f t="shared" si="130"/>
        <v>1.5180774971075867E-3</v>
      </c>
      <c r="BR157" s="40">
        <f t="shared" si="131"/>
        <v>0.27447396263207607</v>
      </c>
      <c r="BS157" s="31">
        <v>1.5</v>
      </c>
      <c r="BT157" s="31">
        <v>1.5</v>
      </c>
      <c r="BU157" s="43">
        <v>0.125</v>
      </c>
      <c r="BV157" s="44">
        <v>0.42</v>
      </c>
      <c r="BW157" s="43">
        <v>2.3E-2</v>
      </c>
      <c r="BX157" s="44">
        <v>0.2</v>
      </c>
      <c r="BY157" s="44">
        <v>17.493153787299189</v>
      </c>
      <c r="BZ157" s="44">
        <v>0.52</v>
      </c>
      <c r="CA157" s="44">
        <v>0.65</v>
      </c>
      <c r="CB157" s="47">
        <v>1</v>
      </c>
      <c r="CC157" s="46">
        <v>0.82393172144641647</v>
      </c>
      <c r="CD157" s="46">
        <v>23.031994076959833</v>
      </c>
      <c r="CE157" s="46">
        <v>76.144074201593753</v>
      </c>
      <c r="CF157" s="125">
        <v>1</v>
      </c>
      <c r="CG157" s="40">
        <f t="shared" si="151"/>
        <v>2.2978858060757872E-2</v>
      </c>
      <c r="CH157" s="40">
        <f t="shared" si="152"/>
        <v>2.2978858060757872E-2</v>
      </c>
      <c r="CI157" s="99">
        <f t="shared" si="153"/>
        <v>1.8933010078873096E-4</v>
      </c>
      <c r="CJ157" s="100">
        <f t="shared" si="154"/>
        <v>5.29248922750676E-3</v>
      </c>
      <c r="CK157" s="100">
        <f t="shared" si="155"/>
        <v>1.7497038732462382E-2</v>
      </c>
      <c r="CL157" s="101">
        <f t="shared" si="132"/>
        <v>8.9668673613238611E-4</v>
      </c>
      <c r="CM157" s="100">
        <f t="shared" si="133"/>
        <v>4.6886266085969935E-3</v>
      </c>
      <c r="CN157" s="100">
        <f t="shared" si="134"/>
        <v>7.9387338412601396E-3</v>
      </c>
      <c r="CO157" s="100">
        <f t="shared" si="135"/>
        <v>2.6245558098693573E-2</v>
      </c>
      <c r="CP157" s="101">
        <f t="shared" si="136"/>
        <v>1.3450301041985791E-3</v>
      </c>
      <c r="CQ157" s="100">
        <f t="shared" si="137"/>
        <v>7.0329399128954903E-3</v>
      </c>
      <c r="CR157" s="99">
        <f t="shared" si="138"/>
        <v>0.23855925798406249</v>
      </c>
      <c r="CS157" s="31">
        <v>1.5</v>
      </c>
      <c r="CT157" s="31">
        <v>1.5</v>
      </c>
      <c r="CU157" s="43">
        <v>0.1</v>
      </c>
      <c r="CV157" s="44">
        <v>0.39</v>
      </c>
      <c r="CW157" s="43">
        <v>2.1000000000000001E-2</v>
      </c>
      <c r="CX157" s="44">
        <v>0.15</v>
      </c>
    </row>
    <row r="158" spans="1:102" s="27" customFormat="1" x14ac:dyDescent="0.25">
      <c r="A158" s="31">
        <v>144</v>
      </c>
      <c r="B158" s="84" t="s">
        <v>91</v>
      </c>
      <c r="C158" s="19">
        <v>50</v>
      </c>
      <c r="D158" s="31" t="s">
        <v>36</v>
      </c>
      <c r="E158" s="31" t="s">
        <v>5</v>
      </c>
      <c r="F158" s="19" t="s">
        <v>13</v>
      </c>
      <c r="G158" s="31" t="str">
        <f t="shared" si="139"/>
        <v>Kommunal 50 M 4L B</v>
      </c>
      <c r="H158" s="48">
        <f t="shared" si="105"/>
        <v>7.6272295632126563E-2</v>
      </c>
      <c r="I158" s="40">
        <f t="shared" si="106"/>
        <v>8.8798936020712649E-2</v>
      </c>
      <c r="J158" s="99">
        <f t="shared" si="107"/>
        <v>8.2979291631317506E-4</v>
      </c>
      <c r="K158" s="48">
        <f t="shared" si="108"/>
        <v>1.5866174497825444E-2</v>
      </c>
      <c r="L158" s="48">
        <f t="shared" si="109"/>
        <v>7.2102968606574031E-2</v>
      </c>
      <c r="M158" s="48">
        <f t="shared" si="140"/>
        <v>0.18514024812734148</v>
      </c>
      <c r="N158" s="99">
        <f t="shared" si="110"/>
        <v>2.6987280461777063E-3</v>
      </c>
      <c r="O158" s="48">
        <f t="shared" si="111"/>
        <v>1.5095311556659601E-2</v>
      </c>
      <c r="P158" s="48">
        <f t="shared" si="112"/>
        <v>2.3799261746738166E-2</v>
      </c>
      <c r="Q158" s="48">
        <f t="shared" si="113"/>
        <v>0.10815445290986103</v>
      </c>
      <c r="R158" s="40">
        <f t="shared" si="141"/>
        <v>1.2959817368913904</v>
      </c>
      <c r="S158" s="99">
        <f t="shared" si="114"/>
        <v>4.0480920692665592E-3</v>
      </c>
      <c r="T158" s="48">
        <f t="shared" si="115"/>
        <v>2.2642967334989401E-2</v>
      </c>
      <c r="U158" s="44">
        <v>0.92733300000000007</v>
      </c>
      <c r="V158" s="19">
        <v>1.45</v>
      </c>
      <c r="W158" s="46">
        <v>0.6</v>
      </c>
      <c r="X158" s="44">
        <v>1.2546749654162939</v>
      </c>
      <c r="Y158" s="46">
        <v>0.81689374316930796</v>
      </c>
      <c r="Z158" s="46">
        <v>15.527974136477221</v>
      </c>
      <c r="AA158" s="46">
        <v>83.655132120353471</v>
      </c>
      <c r="AB158" s="46">
        <v>3</v>
      </c>
      <c r="AC158" s="125">
        <v>1</v>
      </c>
      <c r="AD158" s="94">
        <f t="shared" si="142"/>
        <v>4.9186775653861085E-2</v>
      </c>
      <c r="AE158" s="94">
        <f t="shared" si="143"/>
        <v>6.1713416042447164E-2</v>
      </c>
      <c r="AF158" s="96">
        <f t="shared" si="116"/>
        <v>5.0413303434679486E-4</v>
      </c>
      <c r="AG158" s="95">
        <f t="shared" si="104"/>
        <v>9.5828432818077808E-3</v>
      </c>
      <c r="AH158" s="94">
        <f t="shared" si="144"/>
        <v>5.1626439726292592E-2</v>
      </c>
      <c r="AI158" s="94">
        <f t="shared" si="145"/>
        <v>0.18514024812734148</v>
      </c>
      <c r="AJ158" s="96">
        <f t="shared" si="117"/>
        <v>1.6096577880816189E-3</v>
      </c>
      <c r="AK158" s="95">
        <f t="shared" si="118"/>
        <v>9.394633283324216E-3</v>
      </c>
      <c r="AL158" s="95">
        <f t="shared" si="119"/>
        <v>1.4374264922711672E-2</v>
      </c>
      <c r="AM158" s="94">
        <f t="shared" si="120"/>
        <v>7.7439659589438881E-2</v>
      </c>
      <c r="AN158" s="93">
        <f t="shared" si="121"/>
        <v>1.2959817368913904</v>
      </c>
      <c r="AO158" s="96">
        <f t="shared" si="122"/>
        <v>2.4144866821224284E-3</v>
      </c>
      <c r="AP158" s="95">
        <f t="shared" si="123"/>
        <v>1.4091949924986323E-2</v>
      </c>
      <c r="AQ158" s="93">
        <f t="shared" si="124"/>
        <v>0.1634486787964653</v>
      </c>
      <c r="AR158" s="31">
        <v>1.5</v>
      </c>
      <c r="AS158" s="31">
        <v>1.5</v>
      </c>
      <c r="AT158" s="31">
        <v>7</v>
      </c>
      <c r="AU158" s="43">
        <v>7.0999999999999994E-2</v>
      </c>
      <c r="AV158" s="44">
        <v>0.28000000000000003</v>
      </c>
      <c r="AW158" s="43">
        <v>1.7999999999999999E-2</v>
      </c>
      <c r="AX158" s="44">
        <v>0.13</v>
      </c>
      <c r="AY158" s="44">
        <v>7.081758249007474</v>
      </c>
      <c r="AZ158" s="46">
        <v>0.5</v>
      </c>
      <c r="BA158" s="44">
        <v>0.72</v>
      </c>
      <c r="BB158" s="47">
        <v>1</v>
      </c>
      <c r="BC158" s="46">
        <v>3.3197225366043677</v>
      </c>
      <c r="BD158" s="47">
        <v>24.127673726603245</v>
      </c>
      <c r="BE158" s="47">
        <v>72.552603736792392</v>
      </c>
      <c r="BF158" s="125">
        <v>1</v>
      </c>
      <c r="BG158" s="48">
        <f t="shared" si="146"/>
        <v>4.10666191750761E-3</v>
      </c>
      <c r="BH158" s="48">
        <f t="shared" si="147"/>
        <v>4.10666191750761E-3</v>
      </c>
      <c r="BI158" s="99">
        <f t="shared" si="148"/>
        <v>1.3632978117764921E-4</v>
      </c>
      <c r="BJ158" s="99">
        <f t="shared" si="149"/>
        <v>9.9084198851090454E-4</v>
      </c>
      <c r="BK158" s="48">
        <f t="shared" si="150"/>
        <v>2.979490147819056E-3</v>
      </c>
      <c r="BL158" s="99">
        <f t="shared" si="125"/>
        <v>1.9238352196370134E-4</v>
      </c>
      <c r="BM158" s="48">
        <f t="shared" si="126"/>
        <v>1.012051664738391E-3</v>
      </c>
      <c r="BN158" s="48">
        <f t="shared" si="127"/>
        <v>1.4862629827663569E-3</v>
      </c>
      <c r="BO158" s="48">
        <f t="shared" si="128"/>
        <v>4.4692352217285836E-3</v>
      </c>
      <c r="BP158" s="99">
        <f t="shared" si="129"/>
        <v>2.8857528294555203E-4</v>
      </c>
      <c r="BQ158" s="48">
        <f t="shared" si="130"/>
        <v>1.5180774971075867E-3</v>
      </c>
      <c r="BR158" s="40">
        <f t="shared" si="131"/>
        <v>0.27447396263207607</v>
      </c>
      <c r="BS158" s="31">
        <v>1.5</v>
      </c>
      <c r="BT158" s="31">
        <v>1.5</v>
      </c>
      <c r="BU158" s="43">
        <v>0.125</v>
      </c>
      <c r="BV158" s="44">
        <v>0.42</v>
      </c>
      <c r="BW158" s="43">
        <v>2.3E-2</v>
      </c>
      <c r="BX158" s="44">
        <v>0.2</v>
      </c>
      <c r="BY158" s="44">
        <v>17.493153787299189</v>
      </c>
      <c r="BZ158" s="44">
        <v>0.52</v>
      </c>
      <c r="CA158" s="44">
        <v>0.65</v>
      </c>
      <c r="CB158" s="47">
        <v>1</v>
      </c>
      <c r="CC158" s="46">
        <v>0.82393172144641647</v>
      </c>
      <c r="CD158" s="46">
        <v>23.031994076959833</v>
      </c>
      <c r="CE158" s="46">
        <v>76.144074201593753</v>
      </c>
      <c r="CF158" s="125">
        <v>1</v>
      </c>
      <c r="CG158" s="40">
        <f t="shared" si="151"/>
        <v>2.2978858060757872E-2</v>
      </c>
      <c r="CH158" s="40">
        <f t="shared" si="152"/>
        <v>2.2978858060757872E-2</v>
      </c>
      <c r="CI158" s="99">
        <f t="shared" si="153"/>
        <v>1.8933010078873096E-4</v>
      </c>
      <c r="CJ158" s="100">
        <f t="shared" si="154"/>
        <v>5.29248922750676E-3</v>
      </c>
      <c r="CK158" s="100">
        <f t="shared" si="155"/>
        <v>1.7497038732462382E-2</v>
      </c>
      <c r="CL158" s="101">
        <f t="shared" si="132"/>
        <v>8.9668673613238611E-4</v>
      </c>
      <c r="CM158" s="100">
        <f t="shared" si="133"/>
        <v>4.6886266085969935E-3</v>
      </c>
      <c r="CN158" s="100">
        <f t="shared" si="134"/>
        <v>7.9387338412601396E-3</v>
      </c>
      <c r="CO158" s="100">
        <f t="shared" si="135"/>
        <v>2.6245558098693573E-2</v>
      </c>
      <c r="CP158" s="101">
        <f t="shared" si="136"/>
        <v>1.3450301041985791E-3</v>
      </c>
      <c r="CQ158" s="100">
        <f t="shared" si="137"/>
        <v>7.0329399128954903E-3</v>
      </c>
      <c r="CR158" s="99">
        <f t="shared" si="138"/>
        <v>0.23855925798406249</v>
      </c>
      <c r="CS158" s="31">
        <v>1.5</v>
      </c>
      <c r="CT158" s="31">
        <v>1.5</v>
      </c>
      <c r="CU158" s="43">
        <v>0.1</v>
      </c>
      <c r="CV158" s="44">
        <v>0.39</v>
      </c>
      <c r="CW158" s="43">
        <v>2.1000000000000001E-2</v>
      </c>
      <c r="CX158" s="44">
        <v>0.15</v>
      </c>
    </row>
    <row r="159" spans="1:102" s="27" customFormat="1" x14ac:dyDescent="0.25">
      <c r="A159" s="31">
        <v>145</v>
      </c>
      <c r="B159" s="84" t="s">
        <v>91</v>
      </c>
      <c r="C159" s="19">
        <v>50</v>
      </c>
      <c r="D159" s="31" t="s">
        <v>36</v>
      </c>
      <c r="E159" s="31" t="s">
        <v>5</v>
      </c>
      <c r="F159" s="19" t="s">
        <v>70</v>
      </c>
      <c r="G159" s="31" t="str">
        <f t="shared" si="139"/>
        <v>Kommunal 50 M 4L Ck</v>
      </c>
      <c r="H159" s="48">
        <f t="shared" si="105"/>
        <v>7.3683517966133871E-2</v>
      </c>
      <c r="I159" s="40">
        <f t="shared" si="106"/>
        <v>8.5550861492162802E-2</v>
      </c>
      <c r="J159" s="99">
        <f t="shared" si="107"/>
        <v>8.0325959871597541E-4</v>
      </c>
      <c r="K159" s="48">
        <f t="shared" si="108"/>
        <v>1.536181432509872E-2</v>
      </c>
      <c r="L159" s="48">
        <f t="shared" si="109"/>
        <v>6.9385787568348109E-2</v>
      </c>
      <c r="M159" s="48">
        <f t="shared" si="140"/>
        <v>0.17539602454169198</v>
      </c>
      <c r="N159" s="99">
        <f t="shared" si="110"/>
        <v>2.6140092152260423E-3</v>
      </c>
      <c r="O159" s="48">
        <f t="shared" si="111"/>
        <v>1.4600857173326747E-2</v>
      </c>
      <c r="P159" s="48">
        <f t="shared" si="112"/>
        <v>2.3042721487648077E-2</v>
      </c>
      <c r="Q159" s="48">
        <f t="shared" si="113"/>
        <v>0.10407868135252216</v>
      </c>
      <c r="R159" s="40">
        <f t="shared" si="141"/>
        <v>1.2277721717918439</v>
      </c>
      <c r="S159" s="99">
        <f t="shared" si="114"/>
        <v>3.9210138228390635E-3</v>
      </c>
      <c r="T159" s="48">
        <f t="shared" si="115"/>
        <v>2.1901285759990122E-2</v>
      </c>
      <c r="U159" s="44">
        <v>0.87852599999999992</v>
      </c>
      <c r="V159" s="19">
        <v>1.45</v>
      </c>
      <c r="W159" s="46">
        <v>0.6</v>
      </c>
      <c r="X159" s="44">
        <v>1.2546749654162941</v>
      </c>
      <c r="Y159" s="46">
        <v>0.81689374316930796</v>
      </c>
      <c r="Z159" s="46">
        <v>15.527974136477221</v>
      </c>
      <c r="AA159" s="46">
        <v>83.655132120353471</v>
      </c>
      <c r="AB159" s="46">
        <v>3.0000000000000004</v>
      </c>
      <c r="AC159" s="125">
        <v>1</v>
      </c>
      <c r="AD159" s="94">
        <f t="shared" si="142"/>
        <v>4.6597997987868393E-2</v>
      </c>
      <c r="AE159" s="94">
        <f t="shared" si="143"/>
        <v>5.8465341513897318E-2</v>
      </c>
      <c r="AF159" s="96">
        <f t="shared" si="116"/>
        <v>4.7759971674959516E-4</v>
      </c>
      <c r="AG159" s="95">
        <f t="shared" ref="AG159:AG222" si="156">$AE159*Z159/100</f>
        <v>9.078483109081055E-3</v>
      </c>
      <c r="AH159" s="94">
        <f t="shared" si="144"/>
        <v>4.890925868806667E-2</v>
      </c>
      <c r="AI159" s="94">
        <f t="shared" si="145"/>
        <v>0.17539602454169198</v>
      </c>
      <c r="AJ159" s="96">
        <f t="shared" si="117"/>
        <v>1.5249389571299549E-3</v>
      </c>
      <c r="AK159" s="95">
        <f t="shared" si="118"/>
        <v>8.9001788999913626E-3</v>
      </c>
      <c r="AL159" s="95">
        <f t="shared" si="119"/>
        <v>1.3617724663621582E-2</v>
      </c>
      <c r="AM159" s="94">
        <f t="shared" si="120"/>
        <v>7.3363888032100005E-2</v>
      </c>
      <c r="AN159" s="93">
        <f t="shared" si="121"/>
        <v>1.2277721717918439</v>
      </c>
      <c r="AO159" s="96">
        <f t="shared" si="122"/>
        <v>2.2874084356949323E-3</v>
      </c>
      <c r="AP159" s="95">
        <f t="shared" si="123"/>
        <v>1.3350268349987045E-2</v>
      </c>
      <c r="AQ159" s="93">
        <f t="shared" si="124"/>
        <v>0.1634486787964653</v>
      </c>
      <c r="AR159" s="31">
        <v>1.5</v>
      </c>
      <c r="AS159" s="31">
        <v>1.5</v>
      </c>
      <c r="AT159" s="31">
        <v>7</v>
      </c>
      <c r="AU159" s="43">
        <v>7.0999999999999994E-2</v>
      </c>
      <c r="AV159" s="44">
        <v>0.28000000000000003</v>
      </c>
      <c r="AW159" s="43">
        <v>1.7999999999999999E-2</v>
      </c>
      <c r="AX159" s="44">
        <v>0.13</v>
      </c>
      <c r="AY159" s="44">
        <v>7.081758249007474</v>
      </c>
      <c r="AZ159" s="46">
        <v>0.5</v>
      </c>
      <c r="BA159" s="44">
        <v>0.72</v>
      </c>
      <c r="BB159" s="47">
        <v>1</v>
      </c>
      <c r="BC159" s="46">
        <v>3.3197225366043677</v>
      </c>
      <c r="BD159" s="47">
        <v>24.127673726603245</v>
      </c>
      <c r="BE159" s="47">
        <v>72.552603736792392</v>
      </c>
      <c r="BF159" s="125">
        <v>1</v>
      </c>
      <c r="BG159" s="48">
        <f t="shared" si="146"/>
        <v>4.10666191750761E-3</v>
      </c>
      <c r="BH159" s="48">
        <f t="shared" si="147"/>
        <v>4.10666191750761E-3</v>
      </c>
      <c r="BI159" s="99">
        <f t="shared" si="148"/>
        <v>1.3632978117764921E-4</v>
      </c>
      <c r="BJ159" s="99">
        <f t="shared" si="149"/>
        <v>9.9084198851090454E-4</v>
      </c>
      <c r="BK159" s="48">
        <f t="shared" si="150"/>
        <v>2.979490147819056E-3</v>
      </c>
      <c r="BL159" s="99">
        <f t="shared" si="125"/>
        <v>1.9238352196370134E-4</v>
      </c>
      <c r="BM159" s="48">
        <f t="shared" si="126"/>
        <v>1.012051664738391E-3</v>
      </c>
      <c r="BN159" s="48">
        <f t="shared" si="127"/>
        <v>1.4862629827663569E-3</v>
      </c>
      <c r="BO159" s="48">
        <f t="shared" si="128"/>
        <v>4.4692352217285836E-3</v>
      </c>
      <c r="BP159" s="99">
        <f t="shared" si="129"/>
        <v>2.8857528294555203E-4</v>
      </c>
      <c r="BQ159" s="48">
        <f t="shared" si="130"/>
        <v>1.5180774971075867E-3</v>
      </c>
      <c r="BR159" s="40">
        <f t="shared" si="131"/>
        <v>0.27447396263207607</v>
      </c>
      <c r="BS159" s="31">
        <v>1.5</v>
      </c>
      <c r="BT159" s="31">
        <v>1.5</v>
      </c>
      <c r="BU159" s="43">
        <v>0.125</v>
      </c>
      <c r="BV159" s="44">
        <v>0.42</v>
      </c>
      <c r="BW159" s="43">
        <v>2.3E-2</v>
      </c>
      <c r="BX159" s="44">
        <v>0.2</v>
      </c>
      <c r="BY159" s="44">
        <v>17.493153787299189</v>
      </c>
      <c r="BZ159" s="44">
        <v>0.52</v>
      </c>
      <c r="CA159" s="44">
        <v>0.65</v>
      </c>
      <c r="CB159" s="47">
        <v>1</v>
      </c>
      <c r="CC159" s="46">
        <v>0.82393172144641647</v>
      </c>
      <c r="CD159" s="46">
        <v>23.031994076959833</v>
      </c>
      <c r="CE159" s="46">
        <v>76.144074201593753</v>
      </c>
      <c r="CF159" s="125">
        <v>1</v>
      </c>
      <c r="CG159" s="40">
        <f t="shared" si="151"/>
        <v>2.2978858060757872E-2</v>
      </c>
      <c r="CH159" s="40">
        <f t="shared" si="152"/>
        <v>2.2978858060757872E-2</v>
      </c>
      <c r="CI159" s="99">
        <f t="shared" si="153"/>
        <v>1.8933010078873096E-4</v>
      </c>
      <c r="CJ159" s="100">
        <f t="shared" si="154"/>
        <v>5.29248922750676E-3</v>
      </c>
      <c r="CK159" s="100">
        <f t="shared" si="155"/>
        <v>1.7497038732462382E-2</v>
      </c>
      <c r="CL159" s="101">
        <f t="shared" si="132"/>
        <v>8.9668673613238611E-4</v>
      </c>
      <c r="CM159" s="100">
        <f t="shared" si="133"/>
        <v>4.6886266085969935E-3</v>
      </c>
      <c r="CN159" s="100">
        <f t="shared" si="134"/>
        <v>7.9387338412601396E-3</v>
      </c>
      <c r="CO159" s="100">
        <f t="shared" si="135"/>
        <v>2.6245558098693573E-2</v>
      </c>
      <c r="CP159" s="101">
        <f t="shared" si="136"/>
        <v>1.3450301041985791E-3</v>
      </c>
      <c r="CQ159" s="100">
        <f t="shared" si="137"/>
        <v>7.0329399128954903E-3</v>
      </c>
      <c r="CR159" s="99">
        <f t="shared" si="138"/>
        <v>0.23855925798406249</v>
      </c>
      <c r="CS159" s="31">
        <v>1.5</v>
      </c>
      <c r="CT159" s="31">
        <v>1.5</v>
      </c>
      <c r="CU159" s="43">
        <v>0.1</v>
      </c>
      <c r="CV159" s="44">
        <v>0.39</v>
      </c>
      <c r="CW159" s="43">
        <v>2.1000000000000001E-2</v>
      </c>
      <c r="CX159" s="44">
        <v>0.15</v>
      </c>
    </row>
    <row r="160" spans="1:102" s="27" customFormat="1" x14ac:dyDescent="0.25">
      <c r="A160" s="31">
        <v>146</v>
      </c>
      <c r="B160" s="84" t="s">
        <v>91</v>
      </c>
      <c r="C160" s="19">
        <v>50</v>
      </c>
      <c r="D160" s="31" t="s">
        <v>36</v>
      </c>
      <c r="E160" s="31" t="s">
        <v>5</v>
      </c>
      <c r="F160" s="31" t="s">
        <v>71</v>
      </c>
      <c r="G160" s="31" t="str">
        <f t="shared" si="139"/>
        <v>Kommunal 50 M 4L Cm</v>
      </c>
      <c r="H160" s="48">
        <f t="shared" si="105"/>
        <v>7.3683517966133871E-2</v>
      </c>
      <c r="I160" s="40">
        <f t="shared" si="106"/>
        <v>8.5550861492162802E-2</v>
      </c>
      <c r="J160" s="99">
        <f t="shared" si="107"/>
        <v>8.0325959871597541E-4</v>
      </c>
      <c r="K160" s="48">
        <f t="shared" si="108"/>
        <v>1.536181432509872E-2</v>
      </c>
      <c r="L160" s="48">
        <f t="shared" si="109"/>
        <v>6.9385787568348109E-2</v>
      </c>
      <c r="M160" s="48">
        <f t="shared" si="140"/>
        <v>0.17539602454169198</v>
      </c>
      <c r="N160" s="99">
        <f t="shared" si="110"/>
        <v>2.6140092152260423E-3</v>
      </c>
      <c r="O160" s="48">
        <f t="shared" si="111"/>
        <v>1.4600857173326747E-2</v>
      </c>
      <c r="P160" s="48">
        <f t="shared" si="112"/>
        <v>2.3042721487648077E-2</v>
      </c>
      <c r="Q160" s="48">
        <f t="shared" si="113"/>
        <v>0.10407868135252216</v>
      </c>
      <c r="R160" s="40">
        <f t="shared" si="141"/>
        <v>1.2277721717918439</v>
      </c>
      <c r="S160" s="99">
        <f t="shared" si="114"/>
        <v>3.9210138228390635E-3</v>
      </c>
      <c r="T160" s="48">
        <f t="shared" si="115"/>
        <v>2.1901285759990122E-2</v>
      </c>
      <c r="U160" s="44">
        <v>0.87852599999999992</v>
      </c>
      <c r="V160" s="19">
        <v>1.45</v>
      </c>
      <c r="W160" s="46">
        <v>0.6</v>
      </c>
      <c r="X160" s="44">
        <v>1.2546749654162941</v>
      </c>
      <c r="Y160" s="46">
        <v>0.81689374316930796</v>
      </c>
      <c r="Z160" s="46">
        <v>15.527974136477221</v>
      </c>
      <c r="AA160" s="46">
        <v>83.655132120353471</v>
      </c>
      <c r="AB160" s="46">
        <v>3.0000000000000004</v>
      </c>
      <c r="AC160" s="125">
        <v>1</v>
      </c>
      <c r="AD160" s="94">
        <f t="shared" si="142"/>
        <v>4.6597997987868393E-2</v>
      </c>
      <c r="AE160" s="94">
        <f t="shared" si="143"/>
        <v>5.8465341513897318E-2</v>
      </c>
      <c r="AF160" s="96">
        <f t="shared" si="116"/>
        <v>4.7759971674959516E-4</v>
      </c>
      <c r="AG160" s="95">
        <f t="shared" si="156"/>
        <v>9.078483109081055E-3</v>
      </c>
      <c r="AH160" s="94">
        <f t="shared" si="144"/>
        <v>4.890925868806667E-2</v>
      </c>
      <c r="AI160" s="94">
        <f t="shared" si="145"/>
        <v>0.17539602454169198</v>
      </c>
      <c r="AJ160" s="96">
        <f t="shared" si="117"/>
        <v>1.5249389571299549E-3</v>
      </c>
      <c r="AK160" s="95">
        <f t="shared" si="118"/>
        <v>8.9001788999913626E-3</v>
      </c>
      <c r="AL160" s="95">
        <f t="shared" si="119"/>
        <v>1.3617724663621582E-2</v>
      </c>
      <c r="AM160" s="94">
        <f t="shared" si="120"/>
        <v>7.3363888032100005E-2</v>
      </c>
      <c r="AN160" s="93">
        <f t="shared" si="121"/>
        <v>1.2277721717918439</v>
      </c>
      <c r="AO160" s="96">
        <f t="shared" si="122"/>
        <v>2.2874084356949323E-3</v>
      </c>
      <c r="AP160" s="95">
        <f t="shared" si="123"/>
        <v>1.3350268349987045E-2</v>
      </c>
      <c r="AQ160" s="93">
        <f t="shared" si="124"/>
        <v>0.1634486787964653</v>
      </c>
      <c r="AR160" s="31">
        <v>1.5</v>
      </c>
      <c r="AS160" s="31">
        <v>1.5</v>
      </c>
      <c r="AT160" s="31">
        <v>7</v>
      </c>
      <c r="AU160" s="43">
        <v>7.0999999999999994E-2</v>
      </c>
      <c r="AV160" s="44">
        <v>0.28000000000000003</v>
      </c>
      <c r="AW160" s="43">
        <v>1.7999999999999999E-2</v>
      </c>
      <c r="AX160" s="44">
        <v>0.13</v>
      </c>
      <c r="AY160" s="44">
        <v>7.081758249007474</v>
      </c>
      <c r="AZ160" s="46">
        <v>0.5</v>
      </c>
      <c r="BA160" s="44">
        <v>0.72</v>
      </c>
      <c r="BB160" s="47">
        <v>1</v>
      </c>
      <c r="BC160" s="46">
        <v>3.3197225366043677</v>
      </c>
      <c r="BD160" s="47">
        <v>24.127673726603245</v>
      </c>
      <c r="BE160" s="47">
        <v>72.552603736792392</v>
      </c>
      <c r="BF160" s="125">
        <v>1</v>
      </c>
      <c r="BG160" s="48">
        <f t="shared" si="146"/>
        <v>4.10666191750761E-3</v>
      </c>
      <c r="BH160" s="48">
        <f t="shared" si="147"/>
        <v>4.10666191750761E-3</v>
      </c>
      <c r="BI160" s="99">
        <f t="shared" si="148"/>
        <v>1.3632978117764921E-4</v>
      </c>
      <c r="BJ160" s="99">
        <f t="shared" si="149"/>
        <v>9.9084198851090454E-4</v>
      </c>
      <c r="BK160" s="48">
        <f t="shared" si="150"/>
        <v>2.979490147819056E-3</v>
      </c>
      <c r="BL160" s="99">
        <f t="shared" si="125"/>
        <v>1.9238352196370134E-4</v>
      </c>
      <c r="BM160" s="48">
        <f t="shared" si="126"/>
        <v>1.012051664738391E-3</v>
      </c>
      <c r="BN160" s="48">
        <f t="shared" si="127"/>
        <v>1.4862629827663569E-3</v>
      </c>
      <c r="BO160" s="48">
        <f t="shared" si="128"/>
        <v>4.4692352217285836E-3</v>
      </c>
      <c r="BP160" s="99">
        <f t="shared" si="129"/>
        <v>2.8857528294555203E-4</v>
      </c>
      <c r="BQ160" s="48">
        <f t="shared" si="130"/>
        <v>1.5180774971075867E-3</v>
      </c>
      <c r="BR160" s="40">
        <f t="shared" si="131"/>
        <v>0.27447396263207607</v>
      </c>
      <c r="BS160" s="31">
        <v>1.5</v>
      </c>
      <c r="BT160" s="31">
        <v>1.5</v>
      </c>
      <c r="BU160" s="43">
        <v>0.125</v>
      </c>
      <c r="BV160" s="44">
        <v>0.42</v>
      </c>
      <c r="BW160" s="43">
        <v>2.3E-2</v>
      </c>
      <c r="BX160" s="44">
        <v>0.2</v>
      </c>
      <c r="BY160" s="44">
        <v>17.493153787299189</v>
      </c>
      <c r="BZ160" s="44">
        <v>0.52</v>
      </c>
      <c r="CA160" s="44">
        <v>0.65</v>
      </c>
      <c r="CB160" s="47">
        <v>1</v>
      </c>
      <c r="CC160" s="46">
        <v>0.82393172144641647</v>
      </c>
      <c r="CD160" s="46">
        <v>23.031994076959833</v>
      </c>
      <c r="CE160" s="46">
        <v>76.144074201593753</v>
      </c>
      <c r="CF160" s="125">
        <v>1</v>
      </c>
      <c r="CG160" s="40">
        <f t="shared" si="151"/>
        <v>2.2978858060757872E-2</v>
      </c>
      <c r="CH160" s="40">
        <f t="shared" si="152"/>
        <v>2.2978858060757872E-2</v>
      </c>
      <c r="CI160" s="99">
        <f t="shared" si="153"/>
        <v>1.8933010078873096E-4</v>
      </c>
      <c r="CJ160" s="100">
        <f t="shared" si="154"/>
        <v>5.29248922750676E-3</v>
      </c>
      <c r="CK160" s="100">
        <f t="shared" si="155"/>
        <v>1.7497038732462382E-2</v>
      </c>
      <c r="CL160" s="101">
        <f t="shared" si="132"/>
        <v>8.9668673613238611E-4</v>
      </c>
      <c r="CM160" s="100">
        <f t="shared" si="133"/>
        <v>4.6886266085969935E-3</v>
      </c>
      <c r="CN160" s="100">
        <f t="shared" si="134"/>
        <v>7.9387338412601396E-3</v>
      </c>
      <c r="CO160" s="100">
        <f t="shared" si="135"/>
        <v>2.6245558098693573E-2</v>
      </c>
      <c r="CP160" s="101">
        <f t="shared" si="136"/>
        <v>1.3450301041985791E-3</v>
      </c>
      <c r="CQ160" s="100">
        <f t="shared" si="137"/>
        <v>7.0329399128954903E-3</v>
      </c>
      <c r="CR160" s="99">
        <f t="shared" si="138"/>
        <v>0.23855925798406249</v>
      </c>
      <c r="CS160" s="31">
        <v>1.5</v>
      </c>
      <c r="CT160" s="31">
        <v>1.5</v>
      </c>
      <c r="CU160" s="43">
        <v>0.1</v>
      </c>
      <c r="CV160" s="44">
        <v>0.39</v>
      </c>
      <c r="CW160" s="43">
        <v>2.1000000000000001E-2</v>
      </c>
      <c r="CX160" s="44">
        <v>0.15</v>
      </c>
    </row>
    <row r="161" spans="1:102" s="27" customFormat="1" x14ac:dyDescent="0.25">
      <c r="A161" s="31">
        <v>147</v>
      </c>
      <c r="B161" s="84" t="s">
        <v>91</v>
      </c>
      <c r="C161" s="19">
        <v>50</v>
      </c>
      <c r="D161" s="31" t="s">
        <v>36</v>
      </c>
      <c r="E161" s="31" t="s">
        <v>5</v>
      </c>
      <c r="F161" s="19" t="s">
        <v>0</v>
      </c>
      <c r="G161" s="31" t="str">
        <f t="shared" si="139"/>
        <v>Kommunal 50 M 4L D</v>
      </c>
      <c r="H161" s="48">
        <f t="shared" si="105"/>
        <v>4.7010811849771128E-2</v>
      </c>
      <c r="I161" s="40">
        <f t="shared" si="106"/>
        <v>7.0807835470942118E-2</v>
      </c>
      <c r="J161" s="99">
        <f t="shared" si="107"/>
        <v>3.256598819663802E-4</v>
      </c>
      <c r="K161" s="48">
        <f t="shared" si="108"/>
        <v>1.1040631493305468E-2</v>
      </c>
      <c r="L161" s="48">
        <f t="shared" si="109"/>
        <v>5.9441544095670269E-2</v>
      </c>
      <c r="M161" s="48">
        <f t="shared" si="140"/>
        <v>0.4420811899815083</v>
      </c>
      <c r="N161" s="99">
        <f t="shared" si="110"/>
        <v>2.1282088516605202E-3</v>
      </c>
      <c r="O161" s="48">
        <f t="shared" si="111"/>
        <v>1.2098174328976518E-2</v>
      </c>
      <c r="P161" s="48">
        <f t="shared" si="112"/>
        <v>1.6560947239958202E-2</v>
      </c>
      <c r="Q161" s="48">
        <f t="shared" si="113"/>
        <v>8.9162316143505393E-2</v>
      </c>
      <c r="R161" s="40">
        <f t="shared" si="141"/>
        <v>3.0945683298705582</v>
      </c>
      <c r="S161" s="99">
        <f t="shared" si="114"/>
        <v>3.1923132774907808E-3</v>
      </c>
      <c r="T161" s="48">
        <f t="shared" si="115"/>
        <v>1.8147261493464777E-2</v>
      </c>
      <c r="U161" s="44">
        <v>0.82328399999999979</v>
      </c>
      <c r="V161" s="44">
        <v>1.2</v>
      </c>
      <c r="W161" s="19">
        <v>0</v>
      </c>
      <c r="X161" s="44">
        <v>2.1943124233578803</v>
      </c>
      <c r="Y161" s="46">
        <v>0</v>
      </c>
      <c r="Z161" s="46">
        <v>10.880714398771122</v>
      </c>
      <c r="AA161" s="46">
        <v>89.119285601228881</v>
      </c>
      <c r="AB161" s="46">
        <v>10.111111111111114</v>
      </c>
      <c r="AC161" s="125">
        <v>1</v>
      </c>
      <c r="AD161" s="94">
        <f t="shared" si="142"/>
        <v>1.9925291871505647E-2</v>
      </c>
      <c r="AE161" s="94">
        <f t="shared" si="143"/>
        <v>4.3722315492676633E-2</v>
      </c>
      <c r="AF161" s="96">
        <f t="shared" si="116"/>
        <v>0</v>
      </c>
      <c r="AG161" s="95">
        <f t="shared" si="156"/>
        <v>4.7573002772878037E-3</v>
      </c>
      <c r="AH161" s="94">
        <f t="shared" si="144"/>
        <v>3.896501521538883E-2</v>
      </c>
      <c r="AI161" s="94">
        <f t="shared" si="145"/>
        <v>0.4420811899815083</v>
      </c>
      <c r="AJ161" s="96">
        <f t="shared" si="117"/>
        <v>1.0391385935644328E-3</v>
      </c>
      <c r="AK161" s="95">
        <f t="shared" si="118"/>
        <v>6.3974960556411331E-3</v>
      </c>
      <c r="AL161" s="95">
        <f t="shared" si="119"/>
        <v>7.135950415931706E-3</v>
      </c>
      <c r="AM161" s="94">
        <f t="shared" si="120"/>
        <v>5.8447522823083242E-2</v>
      </c>
      <c r="AN161" s="93">
        <f t="shared" si="121"/>
        <v>3.0945683298705582</v>
      </c>
      <c r="AO161" s="96">
        <f t="shared" si="122"/>
        <v>1.5587078903466494E-3</v>
      </c>
      <c r="AP161" s="95">
        <f t="shared" si="123"/>
        <v>9.5962440834616997E-3</v>
      </c>
      <c r="AQ161" s="93">
        <f t="shared" si="124"/>
        <v>0.10880714398771123</v>
      </c>
      <c r="AR161" s="31">
        <v>1.5</v>
      </c>
      <c r="AS161" s="31">
        <v>1.5</v>
      </c>
      <c r="AT161" s="31">
        <v>7</v>
      </c>
      <c r="AU161" s="43">
        <v>7.0999999999999994E-2</v>
      </c>
      <c r="AV161" s="44">
        <v>0.28000000000000003</v>
      </c>
      <c r="AW161" s="43">
        <v>1.7999999999999999E-2</v>
      </c>
      <c r="AX161" s="44">
        <v>0.13</v>
      </c>
      <c r="AY161" s="44">
        <v>7.081758249007474</v>
      </c>
      <c r="AZ161" s="46">
        <v>0.5</v>
      </c>
      <c r="BA161" s="44">
        <v>0.72</v>
      </c>
      <c r="BB161" s="47">
        <v>1</v>
      </c>
      <c r="BC161" s="46">
        <v>3.3197225366043677</v>
      </c>
      <c r="BD161" s="47">
        <v>24.127673726603245</v>
      </c>
      <c r="BE161" s="47">
        <v>72.552603736792392</v>
      </c>
      <c r="BF161" s="125">
        <v>1</v>
      </c>
      <c r="BG161" s="48">
        <f t="shared" si="146"/>
        <v>4.10666191750761E-3</v>
      </c>
      <c r="BH161" s="48">
        <f t="shared" si="147"/>
        <v>4.10666191750761E-3</v>
      </c>
      <c r="BI161" s="99">
        <f t="shared" si="148"/>
        <v>1.3632978117764921E-4</v>
      </c>
      <c r="BJ161" s="99">
        <f t="shared" si="149"/>
        <v>9.9084198851090454E-4</v>
      </c>
      <c r="BK161" s="48">
        <f t="shared" si="150"/>
        <v>2.979490147819056E-3</v>
      </c>
      <c r="BL161" s="99">
        <f t="shared" si="125"/>
        <v>1.9238352196370134E-4</v>
      </c>
      <c r="BM161" s="48">
        <f t="shared" si="126"/>
        <v>1.012051664738391E-3</v>
      </c>
      <c r="BN161" s="48">
        <f t="shared" si="127"/>
        <v>1.4862629827663569E-3</v>
      </c>
      <c r="BO161" s="48">
        <f t="shared" si="128"/>
        <v>4.4692352217285836E-3</v>
      </c>
      <c r="BP161" s="99">
        <f t="shared" si="129"/>
        <v>2.8857528294555203E-4</v>
      </c>
      <c r="BQ161" s="48">
        <f t="shared" si="130"/>
        <v>1.5180774971075867E-3</v>
      </c>
      <c r="BR161" s="40">
        <f t="shared" si="131"/>
        <v>0.27447396263207607</v>
      </c>
      <c r="BS161" s="31">
        <v>1.5</v>
      </c>
      <c r="BT161" s="31">
        <v>1.5</v>
      </c>
      <c r="BU161" s="43">
        <v>0.125</v>
      </c>
      <c r="BV161" s="44">
        <v>0.42</v>
      </c>
      <c r="BW161" s="43">
        <v>2.3E-2</v>
      </c>
      <c r="BX161" s="44">
        <v>0.2</v>
      </c>
      <c r="BY161" s="44">
        <v>17.493153787299189</v>
      </c>
      <c r="BZ161" s="44">
        <v>0.52</v>
      </c>
      <c r="CA161" s="44">
        <v>0.65</v>
      </c>
      <c r="CB161" s="47">
        <v>1</v>
      </c>
      <c r="CC161" s="46">
        <v>0.82393172144641647</v>
      </c>
      <c r="CD161" s="46">
        <v>23.031994076959833</v>
      </c>
      <c r="CE161" s="46">
        <v>76.144074201593753</v>
      </c>
      <c r="CF161" s="125">
        <v>1</v>
      </c>
      <c r="CG161" s="40">
        <f t="shared" si="151"/>
        <v>2.2978858060757872E-2</v>
      </c>
      <c r="CH161" s="40">
        <f t="shared" si="152"/>
        <v>2.2978858060757872E-2</v>
      </c>
      <c r="CI161" s="99">
        <f t="shared" si="153"/>
        <v>1.8933010078873096E-4</v>
      </c>
      <c r="CJ161" s="100">
        <f t="shared" si="154"/>
        <v>5.29248922750676E-3</v>
      </c>
      <c r="CK161" s="100">
        <f t="shared" si="155"/>
        <v>1.7497038732462382E-2</v>
      </c>
      <c r="CL161" s="101">
        <f t="shared" si="132"/>
        <v>8.9668673613238611E-4</v>
      </c>
      <c r="CM161" s="100">
        <f t="shared" si="133"/>
        <v>4.6886266085969935E-3</v>
      </c>
      <c r="CN161" s="100">
        <f t="shared" si="134"/>
        <v>7.9387338412601396E-3</v>
      </c>
      <c r="CO161" s="100">
        <f t="shared" si="135"/>
        <v>2.6245558098693573E-2</v>
      </c>
      <c r="CP161" s="101">
        <f t="shared" si="136"/>
        <v>1.3450301041985791E-3</v>
      </c>
      <c r="CQ161" s="100">
        <f t="shared" si="137"/>
        <v>7.0329399128954903E-3</v>
      </c>
      <c r="CR161" s="99">
        <f t="shared" si="138"/>
        <v>0.23855925798406249</v>
      </c>
      <c r="CS161" s="31">
        <v>1.5</v>
      </c>
      <c r="CT161" s="31">
        <v>1.5</v>
      </c>
      <c r="CU161" s="43">
        <v>0.1</v>
      </c>
      <c r="CV161" s="44">
        <v>0.39</v>
      </c>
      <c r="CW161" s="43">
        <v>2.1000000000000001E-2</v>
      </c>
      <c r="CX161" s="44">
        <v>0.15</v>
      </c>
    </row>
    <row r="162" spans="1:102" s="27" customFormat="1" x14ac:dyDescent="0.25">
      <c r="A162" s="31">
        <v>148</v>
      </c>
      <c r="B162" s="84" t="s">
        <v>91</v>
      </c>
      <c r="C162" s="19">
        <v>50</v>
      </c>
      <c r="D162" s="31" t="s">
        <v>36</v>
      </c>
      <c r="E162" s="31" t="s">
        <v>5</v>
      </c>
      <c r="F162" s="19" t="s">
        <v>62</v>
      </c>
      <c r="G162" s="31" t="str">
        <f t="shared" si="139"/>
        <v>Kommunal 50 M 4L EE</v>
      </c>
      <c r="H162" s="48">
        <f t="shared" si="105"/>
        <v>0.11512944337488155</v>
      </c>
      <c r="I162" s="40">
        <f t="shared" si="106"/>
        <v>0.13322774184088895</v>
      </c>
      <c r="J162" s="99">
        <f t="shared" si="107"/>
        <v>1.1908813829120469E-3</v>
      </c>
      <c r="K162" s="48">
        <f t="shared" si="108"/>
        <v>2.0795050548820318E-2</v>
      </c>
      <c r="L162" s="48">
        <f t="shared" si="109"/>
        <v>0.11124180990915658</v>
      </c>
      <c r="M162" s="48">
        <f t="shared" si="140"/>
        <v>0.37632242296748331</v>
      </c>
      <c r="N162" s="99">
        <f t="shared" si="110"/>
        <v>3.7531773892448285E-3</v>
      </c>
      <c r="O162" s="48">
        <f t="shared" si="111"/>
        <v>2.1563446220273896E-2</v>
      </c>
      <c r="P162" s="48">
        <f t="shared" si="112"/>
        <v>3.1192575823230477E-2</v>
      </c>
      <c r="Q162" s="48">
        <f t="shared" si="113"/>
        <v>0.16686271486373491</v>
      </c>
      <c r="R162" s="40">
        <f t="shared" si="141"/>
        <v>2.6342569607723831</v>
      </c>
      <c r="S162" s="99">
        <f t="shared" si="114"/>
        <v>5.6297660838672426E-3</v>
      </c>
      <c r="T162" s="48">
        <f t="shared" si="115"/>
        <v>3.2345169330410845E-2</v>
      </c>
      <c r="U162" s="44">
        <v>5.6453760000000015</v>
      </c>
      <c r="V162" s="44">
        <v>1.2</v>
      </c>
      <c r="W162" s="19">
        <v>0.2</v>
      </c>
      <c r="X162" s="44">
        <v>1.2055598815659208</v>
      </c>
      <c r="Y162" s="46">
        <v>0.81515299544557829</v>
      </c>
      <c r="Z162" s="46">
        <v>13.671957377700943</v>
      </c>
      <c r="AA162" s="46">
        <v>85.512889626853479</v>
      </c>
      <c r="AB162" s="46">
        <v>3.5454545454545463</v>
      </c>
      <c r="AC162" s="125">
        <v>1</v>
      </c>
      <c r="AD162" s="94">
        <f t="shared" si="142"/>
        <v>8.8043923396616069E-2</v>
      </c>
      <c r="AE162" s="94">
        <f t="shared" si="143"/>
        <v>0.10614222186262347</v>
      </c>
      <c r="AF162" s="96">
        <f t="shared" si="116"/>
        <v>8.6522150094566668E-4</v>
      </c>
      <c r="AG162" s="95">
        <f t="shared" si="156"/>
        <v>1.4511719332802653E-2</v>
      </c>
      <c r="AH162" s="94">
        <f t="shared" si="144"/>
        <v>9.0765281028875155E-2</v>
      </c>
      <c r="AI162" s="94">
        <f t="shared" si="145"/>
        <v>0.37632242296748331</v>
      </c>
      <c r="AJ162" s="96">
        <f t="shared" si="117"/>
        <v>2.6641071311487409E-3</v>
      </c>
      <c r="AK162" s="95">
        <f t="shared" si="118"/>
        <v>1.5862767946938514E-2</v>
      </c>
      <c r="AL162" s="95">
        <f t="shared" si="119"/>
        <v>2.1767578999203979E-2</v>
      </c>
      <c r="AM162" s="94">
        <f t="shared" si="120"/>
        <v>0.13614792154331273</v>
      </c>
      <c r="AN162" s="93">
        <f t="shared" si="121"/>
        <v>2.6342569607723831</v>
      </c>
      <c r="AO162" s="96">
        <f t="shared" si="122"/>
        <v>3.9961606967231118E-3</v>
      </c>
      <c r="AP162" s="95">
        <f t="shared" si="123"/>
        <v>2.379415192040777E-2</v>
      </c>
      <c r="AQ162" s="93">
        <f t="shared" si="124"/>
        <v>0.14487110373146522</v>
      </c>
      <c r="AR162" s="31">
        <v>1.5</v>
      </c>
      <c r="AS162" s="31">
        <v>1.5</v>
      </c>
      <c r="AT162" s="31">
        <v>7</v>
      </c>
      <c r="AU162" s="43">
        <v>7.0999999999999994E-2</v>
      </c>
      <c r="AV162" s="44">
        <v>0.28000000000000003</v>
      </c>
      <c r="AW162" s="43">
        <v>1.7999999999999999E-2</v>
      </c>
      <c r="AX162" s="44">
        <v>0.13</v>
      </c>
      <c r="AY162" s="44">
        <v>7.081758249007474</v>
      </c>
      <c r="AZ162" s="46">
        <v>0.5</v>
      </c>
      <c r="BA162" s="44">
        <v>0.72</v>
      </c>
      <c r="BB162" s="47">
        <v>1</v>
      </c>
      <c r="BC162" s="46">
        <v>3.3197225366043677</v>
      </c>
      <c r="BD162" s="47">
        <v>24.127673726603245</v>
      </c>
      <c r="BE162" s="47">
        <v>72.552603736792392</v>
      </c>
      <c r="BF162" s="125">
        <v>1</v>
      </c>
      <c r="BG162" s="48">
        <f t="shared" si="146"/>
        <v>4.10666191750761E-3</v>
      </c>
      <c r="BH162" s="48">
        <f t="shared" si="147"/>
        <v>4.10666191750761E-3</v>
      </c>
      <c r="BI162" s="99">
        <f t="shared" si="148"/>
        <v>1.3632978117764921E-4</v>
      </c>
      <c r="BJ162" s="99">
        <f t="shared" si="149"/>
        <v>9.9084198851090454E-4</v>
      </c>
      <c r="BK162" s="48">
        <f t="shared" si="150"/>
        <v>2.979490147819056E-3</v>
      </c>
      <c r="BL162" s="99">
        <f t="shared" si="125"/>
        <v>1.9238352196370134E-4</v>
      </c>
      <c r="BM162" s="48">
        <f t="shared" si="126"/>
        <v>1.012051664738391E-3</v>
      </c>
      <c r="BN162" s="48">
        <f t="shared" si="127"/>
        <v>1.4862629827663569E-3</v>
      </c>
      <c r="BO162" s="48">
        <f t="shared" si="128"/>
        <v>4.4692352217285836E-3</v>
      </c>
      <c r="BP162" s="99">
        <f t="shared" si="129"/>
        <v>2.8857528294555203E-4</v>
      </c>
      <c r="BQ162" s="48">
        <f t="shared" si="130"/>
        <v>1.5180774971075867E-3</v>
      </c>
      <c r="BR162" s="40">
        <f t="shared" si="131"/>
        <v>0.27447396263207607</v>
      </c>
      <c r="BS162" s="31">
        <v>1.5</v>
      </c>
      <c r="BT162" s="31">
        <v>1.5</v>
      </c>
      <c r="BU162" s="43">
        <v>0.125</v>
      </c>
      <c r="BV162" s="44">
        <v>0.42</v>
      </c>
      <c r="BW162" s="43">
        <v>2.3E-2</v>
      </c>
      <c r="BX162" s="44">
        <v>0.2</v>
      </c>
      <c r="BY162" s="44">
        <v>17.493153787299189</v>
      </c>
      <c r="BZ162" s="44">
        <v>0.52</v>
      </c>
      <c r="CA162" s="44">
        <v>0.65</v>
      </c>
      <c r="CB162" s="47">
        <v>1</v>
      </c>
      <c r="CC162" s="46">
        <v>0.82393172144641647</v>
      </c>
      <c r="CD162" s="46">
        <v>23.031994076959833</v>
      </c>
      <c r="CE162" s="46">
        <v>76.144074201593753</v>
      </c>
      <c r="CF162" s="125">
        <v>1</v>
      </c>
      <c r="CG162" s="40">
        <f t="shared" si="151"/>
        <v>2.2978858060757872E-2</v>
      </c>
      <c r="CH162" s="40">
        <f t="shared" si="152"/>
        <v>2.2978858060757872E-2</v>
      </c>
      <c r="CI162" s="99">
        <f t="shared" si="153"/>
        <v>1.8933010078873096E-4</v>
      </c>
      <c r="CJ162" s="100">
        <f t="shared" si="154"/>
        <v>5.29248922750676E-3</v>
      </c>
      <c r="CK162" s="100">
        <f t="shared" si="155"/>
        <v>1.7497038732462382E-2</v>
      </c>
      <c r="CL162" s="101">
        <f t="shared" si="132"/>
        <v>8.9668673613238611E-4</v>
      </c>
      <c r="CM162" s="100">
        <f t="shared" si="133"/>
        <v>4.6886266085969935E-3</v>
      </c>
      <c r="CN162" s="100">
        <f t="shared" si="134"/>
        <v>7.9387338412601396E-3</v>
      </c>
      <c r="CO162" s="100">
        <f t="shared" si="135"/>
        <v>2.6245558098693573E-2</v>
      </c>
      <c r="CP162" s="101">
        <f t="shared" si="136"/>
        <v>1.3450301041985791E-3</v>
      </c>
      <c r="CQ162" s="100">
        <f t="shared" si="137"/>
        <v>7.0329399128954903E-3</v>
      </c>
      <c r="CR162" s="99">
        <f t="shared" si="138"/>
        <v>0.23855925798406249</v>
      </c>
      <c r="CS162" s="31">
        <v>1.5</v>
      </c>
      <c r="CT162" s="31">
        <v>1.5</v>
      </c>
      <c r="CU162" s="43">
        <v>0.1</v>
      </c>
      <c r="CV162" s="44">
        <v>0.39</v>
      </c>
      <c r="CW162" s="43">
        <v>2.1000000000000001E-2</v>
      </c>
      <c r="CX162" s="44">
        <v>0.15</v>
      </c>
    </row>
    <row r="163" spans="1:102" s="27" customFormat="1" x14ac:dyDescent="0.25">
      <c r="A163" s="31">
        <v>149</v>
      </c>
      <c r="B163" s="84" t="s">
        <v>91</v>
      </c>
      <c r="C163" s="19">
        <v>50</v>
      </c>
      <c r="D163" s="31" t="s">
        <v>36</v>
      </c>
      <c r="E163" s="31" t="s">
        <v>5</v>
      </c>
      <c r="F163" s="19" t="s">
        <v>63</v>
      </c>
      <c r="G163" s="31" t="str">
        <f t="shared" si="139"/>
        <v>Kommunal 50 M 4L ES</v>
      </c>
      <c r="H163" s="48">
        <f t="shared" si="105"/>
        <v>8.0359010664237021E-2</v>
      </c>
      <c r="I163" s="40">
        <f t="shared" si="106"/>
        <v>0.10183915112255981</v>
      </c>
      <c r="J163" s="99">
        <f t="shared" si="107"/>
        <v>3.256598819663802E-4</v>
      </c>
      <c r="K163" s="48">
        <f t="shared" si="108"/>
        <v>1.4417060323539149E-2</v>
      </c>
      <c r="L163" s="48">
        <f t="shared" si="109"/>
        <v>8.7096430917054268E-2</v>
      </c>
      <c r="M163" s="48">
        <f t="shared" si="140"/>
        <v>0.31868653277304426</v>
      </c>
      <c r="N163" s="99">
        <f t="shared" si="110"/>
        <v>2.8657232613920241E-3</v>
      </c>
      <c r="O163" s="48">
        <f t="shared" si="111"/>
        <v>1.663870968822187E-2</v>
      </c>
      <c r="P163" s="48">
        <f t="shared" si="112"/>
        <v>2.1625590485308724E-2</v>
      </c>
      <c r="Q163" s="48">
        <f t="shared" si="113"/>
        <v>0.13064464637558143</v>
      </c>
      <c r="R163" s="40">
        <f t="shared" si="141"/>
        <v>2.2308057294113097</v>
      </c>
      <c r="S163" s="99">
        <f t="shared" si="114"/>
        <v>4.2985848920880365E-3</v>
      </c>
      <c r="T163" s="48">
        <f t="shared" si="115"/>
        <v>2.4958064532332808E-2</v>
      </c>
      <c r="U163" s="44">
        <v>3.415896</v>
      </c>
      <c r="V163" s="44">
        <v>1.2</v>
      </c>
      <c r="W163" s="19">
        <v>0.2</v>
      </c>
      <c r="X163" s="44">
        <v>1.4032050496735919</v>
      </c>
      <c r="Y163" s="46">
        <v>0</v>
      </c>
      <c r="Z163" s="46">
        <v>10.88071439877112</v>
      </c>
      <c r="AA163" s="46">
        <v>89.119285601228881</v>
      </c>
      <c r="AB163" s="46">
        <v>4.2631578947368425</v>
      </c>
      <c r="AC163" s="125">
        <v>1</v>
      </c>
      <c r="AD163" s="94">
        <f t="shared" si="142"/>
        <v>5.3273490685971536E-2</v>
      </c>
      <c r="AE163" s="94">
        <f t="shared" si="143"/>
        <v>7.4753631144294327E-2</v>
      </c>
      <c r="AF163" s="96">
        <f t="shared" si="116"/>
        <v>0</v>
      </c>
      <c r="AG163" s="95">
        <f t="shared" si="156"/>
        <v>8.1337291075214858E-3</v>
      </c>
      <c r="AH163" s="94">
        <f t="shared" si="144"/>
        <v>6.6619902036772843E-2</v>
      </c>
      <c r="AI163" s="94">
        <f t="shared" si="145"/>
        <v>0.31868653277304426</v>
      </c>
      <c r="AJ163" s="96">
        <f t="shared" si="117"/>
        <v>1.7766530032959364E-3</v>
      </c>
      <c r="AK163" s="95">
        <f t="shared" si="118"/>
        <v>1.0938031414886485E-2</v>
      </c>
      <c r="AL163" s="95">
        <f t="shared" si="119"/>
        <v>1.220059366128223E-2</v>
      </c>
      <c r="AM163" s="94">
        <f t="shared" si="120"/>
        <v>9.9929853055159265E-2</v>
      </c>
      <c r="AN163" s="93">
        <f t="shared" si="121"/>
        <v>2.2308057294113097</v>
      </c>
      <c r="AO163" s="96">
        <f t="shared" si="122"/>
        <v>2.6649795049439049E-3</v>
      </c>
      <c r="AP163" s="95">
        <f t="shared" si="123"/>
        <v>1.6407047122329731E-2</v>
      </c>
      <c r="AQ163" s="93">
        <f t="shared" si="124"/>
        <v>0.10880714398771121</v>
      </c>
      <c r="AR163" s="31">
        <v>1.5</v>
      </c>
      <c r="AS163" s="31">
        <v>1.5</v>
      </c>
      <c r="AT163" s="31">
        <v>7</v>
      </c>
      <c r="AU163" s="43">
        <v>7.0999999999999994E-2</v>
      </c>
      <c r="AV163" s="44">
        <v>0.28000000000000003</v>
      </c>
      <c r="AW163" s="43">
        <v>1.7999999999999999E-2</v>
      </c>
      <c r="AX163" s="44">
        <v>0.13</v>
      </c>
      <c r="AY163" s="44">
        <v>7.081758249007474</v>
      </c>
      <c r="AZ163" s="46">
        <v>0.5</v>
      </c>
      <c r="BA163" s="44">
        <v>0.72</v>
      </c>
      <c r="BB163" s="47">
        <v>1</v>
      </c>
      <c r="BC163" s="46">
        <v>3.3197225366043677</v>
      </c>
      <c r="BD163" s="47">
        <v>24.127673726603245</v>
      </c>
      <c r="BE163" s="47">
        <v>72.552603736792392</v>
      </c>
      <c r="BF163" s="125">
        <v>1</v>
      </c>
      <c r="BG163" s="48">
        <f t="shared" si="146"/>
        <v>4.10666191750761E-3</v>
      </c>
      <c r="BH163" s="48">
        <f t="shared" si="147"/>
        <v>4.10666191750761E-3</v>
      </c>
      <c r="BI163" s="99">
        <f t="shared" si="148"/>
        <v>1.3632978117764921E-4</v>
      </c>
      <c r="BJ163" s="99">
        <f t="shared" si="149"/>
        <v>9.9084198851090454E-4</v>
      </c>
      <c r="BK163" s="48">
        <f t="shared" si="150"/>
        <v>2.979490147819056E-3</v>
      </c>
      <c r="BL163" s="99">
        <f t="shared" si="125"/>
        <v>1.9238352196370134E-4</v>
      </c>
      <c r="BM163" s="48">
        <f t="shared" si="126"/>
        <v>1.012051664738391E-3</v>
      </c>
      <c r="BN163" s="48">
        <f t="shared" si="127"/>
        <v>1.4862629827663569E-3</v>
      </c>
      <c r="BO163" s="48">
        <f t="shared" si="128"/>
        <v>4.4692352217285836E-3</v>
      </c>
      <c r="BP163" s="99">
        <f t="shared" si="129"/>
        <v>2.8857528294555203E-4</v>
      </c>
      <c r="BQ163" s="48">
        <f t="shared" si="130"/>
        <v>1.5180774971075867E-3</v>
      </c>
      <c r="BR163" s="40">
        <f t="shared" si="131"/>
        <v>0.27447396263207607</v>
      </c>
      <c r="BS163" s="31">
        <v>1.5</v>
      </c>
      <c r="BT163" s="31">
        <v>1.5</v>
      </c>
      <c r="BU163" s="43">
        <v>0.125</v>
      </c>
      <c r="BV163" s="44">
        <v>0.42</v>
      </c>
      <c r="BW163" s="43">
        <v>2.3E-2</v>
      </c>
      <c r="BX163" s="44">
        <v>0.2</v>
      </c>
      <c r="BY163" s="44">
        <v>17.493153787299189</v>
      </c>
      <c r="BZ163" s="44">
        <v>0.52</v>
      </c>
      <c r="CA163" s="44">
        <v>0.65</v>
      </c>
      <c r="CB163" s="47">
        <v>1</v>
      </c>
      <c r="CC163" s="46">
        <v>0.82393172144641647</v>
      </c>
      <c r="CD163" s="46">
        <v>23.031994076959833</v>
      </c>
      <c r="CE163" s="46">
        <v>76.144074201593753</v>
      </c>
      <c r="CF163" s="125">
        <v>1</v>
      </c>
      <c r="CG163" s="40">
        <f t="shared" si="151"/>
        <v>2.2978858060757872E-2</v>
      </c>
      <c r="CH163" s="40">
        <f t="shared" si="152"/>
        <v>2.2978858060757872E-2</v>
      </c>
      <c r="CI163" s="99">
        <f t="shared" si="153"/>
        <v>1.8933010078873096E-4</v>
      </c>
      <c r="CJ163" s="100">
        <f t="shared" si="154"/>
        <v>5.29248922750676E-3</v>
      </c>
      <c r="CK163" s="100">
        <f t="shared" si="155"/>
        <v>1.7497038732462382E-2</v>
      </c>
      <c r="CL163" s="101">
        <f t="shared" si="132"/>
        <v>8.9668673613238611E-4</v>
      </c>
      <c r="CM163" s="100">
        <f t="shared" si="133"/>
        <v>4.6886266085969935E-3</v>
      </c>
      <c r="CN163" s="100">
        <f t="shared" si="134"/>
        <v>7.9387338412601396E-3</v>
      </c>
      <c r="CO163" s="100">
        <f t="shared" si="135"/>
        <v>2.6245558098693573E-2</v>
      </c>
      <c r="CP163" s="101">
        <f t="shared" si="136"/>
        <v>1.3450301041985791E-3</v>
      </c>
      <c r="CQ163" s="100">
        <f t="shared" si="137"/>
        <v>7.0329399128954903E-3</v>
      </c>
      <c r="CR163" s="99">
        <f t="shared" si="138"/>
        <v>0.23855925798406249</v>
      </c>
      <c r="CS163" s="31">
        <v>1.5</v>
      </c>
      <c r="CT163" s="31">
        <v>1.5</v>
      </c>
      <c r="CU163" s="43">
        <v>0.1</v>
      </c>
      <c r="CV163" s="44">
        <v>0.39</v>
      </c>
      <c r="CW163" s="43">
        <v>2.1000000000000001E-2</v>
      </c>
      <c r="CX163" s="44">
        <v>0.15</v>
      </c>
    </row>
    <row r="164" spans="1:102" s="27" customFormat="1" x14ac:dyDescent="0.25">
      <c r="A164" s="31">
        <v>150</v>
      </c>
      <c r="B164" s="84" t="s">
        <v>91</v>
      </c>
      <c r="C164" s="19">
        <v>50</v>
      </c>
      <c r="D164" s="31" t="s">
        <v>36</v>
      </c>
      <c r="E164" s="31" t="s">
        <v>5</v>
      </c>
      <c r="F164" s="19" t="s">
        <v>64</v>
      </c>
      <c r="G164" s="31" t="str">
        <f t="shared" si="139"/>
        <v>Kommunal 50 M 4L F</v>
      </c>
      <c r="H164" s="48">
        <f t="shared" si="105"/>
        <v>3.638742029792616E-2</v>
      </c>
      <c r="I164" s="40">
        <f t="shared" si="106"/>
        <v>4.1705250505647926E-2</v>
      </c>
      <c r="J164" s="99">
        <f t="shared" si="107"/>
        <v>4.4483305328640974E-4</v>
      </c>
      <c r="K164" s="48">
        <f t="shared" si="108"/>
        <v>8.2821345424561252E-3</v>
      </c>
      <c r="L164" s="48">
        <f t="shared" si="109"/>
        <v>3.2978282909905385E-2</v>
      </c>
      <c r="M164" s="48">
        <f t="shared" si="140"/>
        <v>8.2845139655167169E-2</v>
      </c>
      <c r="N164" s="99">
        <f t="shared" si="110"/>
        <v>1.4560168668064492E-3</v>
      </c>
      <c r="O164" s="48">
        <f t="shared" si="111"/>
        <v>7.8855712285892665E-3</v>
      </c>
      <c r="P164" s="48">
        <f t="shared" si="112"/>
        <v>1.2423201813684186E-2</v>
      </c>
      <c r="Q164" s="48">
        <f t="shared" si="113"/>
        <v>4.9467424364858084E-2</v>
      </c>
      <c r="R164" s="40">
        <f t="shared" si="141"/>
        <v>0.57991597758617019</v>
      </c>
      <c r="S164" s="99">
        <f t="shared" si="114"/>
        <v>2.1840253002096736E-3</v>
      </c>
      <c r="T164" s="48">
        <f t="shared" si="115"/>
        <v>1.18283568428839E-2</v>
      </c>
      <c r="U164" s="44">
        <v>0.14077800000000004</v>
      </c>
      <c r="V164" s="19">
        <v>1.45</v>
      </c>
      <c r="W164" s="19">
        <v>0.5</v>
      </c>
      <c r="X164" s="44">
        <v>1.5716928826340886</v>
      </c>
      <c r="Y164" s="46">
        <v>0.81515299544557829</v>
      </c>
      <c r="Z164" s="46">
        <v>13.671957377700943</v>
      </c>
      <c r="AA164" s="46">
        <v>85.512889626853479</v>
      </c>
      <c r="AB164" s="46">
        <v>5.6666666666666661</v>
      </c>
      <c r="AC164" s="125">
        <v>1</v>
      </c>
      <c r="AD164" s="94">
        <f t="shared" si="142"/>
        <v>9.30190031966068E-3</v>
      </c>
      <c r="AE164" s="94">
        <f t="shared" si="143"/>
        <v>1.4619730527382444E-2</v>
      </c>
      <c r="AF164" s="96">
        <f t="shared" si="116"/>
        <v>1.1917317132002962E-4</v>
      </c>
      <c r="AG164" s="95">
        <f t="shared" si="156"/>
        <v>1.9988033264384613E-3</v>
      </c>
      <c r="AH164" s="94">
        <f t="shared" si="144"/>
        <v>1.2501754029623953E-2</v>
      </c>
      <c r="AI164" s="94">
        <f t="shared" si="145"/>
        <v>8.2845139655167169E-2</v>
      </c>
      <c r="AJ164" s="96">
        <f t="shared" si="117"/>
        <v>3.6694660871036189E-4</v>
      </c>
      <c r="AK164" s="95">
        <f t="shared" si="118"/>
        <v>2.1848929552538828E-3</v>
      </c>
      <c r="AL164" s="95">
        <f t="shared" si="119"/>
        <v>2.9982049896576917E-3</v>
      </c>
      <c r="AM164" s="94">
        <f t="shared" si="120"/>
        <v>1.8752631044435929E-2</v>
      </c>
      <c r="AN164" s="93">
        <f t="shared" si="121"/>
        <v>0.57991597758617019</v>
      </c>
      <c r="AO164" s="96">
        <f t="shared" si="122"/>
        <v>5.5041991306554279E-4</v>
      </c>
      <c r="AP164" s="95">
        <f t="shared" si="123"/>
        <v>3.2773394328808247E-3</v>
      </c>
      <c r="AQ164" s="93">
        <f t="shared" si="124"/>
        <v>0.14487110373146522</v>
      </c>
      <c r="AR164" s="31">
        <v>1.5</v>
      </c>
      <c r="AS164" s="31">
        <v>1.5</v>
      </c>
      <c r="AT164" s="31">
        <v>7</v>
      </c>
      <c r="AU164" s="43">
        <v>7.0999999999999994E-2</v>
      </c>
      <c r="AV164" s="44">
        <v>0.28000000000000003</v>
      </c>
      <c r="AW164" s="43">
        <v>1.7999999999999999E-2</v>
      </c>
      <c r="AX164" s="44">
        <v>0.13</v>
      </c>
      <c r="AY164" s="44">
        <v>7.0817582490074731</v>
      </c>
      <c r="AZ164" s="46">
        <v>0.5</v>
      </c>
      <c r="BA164" s="44">
        <v>0.72</v>
      </c>
      <c r="BB164" s="47">
        <v>1</v>
      </c>
      <c r="BC164" s="46">
        <v>3.3197225366043677</v>
      </c>
      <c r="BD164" s="47">
        <v>24.127673726603245</v>
      </c>
      <c r="BE164" s="47">
        <v>72.552603736792392</v>
      </c>
      <c r="BF164" s="125">
        <v>1</v>
      </c>
      <c r="BG164" s="48">
        <f t="shared" si="146"/>
        <v>4.1066619175076091E-3</v>
      </c>
      <c r="BH164" s="48">
        <f t="shared" si="147"/>
        <v>4.1066619175076091E-3</v>
      </c>
      <c r="BI164" s="99">
        <f t="shared" si="148"/>
        <v>1.3632978117764915E-4</v>
      </c>
      <c r="BJ164" s="99">
        <f t="shared" si="149"/>
        <v>9.9084198851090454E-4</v>
      </c>
      <c r="BK164" s="48">
        <f t="shared" si="150"/>
        <v>2.9794901478190556E-3</v>
      </c>
      <c r="BL164" s="99">
        <f t="shared" si="125"/>
        <v>1.9238352196370134E-4</v>
      </c>
      <c r="BM164" s="48">
        <f t="shared" si="126"/>
        <v>1.012051664738391E-3</v>
      </c>
      <c r="BN164" s="48">
        <f t="shared" si="127"/>
        <v>1.4862629827663569E-3</v>
      </c>
      <c r="BO164" s="48">
        <f t="shared" si="128"/>
        <v>4.4692352217285836E-3</v>
      </c>
      <c r="BP164" s="99">
        <f t="shared" si="129"/>
        <v>2.8857528294555203E-4</v>
      </c>
      <c r="BQ164" s="48">
        <f t="shared" si="130"/>
        <v>1.5180774971075867E-3</v>
      </c>
      <c r="BR164" s="40">
        <f t="shared" si="131"/>
        <v>0.27447396263207618</v>
      </c>
      <c r="BS164" s="31">
        <v>1.5</v>
      </c>
      <c r="BT164" s="31">
        <v>1.5</v>
      </c>
      <c r="BU164" s="43">
        <v>0.125</v>
      </c>
      <c r="BV164" s="44">
        <v>0.42</v>
      </c>
      <c r="BW164" s="43">
        <v>2.3E-2</v>
      </c>
      <c r="BX164" s="44">
        <v>0.2</v>
      </c>
      <c r="BY164" s="44">
        <v>17.493153787299185</v>
      </c>
      <c r="BZ164" s="44">
        <v>0.52</v>
      </c>
      <c r="CA164" s="44">
        <v>0.65</v>
      </c>
      <c r="CB164" s="47">
        <v>1</v>
      </c>
      <c r="CC164" s="46">
        <v>0.82393172144641669</v>
      </c>
      <c r="CD164" s="46">
        <v>23.03199407695983</v>
      </c>
      <c r="CE164" s="46">
        <v>76.144074201593753</v>
      </c>
      <c r="CF164" s="125">
        <v>1</v>
      </c>
      <c r="CG164" s="40">
        <f t="shared" si="151"/>
        <v>2.2978858060757869E-2</v>
      </c>
      <c r="CH164" s="40">
        <f t="shared" si="152"/>
        <v>2.2978858060757869E-2</v>
      </c>
      <c r="CI164" s="99">
        <f t="shared" si="153"/>
        <v>1.8933010078873099E-4</v>
      </c>
      <c r="CJ164" s="100">
        <f t="shared" si="154"/>
        <v>5.2924892275067591E-3</v>
      </c>
      <c r="CK164" s="100">
        <f t="shared" si="155"/>
        <v>1.7497038732462378E-2</v>
      </c>
      <c r="CL164" s="101">
        <f t="shared" si="132"/>
        <v>8.96686736132386E-4</v>
      </c>
      <c r="CM164" s="100">
        <f t="shared" si="133"/>
        <v>4.6886266085969927E-3</v>
      </c>
      <c r="CN164" s="100">
        <f t="shared" si="134"/>
        <v>7.9387338412601378E-3</v>
      </c>
      <c r="CO164" s="100">
        <f t="shared" si="135"/>
        <v>2.6245558098693569E-2</v>
      </c>
      <c r="CP164" s="101">
        <f t="shared" si="136"/>
        <v>1.3450301041985787E-3</v>
      </c>
      <c r="CQ164" s="100">
        <f t="shared" si="137"/>
        <v>7.0329399128954886E-3</v>
      </c>
      <c r="CR164" s="99">
        <f t="shared" si="138"/>
        <v>0.23855925798406249</v>
      </c>
      <c r="CS164" s="31">
        <v>1.5</v>
      </c>
      <c r="CT164" s="31">
        <v>1.5</v>
      </c>
      <c r="CU164" s="43">
        <v>0.1</v>
      </c>
      <c r="CV164" s="44">
        <v>0.39</v>
      </c>
      <c r="CW164" s="43">
        <v>2.1000000000000001E-2</v>
      </c>
      <c r="CX164" s="44">
        <v>0.15</v>
      </c>
    </row>
    <row r="165" spans="1:102" s="27" customFormat="1" x14ac:dyDescent="0.25">
      <c r="A165" s="31">
        <v>151</v>
      </c>
      <c r="B165" s="84" t="s">
        <v>91</v>
      </c>
      <c r="C165" s="19">
        <v>50</v>
      </c>
      <c r="D165" s="31" t="s">
        <v>36</v>
      </c>
      <c r="E165" s="31" t="s">
        <v>6</v>
      </c>
      <c r="F165" s="19" t="s">
        <v>12</v>
      </c>
      <c r="G165" s="31" t="str">
        <f t="shared" si="139"/>
        <v>Kommunal 50 Y 4L A</v>
      </c>
      <c r="H165" s="48">
        <f t="shared" si="105"/>
        <v>8.9216183962090023E-2</v>
      </c>
      <c r="I165" s="40">
        <f t="shared" si="106"/>
        <v>0.11199207093866688</v>
      </c>
      <c r="J165" s="99">
        <f t="shared" si="107"/>
        <v>1.7186590558193658E-3</v>
      </c>
      <c r="K165" s="48">
        <f t="shared" si="108"/>
        <v>2.1080368636456147E-2</v>
      </c>
      <c r="L165" s="48">
        <f t="shared" si="109"/>
        <v>8.9193043246391365E-2</v>
      </c>
      <c r="M165" s="48">
        <f t="shared" si="140"/>
        <v>0.19811528557426994</v>
      </c>
      <c r="N165" s="99">
        <f t="shared" si="110"/>
        <v>3.3765571735371981E-3</v>
      </c>
      <c r="O165" s="48">
        <f t="shared" si="111"/>
        <v>1.877699561865245E-2</v>
      </c>
      <c r="P165" s="48">
        <f t="shared" si="112"/>
        <v>3.1620552954684217E-2</v>
      </c>
      <c r="Q165" s="48">
        <f t="shared" si="113"/>
        <v>0.13378956486958704</v>
      </c>
      <c r="R165" s="40">
        <f t="shared" si="141"/>
        <v>1.3868069990198895</v>
      </c>
      <c r="S165" s="99">
        <f t="shared" si="114"/>
        <v>5.0648357603057968E-3</v>
      </c>
      <c r="T165" s="48">
        <f t="shared" si="115"/>
        <v>2.8165493427978673E-2</v>
      </c>
      <c r="U165" s="44">
        <v>1.1713680000000004</v>
      </c>
      <c r="V165" s="19">
        <v>1.45</v>
      </c>
      <c r="W165" s="46">
        <v>0.6</v>
      </c>
      <c r="X165" s="44">
        <v>1.3665804534538124</v>
      </c>
      <c r="Y165" s="46">
        <v>1.6406262627516817</v>
      </c>
      <c r="Z165" s="46">
        <v>17.427439052776393</v>
      </c>
      <c r="AA165" s="46">
        <v>80.931934684471912</v>
      </c>
      <c r="AB165" s="46">
        <v>2.333333333333333</v>
      </c>
      <c r="AC165" s="125">
        <v>1</v>
      </c>
      <c r="AD165" s="94">
        <f t="shared" si="142"/>
        <v>6.2130663983824552E-2</v>
      </c>
      <c r="AE165" s="94">
        <f t="shared" si="143"/>
        <v>8.4906550960401408E-2</v>
      </c>
      <c r="AF165" s="96">
        <f t="shared" si="116"/>
        <v>1.3929991738529856E-3</v>
      </c>
      <c r="AG165" s="95">
        <f t="shared" si="156"/>
        <v>1.4797037420438483E-2</v>
      </c>
      <c r="AH165" s="94">
        <f t="shared" si="144"/>
        <v>6.8716514366109926E-2</v>
      </c>
      <c r="AI165" s="94">
        <f t="shared" si="145"/>
        <v>0.19811528557426994</v>
      </c>
      <c r="AJ165" s="96">
        <f t="shared" si="117"/>
        <v>2.287486915441111E-3</v>
      </c>
      <c r="AK165" s="95">
        <f t="shared" si="118"/>
        <v>1.3076317345317067E-2</v>
      </c>
      <c r="AL165" s="95">
        <f t="shared" si="119"/>
        <v>2.2195556130657726E-2</v>
      </c>
      <c r="AM165" s="94">
        <f t="shared" si="120"/>
        <v>0.10307477154916489</v>
      </c>
      <c r="AN165" s="93">
        <f t="shared" si="121"/>
        <v>1.3868069990198895</v>
      </c>
      <c r="AO165" s="96">
        <f t="shared" si="122"/>
        <v>3.431230373161666E-3</v>
      </c>
      <c r="AP165" s="95">
        <f t="shared" si="123"/>
        <v>1.9614476017975599E-2</v>
      </c>
      <c r="AQ165" s="93">
        <f t="shared" si="124"/>
        <v>0.19068065315528071</v>
      </c>
      <c r="AR165" s="31">
        <v>1.5</v>
      </c>
      <c r="AS165" s="31">
        <v>1.5</v>
      </c>
      <c r="AT165" s="31">
        <v>7</v>
      </c>
      <c r="AU165" s="43">
        <v>7.0999999999999994E-2</v>
      </c>
      <c r="AV165" s="44">
        <v>0.28000000000000003</v>
      </c>
      <c r="AW165" s="43">
        <v>1.7999999999999999E-2</v>
      </c>
      <c r="AX165" s="44">
        <v>0.13</v>
      </c>
      <c r="AY165" s="44">
        <v>7.0817582490074757</v>
      </c>
      <c r="AZ165" s="46">
        <v>0.5</v>
      </c>
      <c r="BA165" s="44">
        <v>0.72</v>
      </c>
      <c r="BB165" s="47">
        <v>1</v>
      </c>
      <c r="BC165" s="46">
        <v>3.3197225366043672</v>
      </c>
      <c r="BD165" s="47">
        <v>24.127673726603241</v>
      </c>
      <c r="BE165" s="47">
        <v>72.552603736792392</v>
      </c>
      <c r="BF165" s="125">
        <v>1</v>
      </c>
      <c r="BG165" s="48">
        <f t="shared" si="146"/>
        <v>4.1066619175076109E-3</v>
      </c>
      <c r="BH165" s="48">
        <f t="shared" si="147"/>
        <v>4.1066619175076109E-3</v>
      </c>
      <c r="BI165" s="99">
        <f t="shared" si="148"/>
        <v>1.3632978117764921E-4</v>
      </c>
      <c r="BJ165" s="99">
        <f t="shared" si="149"/>
        <v>9.9084198851090476E-4</v>
      </c>
      <c r="BK165" s="48">
        <f t="shared" si="150"/>
        <v>2.9794901478190573E-3</v>
      </c>
      <c r="BL165" s="99">
        <f t="shared" si="125"/>
        <v>1.9238352196370142E-4</v>
      </c>
      <c r="BM165" s="48">
        <f t="shared" si="126"/>
        <v>1.0120516647383914E-3</v>
      </c>
      <c r="BN165" s="48">
        <f t="shared" si="127"/>
        <v>1.4862629827663571E-3</v>
      </c>
      <c r="BO165" s="48">
        <f t="shared" si="128"/>
        <v>4.4692352217285862E-3</v>
      </c>
      <c r="BP165" s="99">
        <f t="shared" si="129"/>
        <v>2.8857528294555214E-4</v>
      </c>
      <c r="BQ165" s="48">
        <f t="shared" si="130"/>
        <v>1.5180774971075874E-3</v>
      </c>
      <c r="BR165" s="40">
        <f t="shared" si="131"/>
        <v>0.27447396263207607</v>
      </c>
      <c r="BS165" s="31">
        <v>1.5</v>
      </c>
      <c r="BT165" s="31">
        <v>1.5</v>
      </c>
      <c r="BU165" s="43">
        <v>0.125</v>
      </c>
      <c r="BV165" s="44">
        <v>0.42</v>
      </c>
      <c r="BW165" s="43">
        <v>2.3E-2</v>
      </c>
      <c r="BX165" s="44">
        <v>0.2</v>
      </c>
      <c r="BY165" s="44">
        <v>17.493153787299182</v>
      </c>
      <c r="BZ165" s="44">
        <v>0.52</v>
      </c>
      <c r="CA165" s="44">
        <v>0.65</v>
      </c>
      <c r="CB165" s="47">
        <v>1</v>
      </c>
      <c r="CC165" s="46">
        <v>0.8239317214464168</v>
      </c>
      <c r="CD165" s="46">
        <v>23.031994076959837</v>
      </c>
      <c r="CE165" s="46">
        <v>76.144074201593753</v>
      </c>
      <c r="CF165" s="125">
        <v>1</v>
      </c>
      <c r="CG165" s="40">
        <f t="shared" si="151"/>
        <v>2.2978858060757865E-2</v>
      </c>
      <c r="CH165" s="40">
        <f t="shared" si="152"/>
        <v>2.2978858060757865E-2</v>
      </c>
      <c r="CI165" s="99">
        <f t="shared" si="153"/>
        <v>1.8933010078873099E-4</v>
      </c>
      <c r="CJ165" s="100">
        <f t="shared" si="154"/>
        <v>5.2924892275067591E-3</v>
      </c>
      <c r="CK165" s="100">
        <f t="shared" si="155"/>
        <v>1.7497038732462375E-2</v>
      </c>
      <c r="CL165" s="101">
        <f t="shared" si="132"/>
        <v>8.9668673613238579E-4</v>
      </c>
      <c r="CM165" s="100">
        <f t="shared" si="133"/>
        <v>4.6886266085969918E-3</v>
      </c>
      <c r="CN165" s="100">
        <f t="shared" si="134"/>
        <v>7.9387338412601378E-3</v>
      </c>
      <c r="CO165" s="100">
        <f t="shared" si="135"/>
        <v>2.6245558098693562E-2</v>
      </c>
      <c r="CP165" s="101">
        <f t="shared" si="136"/>
        <v>1.3450301041985787E-3</v>
      </c>
      <c r="CQ165" s="100">
        <f t="shared" si="137"/>
        <v>7.0329399128954886E-3</v>
      </c>
      <c r="CR165" s="99">
        <f t="shared" si="138"/>
        <v>0.23855925798406252</v>
      </c>
      <c r="CS165" s="31">
        <v>1.5</v>
      </c>
      <c r="CT165" s="31">
        <v>1.5</v>
      </c>
      <c r="CU165" s="43">
        <v>0.1</v>
      </c>
      <c r="CV165" s="44">
        <v>0.39</v>
      </c>
      <c r="CW165" s="43">
        <v>2.1000000000000001E-2</v>
      </c>
      <c r="CX165" s="44">
        <v>0.15</v>
      </c>
    </row>
    <row r="166" spans="1:102" s="27" customFormat="1" x14ac:dyDescent="0.25">
      <c r="A166" s="31">
        <v>152</v>
      </c>
      <c r="B166" s="84" t="s">
        <v>91</v>
      </c>
      <c r="C166" s="19">
        <v>50</v>
      </c>
      <c r="D166" s="31" t="s">
        <v>36</v>
      </c>
      <c r="E166" s="31" t="s">
        <v>6</v>
      </c>
      <c r="F166" s="19" t="s">
        <v>13</v>
      </c>
      <c r="G166" s="31" t="str">
        <f t="shared" si="139"/>
        <v>Kommunal 50 Y 4L B</v>
      </c>
      <c r="H166" s="48">
        <f t="shared" si="105"/>
        <v>8.6109650762898782E-2</v>
      </c>
      <c r="I166" s="40">
        <f t="shared" si="106"/>
        <v>0.1077467433906468</v>
      </c>
      <c r="J166" s="99">
        <f t="shared" si="107"/>
        <v>1.6490090971267165E-3</v>
      </c>
      <c r="K166" s="48">
        <f t="shared" si="108"/>
        <v>2.0340516765434219E-2</v>
      </c>
      <c r="L166" s="48">
        <f t="shared" si="109"/>
        <v>8.5757217528085863E-2</v>
      </c>
      <c r="M166" s="48">
        <f t="shared" si="140"/>
        <v>0.1882095212955564</v>
      </c>
      <c r="N166" s="99">
        <f t="shared" si="110"/>
        <v>3.2621828277651422E-3</v>
      </c>
      <c r="O166" s="48">
        <f t="shared" si="111"/>
        <v>1.8123179751386595E-2</v>
      </c>
      <c r="P166" s="48">
        <f t="shared" si="112"/>
        <v>3.0510775148151332E-2</v>
      </c>
      <c r="Q166" s="48">
        <f t="shared" si="113"/>
        <v>0.12863582629212877</v>
      </c>
      <c r="R166" s="40">
        <f t="shared" si="141"/>
        <v>1.3174666490688949</v>
      </c>
      <c r="S166" s="99">
        <f t="shared" si="114"/>
        <v>4.8932742416477135E-3</v>
      </c>
      <c r="T166" s="48">
        <f t="shared" si="115"/>
        <v>2.7184769627079892E-2</v>
      </c>
      <c r="U166" s="44">
        <v>1.1127996000000002</v>
      </c>
      <c r="V166" s="19">
        <v>1.45</v>
      </c>
      <c r="W166" s="46">
        <v>0.6</v>
      </c>
      <c r="X166" s="44">
        <v>1.3665804534538126</v>
      </c>
      <c r="Y166" s="46">
        <v>1.6406262627516817</v>
      </c>
      <c r="Z166" s="46">
        <v>17.427439052776393</v>
      </c>
      <c r="AA166" s="46">
        <v>80.931934684471912</v>
      </c>
      <c r="AB166" s="46">
        <v>2.333333333333333</v>
      </c>
      <c r="AC166" s="125">
        <v>1</v>
      </c>
      <c r="AD166" s="94">
        <f t="shared" si="142"/>
        <v>5.9024130784633311E-2</v>
      </c>
      <c r="AE166" s="94">
        <f t="shared" si="143"/>
        <v>8.0661223412381328E-2</v>
      </c>
      <c r="AF166" s="96">
        <f t="shared" si="116"/>
        <v>1.3233492151603363E-3</v>
      </c>
      <c r="AG166" s="95">
        <f t="shared" si="156"/>
        <v>1.4057185549416557E-2</v>
      </c>
      <c r="AH166" s="94">
        <f t="shared" si="144"/>
        <v>6.5280688647804425E-2</v>
      </c>
      <c r="AI166" s="94">
        <f t="shared" si="145"/>
        <v>0.1882095212955564</v>
      </c>
      <c r="AJ166" s="96">
        <f t="shared" si="117"/>
        <v>2.173112569669055E-3</v>
      </c>
      <c r="AK166" s="95">
        <f t="shared" si="118"/>
        <v>1.2422501478051212E-2</v>
      </c>
      <c r="AL166" s="95">
        <f t="shared" si="119"/>
        <v>2.1085778324124838E-2</v>
      </c>
      <c r="AM166" s="94">
        <f t="shared" si="120"/>
        <v>9.7921032971706637E-2</v>
      </c>
      <c r="AN166" s="93">
        <f t="shared" si="121"/>
        <v>1.3174666490688949</v>
      </c>
      <c r="AO166" s="96">
        <f t="shared" si="122"/>
        <v>3.2596688545035828E-3</v>
      </c>
      <c r="AP166" s="95">
        <f t="shared" si="123"/>
        <v>1.8633752217076818E-2</v>
      </c>
      <c r="AQ166" s="93">
        <f t="shared" si="124"/>
        <v>0.19068065315528071</v>
      </c>
      <c r="AR166" s="31">
        <v>1.5</v>
      </c>
      <c r="AS166" s="31">
        <v>1.5</v>
      </c>
      <c r="AT166" s="31">
        <v>7</v>
      </c>
      <c r="AU166" s="43">
        <v>7.0999999999999994E-2</v>
      </c>
      <c r="AV166" s="44">
        <v>0.28000000000000003</v>
      </c>
      <c r="AW166" s="43">
        <v>1.7999999999999999E-2</v>
      </c>
      <c r="AX166" s="44">
        <v>0.13</v>
      </c>
      <c r="AY166" s="44">
        <v>7.0817582490074757</v>
      </c>
      <c r="AZ166" s="46">
        <v>0.5</v>
      </c>
      <c r="BA166" s="44">
        <v>0.72</v>
      </c>
      <c r="BB166" s="47">
        <v>1</v>
      </c>
      <c r="BC166" s="46">
        <v>3.3197225366043672</v>
      </c>
      <c r="BD166" s="47">
        <v>24.127673726603241</v>
      </c>
      <c r="BE166" s="47">
        <v>72.552603736792392</v>
      </c>
      <c r="BF166" s="125">
        <v>1</v>
      </c>
      <c r="BG166" s="48">
        <f t="shared" si="146"/>
        <v>4.1066619175076109E-3</v>
      </c>
      <c r="BH166" s="48">
        <f t="shared" si="147"/>
        <v>4.1066619175076109E-3</v>
      </c>
      <c r="BI166" s="99">
        <f t="shared" si="148"/>
        <v>1.3632978117764921E-4</v>
      </c>
      <c r="BJ166" s="99">
        <f t="shared" si="149"/>
        <v>9.9084198851090476E-4</v>
      </c>
      <c r="BK166" s="48">
        <f t="shared" si="150"/>
        <v>2.9794901478190573E-3</v>
      </c>
      <c r="BL166" s="99">
        <f t="shared" si="125"/>
        <v>1.9238352196370142E-4</v>
      </c>
      <c r="BM166" s="48">
        <f t="shared" si="126"/>
        <v>1.0120516647383914E-3</v>
      </c>
      <c r="BN166" s="48">
        <f t="shared" si="127"/>
        <v>1.4862629827663571E-3</v>
      </c>
      <c r="BO166" s="48">
        <f t="shared" si="128"/>
        <v>4.4692352217285862E-3</v>
      </c>
      <c r="BP166" s="99">
        <f t="shared" si="129"/>
        <v>2.8857528294555214E-4</v>
      </c>
      <c r="BQ166" s="48">
        <f t="shared" si="130"/>
        <v>1.5180774971075874E-3</v>
      </c>
      <c r="BR166" s="40">
        <f t="shared" si="131"/>
        <v>0.27447396263207607</v>
      </c>
      <c r="BS166" s="31">
        <v>1.5</v>
      </c>
      <c r="BT166" s="31">
        <v>1.5</v>
      </c>
      <c r="BU166" s="43">
        <v>0.125</v>
      </c>
      <c r="BV166" s="44">
        <v>0.42</v>
      </c>
      <c r="BW166" s="43">
        <v>2.3E-2</v>
      </c>
      <c r="BX166" s="44">
        <v>0.2</v>
      </c>
      <c r="BY166" s="44">
        <v>17.493153787299182</v>
      </c>
      <c r="BZ166" s="44">
        <v>0.52</v>
      </c>
      <c r="CA166" s="44">
        <v>0.65</v>
      </c>
      <c r="CB166" s="47">
        <v>1</v>
      </c>
      <c r="CC166" s="46">
        <v>0.8239317214464168</v>
      </c>
      <c r="CD166" s="46">
        <v>23.031994076959837</v>
      </c>
      <c r="CE166" s="46">
        <v>76.144074201593753</v>
      </c>
      <c r="CF166" s="125">
        <v>1</v>
      </c>
      <c r="CG166" s="40">
        <f t="shared" si="151"/>
        <v>2.2978858060757865E-2</v>
      </c>
      <c r="CH166" s="40">
        <f t="shared" si="152"/>
        <v>2.2978858060757865E-2</v>
      </c>
      <c r="CI166" s="99">
        <f t="shared" si="153"/>
        <v>1.8933010078873099E-4</v>
      </c>
      <c r="CJ166" s="100">
        <f t="shared" si="154"/>
        <v>5.2924892275067591E-3</v>
      </c>
      <c r="CK166" s="100">
        <f t="shared" si="155"/>
        <v>1.7497038732462375E-2</v>
      </c>
      <c r="CL166" s="101">
        <f t="shared" si="132"/>
        <v>8.9668673613238579E-4</v>
      </c>
      <c r="CM166" s="100">
        <f t="shared" si="133"/>
        <v>4.6886266085969918E-3</v>
      </c>
      <c r="CN166" s="100">
        <f t="shared" si="134"/>
        <v>7.9387338412601378E-3</v>
      </c>
      <c r="CO166" s="100">
        <f t="shared" si="135"/>
        <v>2.6245558098693562E-2</v>
      </c>
      <c r="CP166" s="101">
        <f t="shared" si="136"/>
        <v>1.3450301041985787E-3</v>
      </c>
      <c r="CQ166" s="100">
        <f t="shared" si="137"/>
        <v>7.0329399128954886E-3</v>
      </c>
      <c r="CR166" s="99">
        <f t="shared" si="138"/>
        <v>0.23855925798406252</v>
      </c>
      <c r="CS166" s="31">
        <v>1.5</v>
      </c>
      <c r="CT166" s="31">
        <v>1.5</v>
      </c>
      <c r="CU166" s="43">
        <v>0.1</v>
      </c>
      <c r="CV166" s="44">
        <v>0.39</v>
      </c>
      <c r="CW166" s="43">
        <v>2.1000000000000001E-2</v>
      </c>
      <c r="CX166" s="44">
        <v>0.15</v>
      </c>
    </row>
    <row r="167" spans="1:102" s="27" customFormat="1" x14ac:dyDescent="0.25">
      <c r="A167" s="31">
        <v>153</v>
      </c>
      <c r="B167" s="84" t="s">
        <v>91</v>
      </c>
      <c r="C167" s="19">
        <v>50</v>
      </c>
      <c r="D167" s="31" t="s">
        <v>36</v>
      </c>
      <c r="E167" s="31" t="s">
        <v>6</v>
      </c>
      <c r="F167" s="19" t="s">
        <v>70</v>
      </c>
      <c r="G167" s="31" t="str">
        <f t="shared" si="139"/>
        <v>Kommunal 50 Y 4L Ck</v>
      </c>
      <c r="H167" s="48">
        <f t="shared" si="105"/>
        <v>8.3003117563707554E-2</v>
      </c>
      <c r="I167" s="40">
        <f t="shared" si="106"/>
        <v>0.10350141584262672</v>
      </c>
      <c r="J167" s="99">
        <f t="shared" si="107"/>
        <v>1.5793591384340672E-3</v>
      </c>
      <c r="K167" s="48">
        <f t="shared" si="108"/>
        <v>1.9600664894412295E-2</v>
      </c>
      <c r="L167" s="48">
        <f t="shared" si="109"/>
        <v>8.2321391809780348E-2</v>
      </c>
      <c r="M167" s="48">
        <f t="shared" si="140"/>
        <v>0.1783037570168429</v>
      </c>
      <c r="N167" s="99">
        <f t="shared" si="110"/>
        <v>3.1478084819930863E-3</v>
      </c>
      <c r="O167" s="48">
        <f t="shared" si="111"/>
        <v>1.746936388412074E-2</v>
      </c>
      <c r="P167" s="48">
        <f t="shared" si="112"/>
        <v>2.940099734161844E-2</v>
      </c>
      <c r="Q167" s="48">
        <f t="shared" si="113"/>
        <v>0.12348208771467051</v>
      </c>
      <c r="R167" s="40">
        <f t="shared" si="141"/>
        <v>1.2481262991179003</v>
      </c>
      <c r="S167" s="99">
        <f t="shared" si="114"/>
        <v>4.7217127229896294E-3</v>
      </c>
      <c r="T167" s="48">
        <f t="shared" si="115"/>
        <v>2.6204045826181112E-2</v>
      </c>
      <c r="U167" s="44">
        <v>1.0542312</v>
      </c>
      <c r="V167" s="19">
        <v>1.45</v>
      </c>
      <c r="W167" s="46">
        <v>0.6</v>
      </c>
      <c r="X167" s="44">
        <v>1.3665804534538126</v>
      </c>
      <c r="Y167" s="46">
        <v>1.6406262627516817</v>
      </c>
      <c r="Z167" s="46">
        <v>17.427439052776393</v>
      </c>
      <c r="AA167" s="46">
        <v>80.931934684471912</v>
      </c>
      <c r="AB167" s="46">
        <v>2.333333333333333</v>
      </c>
      <c r="AC167" s="125">
        <v>1</v>
      </c>
      <c r="AD167" s="94">
        <f t="shared" si="142"/>
        <v>5.5917597585442076E-2</v>
      </c>
      <c r="AE167" s="94">
        <f t="shared" si="143"/>
        <v>7.6415895864361247E-2</v>
      </c>
      <c r="AF167" s="96">
        <f t="shared" si="116"/>
        <v>1.253699256467687E-3</v>
      </c>
      <c r="AG167" s="95">
        <f t="shared" si="156"/>
        <v>1.3317333678394631E-2</v>
      </c>
      <c r="AH167" s="94">
        <f t="shared" si="144"/>
        <v>6.1844862929498916E-2</v>
      </c>
      <c r="AI167" s="94">
        <f t="shared" si="145"/>
        <v>0.1783037570168429</v>
      </c>
      <c r="AJ167" s="96">
        <f t="shared" si="117"/>
        <v>2.0587382238969991E-3</v>
      </c>
      <c r="AK167" s="95">
        <f t="shared" si="118"/>
        <v>1.1768685610785357E-2</v>
      </c>
      <c r="AL167" s="95">
        <f t="shared" si="119"/>
        <v>1.9976000517591946E-2</v>
      </c>
      <c r="AM167" s="94">
        <f t="shared" si="120"/>
        <v>9.276729439424837E-2</v>
      </c>
      <c r="AN167" s="93">
        <f t="shared" si="121"/>
        <v>1.2481262991179003</v>
      </c>
      <c r="AO167" s="96">
        <f t="shared" si="122"/>
        <v>3.0881073358454986E-3</v>
      </c>
      <c r="AP167" s="95">
        <f t="shared" si="123"/>
        <v>1.7653028416178034E-2</v>
      </c>
      <c r="AQ167" s="93">
        <f t="shared" si="124"/>
        <v>0.19068065315528071</v>
      </c>
      <c r="AR167" s="31">
        <v>1.5</v>
      </c>
      <c r="AS167" s="31">
        <v>1.5</v>
      </c>
      <c r="AT167" s="31">
        <v>7</v>
      </c>
      <c r="AU167" s="43">
        <v>7.0999999999999994E-2</v>
      </c>
      <c r="AV167" s="44">
        <v>0.28000000000000003</v>
      </c>
      <c r="AW167" s="43">
        <v>1.7999999999999999E-2</v>
      </c>
      <c r="AX167" s="44">
        <v>0.13</v>
      </c>
      <c r="AY167" s="44">
        <v>7.0817582490074757</v>
      </c>
      <c r="AZ167" s="46">
        <v>0.5</v>
      </c>
      <c r="BA167" s="44">
        <v>0.72</v>
      </c>
      <c r="BB167" s="47">
        <v>1</v>
      </c>
      <c r="BC167" s="46">
        <v>3.3197225366043672</v>
      </c>
      <c r="BD167" s="47">
        <v>24.127673726603241</v>
      </c>
      <c r="BE167" s="47">
        <v>72.552603736792392</v>
      </c>
      <c r="BF167" s="125">
        <v>1</v>
      </c>
      <c r="BG167" s="48">
        <f t="shared" si="146"/>
        <v>4.1066619175076109E-3</v>
      </c>
      <c r="BH167" s="48">
        <f t="shared" si="147"/>
        <v>4.1066619175076109E-3</v>
      </c>
      <c r="BI167" s="99">
        <f t="shared" si="148"/>
        <v>1.3632978117764921E-4</v>
      </c>
      <c r="BJ167" s="99">
        <f t="shared" si="149"/>
        <v>9.9084198851090476E-4</v>
      </c>
      <c r="BK167" s="48">
        <f t="shared" si="150"/>
        <v>2.9794901478190573E-3</v>
      </c>
      <c r="BL167" s="99">
        <f t="shared" si="125"/>
        <v>1.9238352196370142E-4</v>
      </c>
      <c r="BM167" s="48">
        <f t="shared" si="126"/>
        <v>1.0120516647383914E-3</v>
      </c>
      <c r="BN167" s="48">
        <f t="shared" si="127"/>
        <v>1.4862629827663571E-3</v>
      </c>
      <c r="BO167" s="48">
        <f t="shared" si="128"/>
        <v>4.4692352217285862E-3</v>
      </c>
      <c r="BP167" s="99">
        <f t="shared" si="129"/>
        <v>2.8857528294555214E-4</v>
      </c>
      <c r="BQ167" s="48">
        <f t="shared" si="130"/>
        <v>1.5180774971075874E-3</v>
      </c>
      <c r="BR167" s="40">
        <f t="shared" si="131"/>
        <v>0.27447396263207607</v>
      </c>
      <c r="BS167" s="31">
        <v>1.5</v>
      </c>
      <c r="BT167" s="31">
        <v>1.5</v>
      </c>
      <c r="BU167" s="43">
        <v>0.125</v>
      </c>
      <c r="BV167" s="44">
        <v>0.42</v>
      </c>
      <c r="BW167" s="43">
        <v>2.3E-2</v>
      </c>
      <c r="BX167" s="44">
        <v>0.2</v>
      </c>
      <c r="BY167" s="44">
        <v>17.493153787299182</v>
      </c>
      <c r="BZ167" s="44">
        <v>0.52</v>
      </c>
      <c r="CA167" s="44">
        <v>0.65</v>
      </c>
      <c r="CB167" s="47">
        <v>1</v>
      </c>
      <c r="CC167" s="46">
        <v>0.8239317214464168</v>
      </c>
      <c r="CD167" s="46">
        <v>23.031994076959837</v>
      </c>
      <c r="CE167" s="46">
        <v>76.144074201593753</v>
      </c>
      <c r="CF167" s="125">
        <v>1</v>
      </c>
      <c r="CG167" s="40">
        <f t="shared" si="151"/>
        <v>2.2978858060757865E-2</v>
      </c>
      <c r="CH167" s="40">
        <f t="shared" si="152"/>
        <v>2.2978858060757865E-2</v>
      </c>
      <c r="CI167" s="99">
        <f t="shared" si="153"/>
        <v>1.8933010078873099E-4</v>
      </c>
      <c r="CJ167" s="100">
        <f t="shared" si="154"/>
        <v>5.2924892275067591E-3</v>
      </c>
      <c r="CK167" s="100">
        <f t="shared" si="155"/>
        <v>1.7497038732462375E-2</v>
      </c>
      <c r="CL167" s="101">
        <f t="shared" si="132"/>
        <v>8.9668673613238579E-4</v>
      </c>
      <c r="CM167" s="100">
        <f t="shared" si="133"/>
        <v>4.6886266085969918E-3</v>
      </c>
      <c r="CN167" s="100">
        <f t="shared" si="134"/>
        <v>7.9387338412601378E-3</v>
      </c>
      <c r="CO167" s="100">
        <f t="shared" si="135"/>
        <v>2.6245558098693562E-2</v>
      </c>
      <c r="CP167" s="101">
        <f t="shared" si="136"/>
        <v>1.3450301041985787E-3</v>
      </c>
      <c r="CQ167" s="100">
        <f t="shared" si="137"/>
        <v>7.0329399128954886E-3</v>
      </c>
      <c r="CR167" s="99">
        <f t="shared" si="138"/>
        <v>0.23855925798406252</v>
      </c>
      <c r="CS167" s="31">
        <v>1.5</v>
      </c>
      <c r="CT167" s="31">
        <v>1.5</v>
      </c>
      <c r="CU167" s="43">
        <v>0.1</v>
      </c>
      <c r="CV167" s="44">
        <v>0.39</v>
      </c>
      <c r="CW167" s="43">
        <v>2.1000000000000001E-2</v>
      </c>
      <c r="CX167" s="44">
        <v>0.15</v>
      </c>
    </row>
    <row r="168" spans="1:102" s="27" customFormat="1" x14ac:dyDescent="0.25">
      <c r="A168" s="31">
        <v>154</v>
      </c>
      <c r="B168" s="84" t="s">
        <v>91</v>
      </c>
      <c r="C168" s="19">
        <v>50</v>
      </c>
      <c r="D168" s="31" t="s">
        <v>36</v>
      </c>
      <c r="E168" s="31" t="s">
        <v>6</v>
      </c>
      <c r="F168" s="31" t="s">
        <v>71</v>
      </c>
      <c r="G168" s="31" t="str">
        <f t="shared" si="139"/>
        <v>Kommunal 50 Y 4L Cm</v>
      </c>
      <c r="H168" s="48">
        <f t="shared" si="105"/>
        <v>8.3003117563707554E-2</v>
      </c>
      <c r="I168" s="40">
        <f t="shared" si="106"/>
        <v>0.10350141584262672</v>
      </c>
      <c r="J168" s="99">
        <f t="shared" si="107"/>
        <v>1.5793591384340672E-3</v>
      </c>
      <c r="K168" s="48">
        <f t="shared" si="108"/>
        <v>1.9600664894412295E-2</v>
      </c>
      <c r="L168" s="48">
        <f t="shared" si="109"/>
        <v>8.2321391809780348E-2</v>
      </c>
      <c r="M168" s="48">
        <f t="shared" si="140"/>
        <v>0.1783037570168429</v>
      </c>
      <c r="N168" s="99">
        <f t="shared" si="110"/>
        <v>3.1478084819930863E-3</v>
      </c>
      <c r="O168" s="48">
        <f t="shared" si="111"/>
        <v>1.746936388412074E-2</v>
      </c>
      <c r="P168" s="48">
        <f t="shared" si="112"/>
        <v>2.940099734161844E-2</v>
      </c>
      <c r="Q168" s="48">
        <f t="shared" si="113"/>
        <v>0.12348208771467051</v>
      </c>
      <c r="R168" s="40">
        <f t="shared" si="141"/>
        <v>1.2481262991179003</v>
      </c>
      <c r="S168" s="99">
        <f t="shared" si="114"/>
        <v>4.7217127229896294E-3</v>
      </c>
      <c r="T168" s="48">
        <f t="shared" si="115"/>
        <v>2.6204045826181112E-2</v>
      </c>
      <c r="U168" s="44">
        <v>1.0542312</v>
      </c>
      <c r="V168" s="19">
        <v>1.45</v>
      </c>
      <c r="W168" s="46">
        <v>0.6</v>
      </c>
      <c r="X168" s="44">
        <v>1.3665804534538126</v>
      </c>
      <c r="Y168" s="46">
        <v>1.6406262627516817</v>
      </c>
      <c r="Z168" s="46">
        <v>17.427439052776393</v>
      </c>
      <c r="AA168" s="46">
        <v>80.931934684471912</v>
      </c>
      <c r="AB168" s="46">
        <v>2.333333333333333</v>
      </c>
      <c r="AC168" s="125">
        <v>1</v>
      </c>
      <c r="AD168" s="94">
        <f t="shared" si="142"/>
        <v>5.5917597585442076E-2</v>
      </c>
      <c r="AE168" s="94">
        <f t="shared" si="143"/>
        <v>7.6415895864361247E-2</v>
      </c>
      <c r="AF168" s="96">
        <f t="shared" si="116"/>
        <v>1.253699256467687E-3</v>
      </c>
      <c r="AG168" s="95">
        <f t="shared" si="156"/>
        <v>1.3317333678394631E-2</v>
      </c>
      <c r="AH168" s="94">
        <f t="shared" si="144"/>
        <v>6.1844862929498916E-2</v>
      </c>
      <c r="AI168" s="94">
        <f t="shared" si="145"/>
        <v>0.1783037570168429</v>
      </c>
      <c r="AJ168" s="96">
        <f t="shared" si="117"/>
        <v>2.0587382238969991E-3</v>
      </c>
      <c r="AK168" s="95">
        <f t="shared" si="118"/>
        <v>1.1768685610785357E-2</v>
      </c>
      <c r="AL168" s="95">
        <f t="shared" si="119"/>
        <v>1.9976000517591946E-2</v>
      </c>
      <c r="AM168" s="94">
        <f t="shared" si="120"/>
        <v>9.276729439424837E-2</v>
      </c>
      <c r="AN168" s="93">
        <f t="shared" si="121"/>
        <v>1.2481262991179003</v>
      </c>
      <c r="AO168" s="96">
        <f t="shared" si="122"/>
        <v>3.0881073358454986E-3</v>
      </c>
      <c r="AP168" s="95">
        <f t="shared" si="123"/>
        <v>1.7653028416178034E-2</v>
      </c>
      <c r="AQ168" s="93">
        <f t="shared" si="124"/>
        <v>0.19068065315528071</v>
      </c>
      <c r="AR168" s="31">
        <v>1.5</v>
      </c>
      <c r="AS168" s="31">
        <v>1.5</v>
      </c>
      <c r="AT168" s="31">
        <v>7</v>
      </c>
      <c r="AU168" s="43">
        <v>7.0999999999999994E-2</v>
      </c>
      <c r="AV168" s="44">
        <v>0.28000000000000003</v>
      </c>
      <c r="AW168" s="43">
        <v>1.7999999999999999E-2</v>
      </c>
      <c r="AX168" s="44">
        <v>0.13</v>
      </c>
      <c r="AY168" s="44">
        <v>7.0817582490074757</v>
      </c>
      <c r="AZ168" s="46">
        <v>0.5</v>
      </c>
      <c r="BA168" s="44">
        <v>0.72</v>
      </c>
      <c r="BB168" s="47">
        <v>1</v>
      </c>
      <c r="BC168" s="46">
        <v>3.3197225366043672</v>
      </c>
      <c r="BD168" s="47">
        <v>24.127673726603241</v>
      </c>
      <c r="BE168" s="47">
        <v>72.552603736792392</v>
      </c>
      <c r="BF168" s="125">
        <v>1</v>
      </c>
      <c r="BG168" s="48">
        <f t="shared" si="146"/>
        <v>4.1066619175076109E-3</v>
      </c>
      <c r="BH168" s="48">
        <f t="shared" si="147"/>
        <v>4.1066619175076109E-3</v>
      </c>
      <c r="BI168" s="99">
        <f t="shared" si="148"/>
        <v>1.3632978117764921E-4</v>
      </c>
      <c r="BJ168" s="99">
        <f t="shared" si="149"/>
        <v>9.9084198851090476E-4</v>
      </c>
      <c r="BK168" s="48">
        <f t="shared" si="150"/>
        <v>2.9794901478190573E-3</v>
      </c>
      <c r="BL168" s="99">
        <f t="shared" si="125"/>
        <v>1.9238352196370142E-4</v>
      </c>
      <c r="BM168" s="48">
        <f t="shared" si="126"/>
        <v>1.0120516647383914E-3</v>
      </c>
      <c r="BN168" s="48">
        <f t="shared" si="127"/>
        <v>1.4862629827663571E-3</v>
      </c>
      <c r="BO168" s="48">
        <f t="shared" si="128"/>
        <v>4.4692352217285862E-3</v>
      </c>
      <c r="BP168" s="99">
        <f t="shared" si="129"/>
        <v>2.8857528294555214E-4</v>
      </c>
      <c r="BQ168" s="48">
        <f t="shared" si="130"/>
        <v>1.5180774971075874E-3</v>
      </c>
      <c r="BR168" s="40">
        <f t="shared" si="131"/>
        <v>0.27447396263207607</v>
      </c>
      <c r="BS168" s="31">
        <v>1.5</v>
      </c>
      <c r="BT168" s="31">
        <v>1.5</v>
      </c>
      <c r="BU168" s="43">
        <v>0.125</v>
      </c>
      <c r="BV168" s="44">
        <v>0.42</v>
      </c>
      <c r="BW168" s="43">
        <v>2.3E-2</v>
      </c>
      <c r="BX168" s="44">
        <v>0.2</v>
      </c>
      <c r="BY168" s="44">
        <v>17.493153787299182</v>
      </c>
      <c r="BZ168" s="44">
        <v>0.52</v>
      </c>
      <c r="CA168" s="44">
        <v>0.65</v>
      </c>
      <c r="CB168" s="47">
        <v>1</v>
      </c>
      <c r="CC168" s="46">
        <v>0.8239317214464168</v>
      </c>
      <c r="CD168" s="46">
        <v>23.031994076959837</v>
      </c>
      <c r="CE168" s="46">
        <v>76.144074201593753</v>
      </c>
      <c r="CF168" s="125">
        <v>1</v>
      </c>
      <c r="CG168" s="40">
        <f t="shared" si="151"/>
        <v>2.2978858060757865E-2</v>
      </c>
      <c r="CH168" s="40">
        <f t="shared" si="152"/>
        <v>2.2978858060757865E-2</v>
      </c>
      <c r="CI168" s="99">
        <f t="shared" si="153"/>
        <v>1.8933010078873099E-4</v>
      </c>
      <c r="CJ168" s="100">
        <f t="shared" si="154"/>
        <v>5.2924892275067591E-3</v>
      </c>
      <c r="CK168" s="100">
        <f t="shared" si="155"/>
        <v>1.7497038732462375E-2</v>
      </c>
      <c r="CL168" s="101">
        <f t="shared" si="132"/>
        <v>8.9668673613238579E-4</v>
      </c>
      <c r="CM168" s="100">
        <f t="shared" si="133"/>
        <v>4.6886266085969918E-3</v>
      </c>
      <c r="CN168" s="100">
        <f t="shared" si="134"/>
        <v>7.9387338412601378E-3</v>
      </c>
      <c r="CO168" s="100">
        <f t="shared" si="135"/>
        <v>2.6245558098693562E-2</v>
      </c>
      <c r="CP168" s="101">
        <f t="shared" si="136"/>
        <v>1.3450301041985787E-3</v>
      </c>
      <c r="CQ168" s="100">
        <f t="shared" si="137"/>
        <v>7.0329399128954886E-3</v>
      </c>
      <c r="CR168" s="99">
        <f t="shared" si="138"/>
        <v>0.23855925798406252</v>
      </c>
      <c r="CS168" s="31">
        <v>1.5</v>
      </c>
      <c r="CT168" s="31">
        <v>1.5</v>
      </c>
      <c r="CU168" s="43">
        <v>0.1</v>
      </c>
      <c r="CV168" s="44">
        <v>0.39</v>
      </c>
      <c r="CW168" s="43">
        <v>2.1000000000000001E-2</v>
      </c>
      <c r="CX168" s="44">
        <v>0.15</v>
      </c>
    </row>
    <row r="169" spans="1:102" s="27" customFormat="1" x14ac:dyDescent="0.25">
      <c r="A169" s="31">
        <v>155</v>
      </c>
      <c r="B169" s="84" t="s">
        <v>91</v>
      </c>
      <c r="C169" s="19">
        <v>50</v>
      </c>
      <c r="D169" s="31" t="s">
        <v>36</v>
      </c>
      <c r="E169" s="31" t="s">
        <v>6</v>
      </c>
      <c r="F169" s="19" t="s">
        <v>0</v>
      </c>
      <c r="G169" s="31" t="str">
        <f t="shared" si="139"/>
        <v>Kommunal 50 Y 4L D</v>
      </c>
      <c r="H169" s="48">
        <f t="shared" si="105"/>
        <v>5.1438654487883498E-2</v>
      </c>
      <c r="I169" s="40">
        <f t="shared" si="106"/>
        <v>8.3924530118745108E-2</v>
      </c>
      <c r="J169" s="99">
        <f t="shared" si="107"/>
        <v>3.256598819663802E-4</v>
      </c>
      <c r="K169" s="48">
        <f t="shared" si="108"/>
        <v>1.2467821576491808E-2</v>
      </c>
      <c r="L169" s="48">
        <f t="shared" si="109"/>
        <v>7.1131048660286911E-2</v>
      </c>
      <c r="M169" s="48">
        <f t="shared" si="140"/>
        <v>0.45987926386388067</v>
      </c>
      <c r="N169" s="99">
        <f t="shared" si="110"/>
        <v>2.43995042972985E-3</v>
      </c>
      <c r="O169" s="48">
        <f t="shared" si="111"/>
        <v>1.4017423145668857E-2</v>
      </c>
      <c r="P169" s="48">
        <f t="shared" si="112"/>
        <v>1.8701732364737711E-2</v>
      </c>
      <c r="Q169" s="48">
        <f t="shared" si="113"/>
        <v>0.10669657299043037</v>
      </c>
      <c r="R169" s="40">
        <f t="shared" si="141"/>
        <v>3.2191548470471645</v>
      </c>
      <c r="S169" s="99">
        <f t="shared" si="114"/>
        <v>3.6599256445947752E-3</v>
      </c>
      <c r="T169" s="48">
        <f t="shared" si="115"/>
        <v>2.1026134718503287E-2</v>
      </c>
      <c r="U169" s="44">
        <v>1.0062359999999999</v>
      </c>
      <c r="V169" s="44">
        <v>1.2</v>
      </c>
      <c r="W169" s="19">
        <v>0</v>
      </c>
      <c r="X169" s="44">
        <v>2.3339504866624727</v>
      </c>
      <c r="Y169" s="46">
        <v>0</v>
      </c>
      <c r="Z169" s="46">
        <v>10.88071439877112</v>
      </c>
      <c r="AA169" s="46">
        <v>89.119285601228881</v>
      </c>
      <c r="AB169" s="46">
        <v>8.0909090909090917</v>
      </c>
      <c r="AC169" s="125">
        <v>1</v>
      </c>
      <c r="AD169" s="94">
        <f t="shared" si="142"/>
        <v>2.4353134509618016E-2</v>
      </c>
      <c r="AE169" s="94">
        <f t="shared" si="143"/>
        <v>5.683901014047963E-2</v>
      </c>
      <c r="AF169" s="96">
        <f t="shared" si="116"/>
        <v>0</v>
      </c>
      <c r="AG169" s="95">
        <f t="shared" si="156"/>
        <v>6.1844903604741444E-3</v>
      </c>
      <c r="AH169" s="94">
        <f t="shared" si="144"/>
        <v>5.0654519780005486E-2</v>
      </c>
      <c r="AI169" s="94">
        <f t="shared" si="145"/>
        <v>0.45987926386388067</v>
      </c>
      <c r="AJ169" s="96">
        <f t="shared" si="117"/>
        <v>1.3508801716337628E-3</v>
      </c>
      <c r="AK169" s="95">
        <f t="shared" si="118"/>
        <v>8.3167448723334737E-3</v>
      </c>
      <c r="AL169" s="95">
        <f t="shared" si="119"/>
        <v>9.2767355407112166E-3</v>
      </c>
      <c r="AM169" s="94">
        <f t="shared" si="120"/>
        <v>7.5981779670008229E-2</v>
      </c>
      <c r="AN169" s="93">
        <f t="shared" si="121"/>
        <v>3.2191548470471645</v>
      </c>
      <c r="AO169" s="96">
        <f t="shared" si="122"/>
        <v>2.0263202574506444E-3</v>
      </c>
      <c r="AP169" s="95">
        <f t="shared" si="123"/>
        <v>1.2475117308500212E-2</v>
      </c>
      <c r="AQ169" s="93">
        <f t="shared" si="124"/>
        <v>0.1088071439877112</v>
      </c>
      <c r="AR169" s="31">
        <v>1.5</v>
      </c>
      <c r="AS169" s="31">
        <v>1.5</v>
      </c>
      <c r="AT169" s="31">
        <v>7</v>
      </c>
      <c r="AU169" s="43">
        <v>7.0999999999999994E-2</v>
      </c>
      <c r="AV169" s="44">
        <v>0.28000000000000003</v>
      </c>
      <c r="AW169" s="43">
        <v>1.7999999999999999E-2</v>
      </c>
      <c r="AX169" s="44">
        <v>0.13</v>
      </c>
      <c r="AY169" s="44">
        <v>7.0817582490074757</v>
      </c>
      <c r="AZ169" s="46">
        <v>0.5</v>
      </c>
      <c r="BA169" s="44">
        <v>0.72</v>
      </c>
      <c r="BB169" s="47">
        <v>1</v>
      </c>
      <c r="BC169" s="46">
        <v>3.3197225366043672</v>
      </c>
      <c r="BD169" s="47">
        <v>24.127673726603241</v>
      </c>
      <c r="BE169" s="47">
        <v>72.552603736792392</v>
      </c>
      <c r="BF169" s="125">
        <v>1</v>
      </c>
      <c r="BG169" s="48">
        <f t="shared" si="146"/>
        <v>4.1066619175076109E-3</v>
      </c>
      <c r="BH169" s="48">
        <f t="shared" si="147"/>
        <v>4.1066619175076109E-3</v>
      </c>
      <c r="BI169" s="99">
        <f t="shared" si="148"/>
        <v>1.3632978117764921E-4</v>
      </c>
      <c r="BJ169" s="99">
        <f t="shared" si="149"/>
        <v>9.9084198851090476E-4</v>
      </c>
      <c r="BK169" s="48">
        <f t="shared" si="150"/>
        <v>2.9794901478190573E-3</v>
      </c>
      <c r="BL169" s="99">
        <f t="shared" si="125"/>
        <v>1.9238352196370142E-4</v>
      </c>
      <c r="BM169" s="48">
        <f t="shared" si="126"/>
        <v>1.0120516647383914E-3</v>
      </c>
      <c r="BN169" s="48">
        <f t="shared" si="127"/>
        <v>1.4862629827663571E-3</v>
      </c>
      <c r="BO169" s="48">
        <f t="shared" si="128"/>
        <v>4.4692352217285862E-3</v>
      </c>
      <c r="BP169" s="99">
        <f t="shared" si="129"/>
        <v>2.8857528294555214E-4</v>
      </c>
      <c r="BQ169" s="48">
        <f t="shared" si="130"/>
        <v>1.5180774971075874E-3</v>
      </c>
      <c r="BR169" s="40">
        <f t="shared" si="131"/>
        <v>0.27447396263207607</v>
      </c>
      <c r="BS169" s="31">
        <v>1.5</v>
      </c>
      <c r="BT169" s="31">
        <v>1.5</v>
      </c>
      <c r="BU169" s="43">
        <v>0.125</v>
      </c>
      <c r="BV169" s="44">
        <v>0.42</v>
      </c>
      <c r="BW169" s="43">
        <v>2.3E-2</v>
      </c>
      <c r="BX169" s="44">
        <v>0.2</v>
      </c>
      <c r="BY169" s="44">
        <v>17.493153787299182</v>
      </c>
      <c r="BZ169" s="44">
        <v>0.52</v>
      </c>
      <c r="CA169" s="44">
        <v>0.65</v>
      </c>
      <c r="CB169" s="47">
        <v>1</v>
      </c>
      <c r="CC169" s="46">
        <v>0.8239317214464168</v>
      </c>
      <c r="CD169" s="46">
        <v>23.031994076959837</v>
      </c>
      <c r="CE169" s="46">
        <v>76.144074201593753</v>
      </c>
      <c r="CF169" s="125">
        <v>1</v>
      </c>
      <c r="CG169" s="40">
        <f t="shared" si="151"/>
        <v>2.2978858060757865E-2</v>
      </c>
      <c r="CH169" s="40">
        <f t="shared" si="152"/>
        <v>2.2978858060757865E-2</v>
      </c>
      <c r="CI169" s="99">
        <f t="shared" si="153"/>
        <v>1.8933010078873099E-4</v>
      </c>
      <c r="CJ169" s="100">
        <f t="shared" si="154"/>
        <v>5.2924892275067591E-3</v>
      </c>
      <c r="CK169" s="100">
        <f t="shared" si="155"/>
        <v>1.7497038732462375E-2</v>
      </c>
      <c r="CL169" s="101">
        <f t="shared" si="132"/>
        <v>8.9668673613238579E-4</v>
      </c>
      <c r="CM169" s="100">
        <f t="shared" si="133"/>
        <v>4.6886266085969918E-3</v>
      </c>
      <c r="CN169" s="100">
        <f t="shared" si="134"/>
        <v>7.9387338412601378E-3</v>
      </c>
      <c r="CO169" s="100">
        <f t="shared" si="135"/>
        <v>2.6245558098693562E-2</v>
      </c>
      <c r="CP169" s="101">
        <f t="shared" si="136"/>
        <v>1.3450301041985787E-3</v>
      </c>
      <c r="CQ169" s="100">
        <f t="shared" si="137"/>
        <v>7.0329399128954886E-3</v>
      </c>
      <c r="CR169" s="99">
        <f t="shared" si="138"/>
        <v>0.23855925798406252</v>
      </c>
      <c r="CS169" s="31">
        <v>1.5</v>
      </c>
      <c r="CT169" s="31">
        <v>1.5</v>
      </c>
      <c r="CU169" s="43">
        <v>0.1</v>
      </c>
      <c r="CV169" s="44">
        <v>0.39</v>
      </c>
      <c r="CW169" s="43">
        <v>2.1000000000000001E-2</v>
      </c>
      <c r="CX169" s="44">
        <v>0.15</v>
      </c>
    </row>
    <row r="170" spans="1:102" s="27" customFormat="1" x14ac:dyDescent="0.25">
      <c r="A170" s="31">
        <v>156</v>
      </c>
      <c r="B170" s="84" t="s">
        <v>91</v>
      </c>
      <c r="C170" s="19">
        <v>50</v>
      </c>
      <c r="D170" s="31" t="s">
        <v>36</v>
      </c>
      <c r="E170" s="31" t="s">
        <v>6</v>
      </c>
      <c r="F170" s="19" t="s">
        <v>62</v>
      </c>
      <c r="G170" s="31" t="str">
        <f t="shared" si="139"/>
        <v>Kommunal 50 Y 4L EE</v>
      </c>
      <c r="H170" s="48">
        <f t="shared" si="105"/>
        <v>0.14714541551910562</v>
      </c>
      <c r="I170" s="40">
        <f t="shared" si="106"/>
        <v>0.19149196489307374</v>
      </c>
      <c r="J170" s="99">
        <f t="shared" si="107"/>
        <v>1.6715599945485275E-3</v>
      </c>
      <c r="K170" s="48">
        <f t="shared" si="108"/>
        <v>3.4876793012502877E-2</v>
      </c>
      <c r="L170" s="48">
        <f t="shared" si="109"/>
        <v>0.15494361188602235</v>
      </c>
      <c r="M170" s="48">
        <f t="shared" si="140"/>
        <v>0.38361503813455256</v>
      </c>
      <c r="N170" s="99">
        <f t="shared" si="110"/>
        <v>5.5396135397498738E-3</v>
      </c>
      <c r="O170" s="48">
        <f t="shared" si="111"/>
        <v>3.1187568367097566E-2</v>
      </c>
      <c r="P170" s="48">
        <f t="shared" si="112"/>
        <v>5.2315189518754315E-2</v>
      </c>
      <c r="Q170" s="48">
        <f t="shared" si="113"/>
        <v>0.23241541782903352</v>
      </c>
      <c r="R170" s="40">
        <f t="shared" si="141"/>
        <v>2.6853052669418678</v>
      </c>
      <c r="S170" s="99">
        <f t="shared" si="114"/>
        <v>8.3094203096248098E-3</v>
      </c>
      <c r="T170" s="48">
        <f t="shared" si="115"/>
        <v>4.6781352550646339E-2</v>
      </c>
      <c r="U170" s="44">
        <v>7.6982400000000029</v>
      </c>
      <c r="V170" s="44">
        <v>1.2</v>
      </c>
      <c r="W170" s="19">
        <v>0.2</v>
      </c>
      <c r="X170" s="44">
        <v>1.3693702145433153</v>
      </c>
      <c r="Y170" s="46">
        <v>0.81864194148809843</v>
      </c>
      <c r="Z170" s="46">
        <v>17.391934854683893</v>
      </c>
      <c r="AA170" s="46">
        <v>81.789423203828008</v>
      </c>
      <c r="AB170" s="46">
        <v>2.333333333333333</v>
      </c>
      <c r="AC170" s="125">
        <v>1</v>
      </c>
      <c r="AD170" s="94">
        <f t="shared" si="142"/>
        <v>0.12005989554084014</v>
      </c>
      <c r="AE170" s="94">
        <f t="shared" si="143"/>
        <v>0.16440644491480827</v>
      </c>
      <c r="AF170" s="96">
        <f t="shared" si="116"/>
        <v>1.3459001125821473E-3</v>
      </c>
      <c r="AG170" s="95">
        <f t="shared" si="156"/>
        <v>2.8593461796485212E-2</v>
      </c>
      <c r="AH170" s="94">
        <f t="shared" si="144"/>
        <v>0.13446708300574092</v>
      </c>
      <c r="AI170" s="94">
        <f t="shared" si="145"/>
        <v>0.38361503813455256</v>
      </c>
      <c r="AJ170" s="96">
        <f t="shared" si="117"/>
        <v>4.4505432816537866E-3</v>
      </c>
      <c r="AK170" s="95">
        <f t="shared" si="118"/>
        <v>2.548689009376218E-2</v>
      </c>
      <c r="AL170" s="95">
        <f t="shared" si="119"/>
        <v>4.2890192694727818E-2</v>
      </c>
      <c r="AM170" s="94">
        <f t="shared" si="120"/>
        <v>0.20170062450861137</v>
      </c>
      <c r="AN170" s="93">
        <f t="shared" si="121"/>
        <v>2.6853052669418678</v>
      </c>
      <c r="AO170" s="96">
        <f t="shared" si="122"/>
        <v>6.6758149224806791E-3</v>
      </c>
      <c r="AP170" s="95">
        <f t="shared" si="123"/>
        <v>3.8230335140643265E-2</v>
      </c>
      <c r="AQ170" s="93">
        <f t="shared" si="124"/>
        <v>0.1821057679617199</v>
      </c>
      <c r="AR170" s="31">
        <v>1.5</v>
      </c>
      <c r="AS170" s="31">
        <v>1.5</v>
      </c>
      <c r="AT170" s="31">
        <v>7</v>
      </c>
      <c r="AU170" s="43">
        <v>7.0999999999999994E-2</v>
      </c>
      <c r="AV170" s="44">
        <v>0.28000000000000003</v>
      </c>
      <c r="AW170" s="43">
        <v>1.7999999999999999E-2</v>
      </c>
      <c r="AX170" s="44">
        <v>0.13</v>
      </c>
      <c r="AY170" s="44">
        <v>7.0817582490074757</v>
      </c>
      <c r="AZ170" s="46">
        <v>0.5</v>
      </c>
      <c r="BA170" s="44">
        <v>0.72</v>
      </c>
      <c r="BB170" s="47">
        <v>1</v>
      </c>
      <c r="BC170" s="46">
        <v>3.3197225366043672</v>
      </c>
      <c r="BD170" s="47">
        <v>24.127673726603241</v>
      </c>
      <c r="BE170" s="47">
        <v>72.552603736792392</v>
      </c>
      <c r="BF170" s="125">
        <v>1</v>
      </c>
      <c r="BG170" s="48">
        <f t="shared" si="146"/>
        <v>4.1066619175076109E-3</v>
      </c>
      <c r="BH170" s="48">
        <f t="shared" si="147"/>
        <v>4.1066619175076109E-3</v>
      </c>
      <c r="BI170" s="99">
        <f t="shared" si="148"/>
        <v>1.3632978117764921E-4</v>
      </c>
      <c r="BJ170" s="99">
        <f t="shared" si="149"/>
        <v>9.9084198851090476E-4</v>
      </c>
      <c r="BK170" s="48">
        <f t="shared" si="150"/>
        <v>2.9794901478190573E-3</v>
      </c>
      <c r="BL170" s="99">
        <f t="shared" si="125"/>
        <v>1.9238352196370142E-4</v>
      </c>
      <c r="BM170" s="48">
        <f t="shared" si="126"/>
        <v>1.0120516647383914E-3</v>
      </c>
      <c r="BN170" s="48">
        <f t="shared" si="127"/>
        <v>1.4862629827663571E-3</v>
      </c>
      <c r="BO170" s="48">
        <f t="shared" si="128"/>
        <v>4.4692352217285862E-3</v>
      </c>
      <c r="BP170" s="99">
        <f t="shared" si="129"/>
        <v>2.8857528294555214E-4</v>
      </c>
      <c r="BQ170" s="48">
        <f t="shared" si="130"/>
        <v>1.5180774971075874E-3</v>
      </c>
      <c r="BR170" s="40">
        <f t="shared" si="131"/>
        <v>0.27447396263207607</v>
      </c>
      <c r="BS170" s="31">
        <v>1.5</v>
      </c>
      <c r="BT170" s="31">
        <v>1.5</v>
      </c>
      <c r="BU170" s="43">
        <v>0.125</v>
      </c>
      <c r="BV170" s="44">
        <v>0.42</v>
      </c>
      <c r="BW170" s="43">
        <v>2.3E-2</v>
      </c>
      <c r="BX170" s="44">
        <v>0.2</v>
      </c>
      <c r="BY170" s="44">
        <v>17.493153787299182</v>
      </c>
      <c r="BZ170" s="44">
        <v>0.52</v>
      </c>
      <c r="CA170" s="44">
        <v>0.65</v>
      </c>
      <c r="CB170" s="47">
        <v>1</v>
      </c>
      <c r="CC170" s="46">
        <v>0.8239317214464168</v>
      </c>
      <c r="CD170" s="46">
        <v>23.031994076959837</v>
      </c>
      <c r="CE170" s="46">
        <v>76.144074201593753</v>
      </c>
      <c r="CF170" s="125">
        <v>1</v>
      </c>
      <c r="CG170" s="40">
        <f t="shared" si="151"/>
        <v>2.2978858060757865E-2</v>
      </c>
      <c r="CH170" s="40">
        <f t="shared" si="152"/>
        <v>2.2978858060757865E-2</v>
      </c>
      <c r="CI170" s="99">
        <f t="shared" si="153"/>
        <v>1.8933010078873099E-4</v>
      </c>
      <c r="CJ170" s="100">
        <f t="shared" si="154"/>
        <v>5.2924892275067591E-3</v>
      </c>
      <c r="CK170" s="100">
        <f t="shared" si="155"/>
        <v>1.7497038732462375E-2</v>
      </c>
      <c r="CL170" s="101">
        <f t="shared" si="132"/>
        <v>8.9668673613238579E-4</v>
      </c>
      <c r="CM170" s="100">
        <f t="shared" si="133"/>
        <v>4.6886266085969918E-3</v>
      </c>
      <c r="CN170" s="100">
        <f t="shared" si="134"/>
        <v>7.9387338412601378E-3</v>
      </c>
      <c r="CO170" s="100">
        <f t="shared" si="135"/>
        <v>2.6245558098693562E-2</v>
      </c>
      <c r="CP170" s="101">
        <f t="shared" si="136"/>
        <v>1.3450301041985787E-3</v>
      </c>
      <c r="CQ170" s="100">
        <f t="shared" si="137"/>
        <v>7.0329399128954886E-3</v>
      </c>
      <c r="CR170" s="99">
        <f t="shared" si="138"/>
        <v>0.23855925798406252</v>
      </c>
      <c r="CS170" s="31">
        <v>1.5</v>
      </c>
      <c r="CT170" s="31">
        <v>1.5</v>
      </c>
      <c r="CU170" s="43">
        <v>0.1</v>
      </c>
      <c r="CV170" s="44">
        <v>0.39</v>
      </c>
      <c r="CW170" s="43">
        <v>2.1000000000000001E-2</v>
      </c>
      <c r="CX170" s="44">
        <v>0.15</v>
      </c>
    </row>
    <row r="171" spans="1:102" s="27" customFormat="1" x14ac:dyDescent="0.25">
      <c r="A171" s="31">
        <v>157</v>
      </c>
      <c r="B171" s="84" t="s">
        <v>91</v>
      </c>
      <c r="C171" s="19">
        <v>50</v>
      </c>
      <c r="D171" s="31" t="s">
        <v>36</v>
      </c>
      <c r="E171" s="31" t="s">
        <v>6</v>
      </c>
      <c r="F171" s="19" t="s">
        <v>63</v>
      </c>
      <c r="G171" s="31" t="str">
        <f t="shared" si="139"/>
        <v>Kommunal 50 Y 4L ES</v>
      </c>
      <c r="H171" s="48">
        <f t="shared" si="105"/>
        <v>8.8770614456758837E-2</v>
      </c>
      <c r="I171" s="40">
        <f t="shared" si="106"/>
        <v>0.11014511013859249</v>
      </c>
      <c r="J171" s="99">
        <f t="shared" si="107"/>
        <v>3.256598819663802E-4</v>
      </c>
      <c r="K171" s="48">
        <f t="shared" si="108"/>
        <v>1.5320808002152644E-2</v>
      </c>
      <c r="L171" s="48">
        <f t="shared" si="109"/>
        <v>9.4498642254473478E-2</v>
      </c>
      <c r="M171" s="48">
        <f t="shared" si="140"/>
        <v>0.29448400147752313</v>
      </c>
      <c r="N171" s="99">
        <f t="shared" si="110"/>
        <v>3.0631291506471271E-3</v>
      </c>
      <c r="O171" s="48">
        <f t="shared" si="111"/>
        <v>1.785404651209814E-2</v>
      </c>
      <c r="P171" s="48">
        <f t="shared" si="112"/>
        <v>2.2981212003228967E-2</v>
      </c>
      <c r="Q171" s="48">
        <f t="shared" si="113"/>
        <v>0.1417479633817102</v>
      </c>
      <c r="R171" s="40">
        <f t="shared" si="141"/>
        <v>2.0613880103426618</v>
      </c>
      <c r="S171" s="99">
        <f t="shared" si="114"/>
        <v>4.5946937259706911E-3</v>
      </c>
      <c r="T171" s="48">
        <f t="shared" si="115"/>
        <v>2.6781069768147217E-2</v>
      </c>
      <c r="U171" s="44">
        <v>3.9552480000000005</v>
      </c>
      <c r="V171" s="44">
        <v>1.2</v>
      </c>
      <c r="W171" s="19">
        <v>0.2</v>
      </c>
      <c r="X171" s="44">
        <v>1.3465098961514264</v>
      </c>
      <c r="Y171" s="46">
        <v>0</v>
      </c>
      <c r="Z171" s="46">
        <v>10.880714398771119</v>
      </c>
      <c r="AA171" s="46">
        <v>89.119285601228881</v>
      </c>
      <c r="AB171" s="46">
        <v>3.5454545454545463</v>
      </c>
      <c r="AC171" s="125">
        <v>1</v>
      </c>
      <c r="AD171" s="94">
        <f t="shared" si="142"/>
        <v>6.1685094478493359E-2</v>
      </c>
      <c r="AE171" s="94">
        <f t="shared" si="143"/>
        <v>8.3059590160327018E-2</v>
      </c>
      <c r="AF171" s="96">
        <f t="shared" si="116"/>
        <v>0</v>
      </c>
      <c r="AG171" s="95">
        <f t="shared" si="156"/>
        <v>9.0374767861349809E-3</v>
      </c>
      <c r="AH171" s="94">
        <f t="shared" si="144"/>
        <v>7.4022113374192039E-2</v>
      </c>
      <c r="AI171" s="94">
        <f t="shared" si="145"/>
        <v>0.29448400147752313</v>
      </c>
      <c r="AJ171" s="96">
        <f t="shared" si="117"/>
        <v>1.9740588925510399E-3</v>
      </c>
      <c r="AK171" s="95">
        <f t="shared" si="118"/>
        <v>1.2153368238762759E-2</v>
      </c>
      <c r="AL171" s="95">
        <f t="shared" si="119"/>
        <v>1.3556215179202472E-2</v>
      </c>
      <c r="AM171" s="94">
        <f t="shared" si="120"/>
        <v>0.11103317006128806</v>
      </c>
      <c r="AN171" s="93">
        <f t="shared" si="121"/>
        <v>2.0613880103426618</v>
      </c>
      <c r="AO171" s="96">
        <f t="shared" si="122"/>
        <v>2.9610883388265603E-3</v>
      </c>
      <c r="AP171" s="95">
        <f t="shared" si="123"/>
        <v>1.8230052358144143E-2</v>
      </c>
      <c r="AQ171" s="93">
        <f t="shared" si="124"/>
        <v>0.10880714398771119</v>
      </c>
      <c r="AR171" s="31">
        <v>1.5</v>
      </c>
      <c r="AS171" s="31">
        <v>1.5</v>
      </c>
      <c r="AT171" s="31">
        <v>7</v>
      </c>
      <c r="AU171" s="43">
        <v>7.0999999999999994E-2</v>
      </c>
      <c r="AV171" s="44">
        <v>0.28000000000000003</v>
      </c>
      <c r="AW171" s="43">
        <v>1.7999999999999999E-2</v>
      </c>
      <c r="AX171" s="44">
        <v>0.13</v>
      </c>
      <c r="AY171" s="44">
        <v>7.0817582490074757</v>
      </c>
      <c r="AZ171" s="46">
        <v>0.5</v>
      </c>
      <c r="BA171" s="44">
        <v>0.72</v>
      </c>
      <c r="BB171" s="47">
        <v>1</v>
      </c>
      <c r="BC171" s="46">
        <v>3.3197225366043672</v>
      </c>
      <c r="BD171" s="47">
        <v>24.127673726603241</v>
      </c>
      <c r="BE171" s="47">
        <v>72.552603736792392</v>
      </c>
      <c r="BF171" s="125">
        <v>1</v>
      </c>
      <c r="BG171" s="48">
        <f t="shared" si="146"/>
        <v>4.1066619175076109E-3</v>
      </c>
      <c r="BH171" s="48">
        <f t="shared" si="147"/>
        <v>4.1066619175076109E-3</v>
      </c>
      <c r="BI171" s="99">
        <f t="shared" si="148"/>
        <v>1.3632978117764921E-4</v>
      </c>
      <c r="BJ171" s="99">
        <f t="shared" si="149"/>
        <v>9.9084198851090476E-4</v>
      </c>
      <c r="BK171" s="48">
        <f t="shared" si="150"/>
        <v>2.9794901478190573E-3</v>
      </c>
      <c r="BL171" s="99">
        <f t="shared" si="125"/>
        <v>1.9238352196370142E-4</v>
      </c>
      <c r="BM171" s="48">
        <f t="shared" si="126"/>
        <v>1.0120516647383914E-3</v>
      </c>
      <c r="BN171" s="48">
        <f t="shared" si="127"/>
        <v>1.4862629827663571E-3</v>
      </c>
      <c r="BO171" s="48">
        <f t="shared" si="128"/>
        <v>4.4692352217285862E-3</v>
      </c>
      <c r="BP171" s="99">
        <f t="shared" si="129"/>
        <v>2.8857528294555214E-4</v>
      </c>
      <c r="BQ171" s="48">
        <f t="shared" si="130"/>
        <v>1.5180774971075874E-3</v>
      </c>
      <c r="BR171" s="40">
        <f t="shared" si="131"/>
        <v>0.27447396263207607</v>
      </c>
      <c r="BS171" s="31">
        <v>1.5</v>
      </c>
      <c r="BT171" s="31">
        <v>1.5</v>
      </c>
      <c r="BU171" s="43">
        <v>0.125</v>
      </c>
      <c r="BV171" s="44">
        <v>0.42</v>
      </c>
      <c r="BW171" s="43">
        <v>2.3E-2</v>
      </c>
      <c r="BX171" s="44">
        <v>0.2</v>
      </c>
      <c r="BY171" s="44">
        <v>17.493153787299182</v>
      </c>
      <c r="BZ171" s="44">
        <v>0.52</v>
      </c>
      <c r="CA171" s="44">
        <v>0.65</v>
      </c>
      <c r="CB171" s="47">
        <v>1</v>
      </c>
      <c r="CC171" s="46">
        <v>0.8239317214464168</v>
      </c>
      <c r="CD171" s="46">
        <v>23.031994076959837</v>
      </c>
      <c r="CE171" s="46">
        <v>76.144074201593753</v>
      </c>
      <c r="CF171" s="125">
        <v>1</v>
      </c>
      <c r="CG171" s="40">
        <f t="shared" si="151"/>
        <v>2.2978858060757865E-2</v>
      </c>
      <c r="CH171" s="40">
        <f t="shared" si="152"/>
        <v>2.2978858060757865E-2</v>
      </c>
      <c r="CI171" s="99">
        <f t="shared" si="153"/>
        <v>1.8933010078873099E-4</v>
      </c>
      <c r="CJ171" s="100">
        <f t="shared" si="154"/>
        <v>5.2924892275067591E-3</v>
      </c>
      <c r="CK171" s="100">
        <f t="shared" si="155"/>
        <v>1.7497038732462375E-2</v>
      </c>
      <c r="CL171" s="101">
        <f t="shared" si="132"/>
        <v>8.9668673613238579E-4</v>
      </c>
      <c r="CM171" s="100">
        <f t="shared" si="133"/>
        <v>4.6886266085969918E-3</v>
      </c>
      <c r="CN171" s="100">
        <f t="shared" si="134"/>
        <v>7.9387338412601378E-3</v>
      </c>
      <c r="CO171" s="100">
        <f t="shared" si="135"/>
        <v>2.6245558098693562E-2</v>
      </c>
      <c r="CP171" s="101">
        <f t="shared" si="136"/>
        <v>1.3450301041985787E-3</v>
      </c>
      <c r="CQ171" s="100">
        <f t="shared" si="137"/>
        <v>7.0329399128954886E-3</v>
      </c>
      <c r="CR171" s="99">
        <f t="shared" si="138"/>
        <v>0.23855925798406252</v>
      </c>
      <c r="CS171" s="31">
        <v>1.5</v>
      </c>
      <c r="CT171" s="31">
        <v>1.5</v>
      </c>
      <c r="CU171" s="43">
        <v>0.1</v>
      </c>
      <c r="CV171" s="44">
        <v>0.39</v>
      </c>
      <c r="CW171" s="43">
        <v>2.1000000000000001E-2</v>
      </c>
      <c r="CX171" s="44">
        <v>0.15</v>
      </c>
    </row>
    <row r="172" spans="1:102" s="27" customFormat="1" x14ac:dyDescent="0.25">
      <c r="A172" s="31">
        <v>158</v>
      </c>
      <c r="B172" s="84" t="s">
        <v>91</v>
      </c>
      <c r="C172" s="19">
        <v>50</v>
      </c>
      <c r="D172" s="31" t="s">
        <v>36</v>
      </c>
      <c r="E172" s="31" t="s">
        <v>6</v>
      </c>
      <c r="F172" s="19" t="s">
        <v>64</v>
      </c>
      <c r="G172" s="31" t="str">
        <f t="shared" si="139"/>
        <v>Kommunal 50 Y 4L F</v>
      </c>
      <c r="H172" s="48">
        <f t="shared" si="105"/>
        <v>3.9488053737813042E-2</v>
      </c>
      <c r="I172" s="40">
        <f t="shared" si="106"/>
        <v>4.3462620996486692E-2</v>
      </c>
      <c r="J172" s="99">
        <f t="shared" si="107"/>
        <v>4.5972969970141343E-4</v>
      </c>
      <c r="K172" s="48">
        <f t="shared" si="108"/>
        <v>9.1316259561924698E-3</v>
      </c>
      <c r="L172" s="48">
        <f t="shared" si="109"/>
        <v>3.3871265340592815E-2</v>
      </c>
      <c r="M172" s="48">
        <f t="shared" si="140"/>
        <v>6.5508404072884885E-2</v>
      </c>
      <c r="N172" s="99">
        <f t="shared" si="110"/>
        <v>1.5324044409341033E-3</v>
      </c>
      <c r="O172" s="48">
        <f t="shared" si="111"/>
        <v>8.2395165404248079E-3</v>
      </c>
      <c r="P172" s="48">
        <f t="shared" si="112"/>
        <v>1.3697438934288705E-2</v>
      </c>
      <c r="Q172" s="48">
        <f t="shared" si="113"/>
        <v>5.0806898010889223E-2</v>
      </c>
      <c r="R172" s="40">
        <f t="shared" si="141"/>
        <v>0.45855882851019419</v>
      </c>
      <c r="S172" s="99">
        <f t="shared" si="114"/>
        <v>2.2986066614011551E-3</v>
      </c>
      <c r="T172" s="48">
        <f t="shared" si="115"/>
        <v>1.2359274810637214E-2</v>
      </c>
      <c r="U172" s="44">
        <v>0.18770400000000001</v>
      </c>
      <c r="V172" s="19">
        <v>1.45</v>
      </c>
      <c r="W172" s="19">
        <v>0.5</v>
      </c>
      <c r="X172" s="44">
        <v>1.3204641354524835</v>
      </c>
      <c r="Y172" s="46">
        <v>0.81864194148809843</v>
      </c>
      <c r="Z172" s="46">
        <v>17.391934854683893</v>
      </c>
      <c r="AA172" s="46">
        <v>81.789423203828008</v>
      </c>
      <c r="AB172" s="46">
        <v>4.0000000000000009</v>
      </c>
      <c r="AC172" s="125">
        <v>1</v>
      </c>
      <c r="AD172" s="94">
        <f t="shared" si="142"/>
        <v>1.2402533759547568E-2</v>
      </c>
      <c r="AE172" s="94">
        <f t="shared" si="143"/>
        <v>1.6377101018221218E-2</v>
      </c>
      <c r="AF172" s="96">
        <f t="shared" si="116"/>
        <v>1.3406981773503331E-4</v>
      </c>
      <c r="AG172" s="95">
        <f t="shared" si="156"/>
        <v>2.8482947401748063E-3</v>
      </c>
      <c r="AH172" s="94">
        <f t="shared" si="144"/>
        <v>1.3394736460311378E-2</v>
      </c>
      <c r="AI172" s="94">
        <f t="shared" si="145"/>
        <v>6.5508404072884885E-2</v>
      </c>
      <c r="AJ172" s="96">
        <f t="shared" si="117"/>
        <v>4.4333418283801603E-4</v>
      </c>
      <c r="AK172" s="95">
        <f t="shared" si="118"/>
        <v>2.5388382670894251E-3</v>
      </c>
      <c r="AL172" s="95">
        <f t="shared" si="119"/>
        <v>4.2724421102622095E-3</v>
      </c>
      <c r="AM172" s="94">
        <f t="shared" si="120"/>
        <v>2.0092104690467068E-2</v>
      </c>
      <c r="AN172" s="93">
        <f t="shared" si="121"/>
        <v>0.45855882851019419</v>
      </c>
      <c r="AO172" s="96">
        <f t="shared" si="122"/>
        <v>6.6500127425702413E-4</v>
      </c>
      <c r="AP172" s="95">
        <f t="shared" si="123"/>
        <v>3.8082574006341376E-3</v>
      </c>
      <c r="AQ172" s="93">
        <f t="shared" si="124"/>
        <v>0.1821057679617199</v>
      </c>
      <c r="AR172" s="31">
        <v>1.5</v>
      </c>
      <c r="AS172" s="31">
        <v>1.5</v>
      </c>
      <c r="AT172" s="31">
        <v>7</v>
      </c>
      <c r="AU172" s="43">
        <v>7.0999999999999994E-2</v>
      </c>
      <c r="AV172" s="44">
        <v>0.28000000000000003</v>
      </c>
      <c r="AW172" s="43">
        <v>1.7999999999999999E-2</v>
      </c>
      <c r="AX172" s="44">
        <v>0.13</v>
      </c>
      <c r="AY172" s="44">
        <v>7.0817582490074731</v>
      </c>
      <c r="AZ172" s="46">
        <v>0.5</v>
      </c>
      <c r="BA172" s="44">
        <v>0.72</v>
      </c>
      <c r="BB172" s="47">
        <v>1</v>
      </c>
      <c r="BC172" s="46">
        <v>3.3197225366043677</v>
      </c>
      <c r="BD172" s="47">
        <v>24.127673726603245</v>
      </c>
      <c r="BE172" s="47">
        <v>72.552603736792392</v>
      </c>
      <c r="BF172" s="125">
        <v>1</v>
      </c>
      <c r="BG172" s="48">
        <f t="shared" si="146"/>
        <v>4.1066619175076091E-3</v>
      </c>
      <c r="BH172" s="48">
        <f t="shared" si="147"/>
        <v>4.1066619175076091E-3</v>
      </c>
      <c r="BI172" s="99">
        <f t="shared" si="148"/>
        <v>1.3632978117764915E-4</v>
      </c>
      <c r="BJ172" s="99">
        <f t="shared" si="149"/>
        <v>9.9084198851090454E-4</v>
      </c>
      <c r="BK172" s="48">
        <f t="shared" si="150"/>
        <v>2.9794901478190556E-3</v>
      </c>
      <c r="BL172" s="99">
        <f t="shared" si="125"/>
        <v>1.9238352196370134E-4</v>
      </c>
      <c r="BM172" s="48">
        <f t="shared" si="126"/>
        <v>1.012051664738391E-3</v>
      </c>
      <c r="BN172" s="48">
        <f t="shared" si="127"/>
        <v>1.4862629827663569E-3</v>
      </c>
      <c r="BO172" s="48">
        <f t="shared" si="128"/>
        <v>4.4692352217285836E-3</v>
      </c>
      <c r="BP172" s="99">
        <f t="shared" si="129"/>
        <v>2.8857528294555203E-4</v>
      </c>
      <c r="BQ172" s="48">
        <f t="shared" si="130"/>
        <v>1.5180774971075867E-3</v>
      </c>
      <c r="BR172" s="40">
        <f t="shared" si="131"/>
        <v>0.27447396263207618</v>
      </c>
      <c r="BS172" s="31">
        <v>1.5</v>
      </c>
      <c r="BT172" s="31">
        <v>1.5</v>
      </c>
      <c r="BU172" s="43">
        <v>0.125</v>
      </c>
      <c r="BV172" s="44">
        <v>0.42</v>
      </c>
      <c r="BW172" s="43">
        <v>2.3E-2</v>
      </c>
      <c r="BX172" s="44">
        <v>0.2</v>
      </c>
      <c r="BY172" s="44">
        <v>17.493153787299185</v>
      </c>
      <c r="BZ172" s="44">
        <v>0.52</v>
      </c>
      <c r="CA172" s="44">
        <v>0.65</v>
      </c>
      <c r="CB172" s="47">
        <v>1</v>
      </c>
      <c r="CC172" s="46">
        <v>0.82393172144641669</v>
      </c>
      <c r="CD172" s="46">
        <v>23.03199407695983</v>
      </c>
      <c r="CE172" s="46">
        <v>76.144074201593753</v>
      </c>
      <c r="CF172" s="125">
        <v>1</v>
      </c>
      <c r="CG172" s="40">
        <f t="shared" si="151"/>
        <v>2.2978858060757869E-2</v>
      </c>
      <c r="CH172" s="40">
        <f t="shared" si="152"/>
        <v>2.2978858060757869E-2</v>
      </c>
      <c r="CI172" s="99">
        <f t="shared" si="153"/>
        <v>1.8933010078873099E-4</v>
      </c>
      <c r="CJ172" s="100">
        <f t="shared" si="154"/>
        <v>5.2924892275067591E-3</v>
      </c>
      <c r="CK172" s="100">
        <f t="shared" si="155"/>
        <v>1.7497038732462378E-2</v>
      </c>
      <c r="CL172" s="101">
        <f t="shared" si="132"/>
        <v>8.96686736132386E-4</v>
      </c>
      <c r="CM172" s="100">
        <f t="shared" si="133"/>
        <v>4.6886266085969927E-3</v>
      </c>
      <c r="CN172" s="100">
        <f t="shared" si="134"/>
        <v>7.9387338412601378E-3</v>
      </c>
      <c r="CO172" s="100">
        <f t="shared" si="135"/>
        <v>2.6245558098693569E-2</v>
      </c>
      <c r="CP172" s="101">
        <f t="shared" si="136"/>
        <v>1.3450301041985787E-3</v>
      </c>
      <c r="CQ172" s="100">
        <f t="shared" si="137"/>
        <v>7.0329399128954886E-3</v>
      </c>
      <c r="CR172" s="99">
        <f t="shared" si="138"/>
        <v>0.23855925798406249</v>
      </c>
      <c r="CS172" s="31">
        <v>1.5</v>
      </c>
      <c r="CT172" s="31">
        <v>1.5</v>
      </c>
      <c r="CU172" s="43">
        <v>0.1</v>
      </c>
      <c r="CV172" s="44">
        <v>0.39</v>
      </c>
      <c r="CW172" s="43">
        <v>2.1000000000000001E-2</v>
      </c>
      <c r="CX172" s="44">
        <v>0.15</v>
      </c>
    </row>
    <row r="173" spans="1:102" s="27" customFormat="1" x14ac:dyDescent="0.25">
      <c r="A173" s="31">
        <v>159</v>
      </c>
      <c r="B173" s="84" t="s">
        <v>91</v>
      </c>
      <c r="C173" s="19">
        <v>60</v>
      </c>
      <c r="D173" s="31" t="s">
        <v>36</v>
      </c>
      <c r="E173" s="31" t="s">
        <v>5</v>
      </c>
      <c r="F173" s="19" t="s">
        <v>12</v>
      </c>
      <c r="G173" s="31" t="str">
        <f t="shared" si="139"/>
        <v>Kommunal 60 M 4L A</v>
      </c>
      <c r="H173" s="48">
        <f t="shared" si="105"/>
        <v>0.1830408313826061</v>
      </c>
      <c r="I173" s="40">
        <f t="shared" si="106"/>
        <v>0.20852428066034354</v>
      </c>
      <c r="J173" s="99">
        <f t="shared" si="107"/>
        <v>3.6468469368218601E-3</v>
      </c>
      <c r="K173" s="48">
        <f t="shared" si="108"/>
        <v>5.949889303859654E-2</v>
      </c>
      <c r="L173" s="48">
        <f t="shared" si="109"/>
        <v>0.14537854068492512</v>
      </c>
      <c r="M173" s="48">
        <f t="shared" si="140"/>
        <v>0.219062535900408</v>
      </c>
      <c r="N173" s="99">
        <f t="shared" si="110"/>
        <v>7.0987747625555556E-3</v>
      </c>
      <c r="O173" s="48">
        <f t="shared" si="111"/>
        <v>3.6645665622224176E-2</v>
      </c>
      <c r="P173" s="48">
        <f t="shared" si="112"/>
        <v>8.924833955789481E-2</v>
      </c>
      <c r="Q173" s="48">
        <f t="shared" si="113"/>
        <v>0.21806781102738768</v>
      </c>
      <c r="R173" s="40">
        <f t="shared" si="141"/>
        <v>1.5334377513028561</v>
      </c>
      <c r="S173" s="99">
        <f t="shared" si="114"/>
        <v>1.0648162143833333E-2</v>
      </c>
      <c r="T173" s="48">
        <f t="shared" si="115"/>
        <v>5.4968498433336274E-2</v>
      </c>
      <c r="U173" s="44">
        <v>14.447885759999998</v>
      </c>
      <c r="V173" s="19">
        <v>1.25</v>
      </c>
      <c r="W173" s="19">
        <v>0.55000000000000004</v>
      </c>
      <c r="X173" s="44">
        <v>1.1602402633204796</v>
      </c>
      <c r="Y173" s="46">
        <v>1.4575311513386691</v>
      </c>
      <c r="Z173" s="46">
        <v>29.229021073641352</v>
      </c>
      <c r="AA173" s="46">
        <v>69.313447775019981</v>
      </c>
      <c r="AB173" s="46">
        <v>1.1872265966754159</v>
      </c>
      <c r="AC173" s="125">
        <v>1</v>
      </c>
      <c r="AD173" s="94">
        <f t="shared" si="142"/>
        <v>0.15903274713653395</v>
      </c>
      <c r="AE173" s="94">
        <f t="shared" si="143"/>
        <v>0.18451619641427139</v>
      </c>
      <c r="AF173" s="96">
        <f t="shared" si="116"/>
        <v>2.6893810420032501E-3</v>
      </c>
      <c r="AG173" s="95">
        <f t="shared" si="156"/>
        <v>5.393227793420885E-2</v>
      </c>
      <c r="AH173" s="94">
        <f t="shared" si="144"/>
        <v>0.12789453743805929</v>
      </c>
      <c r="AI173" s="94">
        <f t="shared" si="145"/>
        <v>0.219062535900408</v>
      </c>
      <c r="AJ173" s="96">
        <f t="shared" si="117"/>
        <v>6.1312934072138949E-3</v>
      </c>
      <c r="AK173" s="95">
        <f t="shared" si="118"/>
        <v>3.1727327688526187E-2</v>
      </c>
      <c r="AL173" s="95">
        <f t="shared" si="119"/>
        <v>8.0898416901313275E-2</v>
      </c>
      <c r="AM173" s="94">
        <f t="shared" si="120"/>
        <v>0.19184180615708893</v>
      </c>
      <c r="AN173" s="93">
        <f t="shared" si="121"/>
        <v>1.5334377513028561</v>
      </c>
      <c r="AO173" s="96">
        <f t="shared" si="122"/>
        <v>9.1969401108208428E-3</v>
      </c>
      <c r="AP173" s="95">
        <f t="shared" si="123"/>
        <v>4.7590991532789284E-2</v>
      </c>
      <c r="AQ173" s="93">
        <f t="shared" si="124"/>
        <v>0.30686552224980024</v>
      </c>
      <c r="AR173" s="31">
        <v>1.5</v>
      </c>
      <c r="AS173" s="31">
        <v>1.5</v>
      </c>
      <c r="AT173" s="31">
        <v>7</v>
      </c>
      <c r="AU173" s="43">
        <v>7.0999999999999994E-2</v>
      </c>
      <c r="AV173" s="44">
        <v>0.28000000000000003</v>
      </c>
      <c r="AW173" s="43">
        <v>1.7999999999999999E-2</v>
      </c>
      <c r="AX173" s="44">
        <v>0.13</v>
      </c>
      <c r="AY173" s="44">
        <v>6.05756702133713</v>
      </c>
      <c r="AZ173" s="46">
        <v>0.5</v>
      </c>
      <c r="BA173" s="44">
        <v>0.72</v>
      </c>
      <c r="BB173" s="47">
        <v>1</v>
      </c>
      <c r="BC173" s="46">
        <v>10.469021924497721</v>
      </c>
      <c r="BD173" s="47">
        <v>46.248782587366165</v>
      </c>
      <c r="BE173" s="47">
        <v>43.282195488136104</v>
      </c>
      <c r="BF173" s="125">
        <v>1</v>
      </c>
      <c r="BG173" s="48">
        <f t="shared" si="146"/>
        <v>3.5127406110991837E-3</v>
      </c>
      <c r="BH173" s="48">
        <f t="shared" si="147"/>
        <v>3.5127406110991837E-3</v>
      </c>
      <c r="BI173" s="99">
        <f t="shared" si="148"/>
        <v>3.6774958472670879E-4</v>
      </c>
      <c r="BJ173" s="99">
        <f t="shared" si="149"/>
        <v>1.6245997680853792E-3</v>
      </c>
      <c r="BK173" s="48">
        <f t="shared" si="150"/>
        <v>1.5203912582870953E-3</v>
      </c>
      <c r="BL173" s="99">
        <f t="shared" si="125"/>
        <v>2.3804396995127559E-4</v>
      </c>
      <c r="BM173" s="48">
        <f t="shared" si="126"/>
        <v>9.864101542532784E-4</v>
      </c>
      <c r="BN173" s="48">
        <f t="shared" si="127"/>
        <v>2.4368996521280687E-3</v>
      </c>
      <c r="BO173" s="48">
        <f t="shared" si="128"/>
        <v>2.2805868874306431E-3</v>
      </c>
      <c r="BP173" s="99">
        <f t="shared" si="129"/>
        <v>3.5706595492691337E-4</v>
      </c>
      <c r="BQ173" s="48">
        <f t="shared" si="130"/>
        <v>1.4796152313799175E-3</v>
      </c>
      <c r="BR173" s="40">
        <f t="shared" si="131"/>
        <v>0.56717804511863879</v>
      </c>
      <c r="BS173" s="31">
        <v>1.5</v>
      </c>
      <c r="BT173" s="31">
        <v>1.5</v>
      </c>
      <c r="BU173" s="43">
        <v>0.125</v>
      </c>
      <c r="BV173" s="44">
        <v>0.42</v>
      </c>
      <c r="BW173" s="43">
        <v>2.3E-2</v>
      </c>
      <c r="BX173" s="44">
        <v>0.2</v>
      </c>
      <c r="BY173" s="44">
        <v>15.602524598139274</v>
      </c>
      <c r="BZ173" s="44">
        <v>0.52</v>
      </c>
      <c r="CA173" s="44">
        <v>0.65</v>
      </c>
      <c r="CB173" s="47">
        <v>1</v>
      </c>
      <c r="CC173" s="46">
        <v>2.8773184806992838</v>
      </c>
      <c r="CD173" s="46">
        <v>19.233711844556318</v>
      </c>
      <c r="CE173" s="46">
        <v>77.888969674744388</v>
      </c>
      <c r="CF173" s="125">
        <v>1</v>
      </c>
      <c r="CG173" s="40">
        <f t="shared" si="151"/>
        <v>2.0495343634972962E-2</v>
      </c>
      <c r="CH173" s="40">
        <f t="shared" si="152"/>
        <v>2.0495343634972962E-2</v>
      </c>
      <c r="CI173" s="99">
        <f t="shared" si="153"/>
        <v>5.8971631009190138E-4</v>
      </c>
      <c r="CJ173" s="100">
        <f t="shared" si="154"/>
        <v>3.9420153363023142E-3</v>
      </c>
      <c r="CK173" s="100">
        <f t="shared" si="155"/>
        <v>1.5963611988578746E-2</v>
      </c>
      <c r="CL173" s="101">
        <f t="shared" si="132"/>
        <v>7.2943738539038507E-4</v>
      </c>
      <c r="CM173" s="100">
        <f t="shared" si="133"/>
        <v>3.9319277794447145E-3</v>
      </c>
      <c r="CN173" s="100">
        <f t="shared" si="134"/>
        <v>5.9130230044534713E-3</v>
      </c>
      <c r="CO173" s="100">
        <f t="shared" si="135"/>
        <v>2.3945417982868117E-2</v>
      </c>
      <c r="CP173" s="101">
        <f t="shared" si="136"/>
        <v>1.0941560780855777E-3</v>
      </c>
      <c r="CQ173" s="100">
        <f t="shared" si="137"/>
        <v>5.8978916691670713E-3</v>
      </c>
      <c r="CR173" s="99">
        <f t="shared" si="138"/>
        <v>0.22111030325255604</v>
      </c>
      <c r="CS173" s="31">
        <v>1.5</v>
      </c>
      <c r="CT173" s="31">
        <v>1.5</v>
      </c>
      <c r="CU173" s="43">
        <v>0.1</v>
      </c>
      <c r="CV173" s="44">
        <v>0.39</v>
      </c>
      <c r="CW173" s="43">
        <v>2.1000000000000001E-2</v>
      </c>
      <c r="CX173" s="44">
        <v>0.15</v>
      </c>
    </row>
    <row r="174" spans="1:102" s="27" customFormat="1" x14ac:dyDescent="0.25">
      <c r="A174" s="31">
        <v>160</v>
      </c>
      <c r="B174" s="84" t="s">
        <v>91</v>
      </c>
      <c r="C174" s="19">
        <v>60</v>
      </c>
      <c r="D174" s="31" t="s">
        <v>36</v>
      </c>
      <c r="E174" s="31" t="s">
        <v>5</v>
      </c>
      <c r="F174" s="19" t="s">
        <v>13</v>
      </c>
      <c r="G174" s="31" t="str">
        <f t="shared" si="139"/>
        <v>Kommunal 60 M 4L B</v>
      </c>
      <c r="H174" s="48">
        <f t="shared" si="105"/>
        <v>0.17508919402577938</v>
      </c>
      <c r="I174" s="40">
        <f t="shared" si="106"/>
        <v>0.19929847083962995</v>
      </c>
      <c r="J174" s="99">
        <f t="shared" si="107"/>
        <v>3.5123778847216966E-3</v>
      </c>
      <c r="K174" s="48">
        <f t="shared" si="108"/>
        <v>5.6802279141886097E-2</v>
      </c>
      <c r="L174" s="48">
        <f t="shared" si="109"/>
        <v>0.13898381381302216</v>
      </c>
      <c r="M174" s="48">
        <f t="shared" si="140"/>
        <v>0.20810940910538753</v>
      </c>
      <c r="N174" s="99">
        <f t="shared" si="110"/>
        <v>6.7922100921948602E-3</v>
      </c>
      <c r="O174" s="48">
        <f t="shared" si="111"/>
        <v>3.5059299237797867E-2</v>
      </c>
      <c r="P174" s="48">
        <f t="shared" si="112"/>
        <v>8.5203418712829146E-2</v>
      </c>
      <c r="Q174" s="48">
        <f t="shared" si="113"/>
        <v>0.20847572071953321</v>
      </c>
      <c r="R174" s="40">
        <f t="shared" si="141"/>
        <v>1.4567658637377128</v>
      </c>
      <c r="S174" s="99">
        <f t="shared" si="114"/>
        <v>1.0188315138292291E-2</v>
      </c>
      <c r="T174" s="48">
        <f t="shared" si="115"/>
        <v>5.2588948856696807E-2</v>
      </c>
      <c r="U174" s="44">
        <v>13.725491471999996</v>
      </c>
      <c r="V174" s="19">
        <v>1.25</v>
      </c>
      <c r="W174" s="19">
        <v>0.55000000000000004</v>
      </c>
      <c r="X174" s="44">
        <v>1.1602402633204796</v>
      </c>
      <c r="Y174" s="46">
        <v>1.4575311513386686</v>
      </c>
      <c r="Z174" s="46">
        <v>29.229021073641352</v>
      </c>
      <c r="AA174" s="46">
        <v>69.313447775019981</v>
      </c>
      <c r="AB174" s="46">
        <v>1.1872265966754156</v>
      </c>
      <c r="AC174" s="125">
        <v>1</v>
      </c>
      <c r="AD174" s="94">
        <f t="shared" si="142"/>
        <v>0.15108110977970723</v>
      </c>
      <c r="AE174" s="94">
        <f t="shared" si="143"/>
        <v>0.17529038659355781</v>
      </c>
      <c r="AF174" s="96">
        <f t="shared" si="116"/>
        <v>2.5549119899030866E-3</v>
      </c>
      <c r="AG174" s="95">
        <f t="shared" si="156"/>
        <v>5.1235664037498407E-2</v>
      </c>
      <c r="AH174" s="94">
        <f t="shared" si="144"/>
        <v>0.12149981056615632</v>
      </c>
      <c r="AI174" s="94">
        <f t="shared" si="145"/>
        <v>0.20810940910538753</v>
      </c>
      <c r="AJ174" s="96">
        <f t="shared" si="117"/>
        <v>5.8247287368531995E-3</v>
      </c>
      <c r="AK174" s="95">
        <f t="shared" si="118"/>
        <v>3.0140961304099878E-2</v>
      </c>
      <c r="AL174" s="95">
        <f t="shared" si="119"/>
        <v>7.6853496056247611E-2</v>
      </c>
      <c r="AM174" s="94">
        <f t="shared" si="120"/>
        <v>0.18224971584923447</v>
      </c>
      <c r="AN174" s="93">
        <f t="shared" si="121"/>
        <v>1.4567658637377128</v>
      </c>
      <c r="AO174" s="96">
        <f t="shared" si="122"/>
        <v>8.7370931052798001E-3</v>
      </c>
      <c r="AP174" s="95">
        <f t="shared" si="123"/>
        <v>4.5211441956149817E-2</v>
      </c>
      <c r="AQ174" s="93">
        <f t="shared" si="124"/>
        <v>0.30686552224980018</v>
      </c>
      <c r="AR174" s="31">
        <v>1.5</v>
      </c>
      <c r="AS174" s="31">
        <v>1.5</v>
      </c>
      <c r="AT174" s="31">
        <v>7</v>
      </c>
      <c r="AU174" s="43">
        <v>7.0999999999999994E-2</v>
      </c>
      <c r="AV174" s="44">
        <v>0.28000000000000003</v>
      </c>
      <c r="AW174" s="43">
        <v>1.7999999999999999E-2</v>
      </c>
      <c r="AX174" s="44">
        <v>0.13</v>
      </c>
      <c r="AY174" s="44">
        <v>6.05756702133713</v>
      </c>
      <c r="AZ174" s="46">
        <v>0.5</v>
      </c>
      <c r="BA174" s="44">
        <v>0.72</v>
      </c>
      <c r="BB174" s="47">
        <v>1</v>
      </c>
      <c r="BC174" s="46">
        <v>10.469021924497721</v>
      </c>
      <c r="BD174" s="47">
        <v>46.248782587366165</v>
      </c>
      <c r="BE174" s="47">
        <v>43.282195488136104</v>
      </c>
      <c r="BF174" s="125">
        <v>1</v>
      </c>
      <c r="BG174" s="48">
        <f t="shared" si="146"/>
        <v>3.5127406110991837E-3</v>
      </c>
      <c r="BH174" s="48">
        <f t="shared" si="147"/>
        <v>3.5127406110991837E-3</v>
      </c>
      <c r="BI174" s="99">
        <f t="shared" si="148"/>
        <v>3.6774958472670879E-4</v>
      </c>
      <c r="BJ174" s="99">
        <f t="shared" si="149"/>
        <v>1.6245997680853792E-3</v>
      </c>
      <c r="BK174" s="48">
        <f t="shared" si="150"/>
        <v>1.5203912582870953E-3</v>
      </c>
      <c r="BL174" s="99">
        <f t="shared" si="125"/>
        <v>2.3804396995127559E-4</v>
      </c>
      <c r="BM174" s="48">
        <f t="shared" si="126"/>
        <v>9.864101542532784E-4</v>
      </c>
      <c r="BN174" s="48">
        <f t="shared" si="127"/>
        <v>2.4368996521280687E-3</v>
      </c>
      <c r="BO174" s="48">
        <f t="shared" si="128"/>
        <v>2.2805868874306431E-3</v>
      </c>
      <c r="BP174" s="99">
        <f t="shared" si="129"/>
        <v>3.5706595492691337E-4</v>
      </c>
      <c r="BQ174" s="48">
        <f t="shared" si="130"/>
        <v>1.4796152313799175E-3</v>
      </c>
      <c r="BR174" s="40">
        <f t="shared" si="131"/>
        <v>0.56717804511863879</v>
      </c>
      <c r="BS174" s="31">
        <v>1.5</v>
      </c>
      <c r="BT174" s="31">
        <v>1.5</v>
      </c>
      <c r="BU174" s="43">
        <v>0.125</v>
      </c>
      <c r="BV174" s="44">
        <v>0.42</v>
      </c>
      <c r="BW174" s="43">
        <v>2.3E-2</v>
      </c>
      <c r="BX174" s="44">
        <v>0.2</v>
      </c>
      <c r="BY174" s="44">
        <v>15.602524598139274</v>
      </c>
      <c r="BZ174" s="44">
        <v>0.52</v>
      </c>
      <c r="CA174" s="44">
        <v>0.65</v>
      </c>
      <c r="CB174" s="47">
        <v>1</v>
      </c>
      <c r="CC174" s="46">
        <v>2.8773184806992838</v>
      </c>
      <c r="CD174" s="46">
        <v>19.233711844556318</v>
      </c>
      <c r="CE174" s="46">
        <v>77.888969674744388</v>
      </c>
      <c r="CF174" s="125">
        <v>1</v>
      </c>
      <c r="CG174" s="40">
        <f t="shared" si="151"/>
        <v>2.0495343634972962E-2</v>
      </c>
      <c r="CH174" s="40">
        <f t="shared" si="152"/>
        <v>2.0495343634972962E-2</v>
      </c>
      <c r="CI174" s="99">
        <f t="shared" si="153"/>
        <v>5.8971631009190138E-4</v>
      </c>
      <c r="CJ174" s="100">
        <f t="shared" si="154"/>
        <v>3.9420153363023142E-3</v>
      </c>
      <c r="CK174" s="100">
        <f t="shared" si="155"/>
        <v>1.5963611988578746E-2</v>
      </c>
      <c r="CL174" s="101">
        <f t="shared" si="132"/>
        <v>7.2943738539038507E-4</v>
      </c>
      <c r="CM174" s="100">
        <f t="shared" si="133"/>
        <v>3.9319277794447145E-3</v>
      </c>
      <c r="CN174" s="100">
        <f t="shared" si="134"/>
        <v>5.9130230044534713E-3</v>
      </c>
      <c r="CO174" s="100">
        <f t="shared" si="135"/>
        <v>2.3945417982868117E-2</v>
      </c>
      <c r="CP174" s="101">
        <f t="shared" si="136"/>
        <v>1.0941560780855777E-3</v>
      </c>
      <c r="CQ174" s="100">
        <f t="shared" si="137"/>
        <v>5.8978916691670713E-3</v>
      </c>
      <c r="CR174" s="99">
        <f t="shared" si="138"/>
        <v>0.22111030325255604</v>
      </c>
      <c r="CS174" s="31">
        <v>1.5</v>
      </c>
      <c r="CT174" s="31">
        <v>1.5</v>
      </c>
      <c r="CU174" s="43">
        <v>0.1</v>
      </c>
      <c r="CV174" s="44">
        <v>0.39</v>
      </c>
      <c r="CW174" s="43">
        <v>2.1000000000000001E-2</v>
      </c>
      <c r="CX174" s="44">
        <v>0.15</v>
      </c>
    </row>
    <row r="175" spans="1:102" s="27" customFormat="1" x14ac:dyDescent="0.25">
      <c r="A175" s="31">
        <v>161</v>
      </c>
      <c r="B175" s="84" t="s">
        <v>91</v>
      </c>
      <c r="C175" s="19">
        <v>60</v>
      </c>
      <c r="D175" s="31" t="s">
        <v>36</v>
      </c>
      <c r="E175" s="31" t="s">
        <v>5</v>
      </c>
      <c r="F175" s="19" t="s">
        <v>70</v>
      </c>
      <c r="G175" s="31" t="str">
        <f t="shared" si="139"/>
        <v>Kommunal 60 M 4L Ck</v>
      </c>
      <c r="H175" s="48">
        <f t="shared" si="105"/>
        <v>0.16713755666895272</v>
      </c>
      <c r="I175" s="40">
        <f t="shared" si="106"/>
        <v>0.19007266101891643</v>
      </c>
      <c r="J175" s="99">
        <f t="shared" si="107"/>
        <v>3.3779088326215349E-3</v>
      </c>
      <c r="K175" s="48">
        <f t="shared" si="108"/>
        <v>5.4105665245175662E-2</v>
      </c>
      <c r="L175" s="48">
        <f t="shared" si="109"/>
        <v>0.13258908694111921</v>
      </c>
      <c r="M175" s="48">
        <f t="shared" si="140"/>
        <v>0.19715628231036722</v>
      </c>
      <c r="N175" s="99">
        <f t="shared" si="110"/>
        <v>6.4856454218341674E-3</v>
      </c>
      <c r="O175" s="48">
        <f t="shared" si="111"/>
        <v>3.3472932853371565E-2</v>
      </c>
      <c r="P175" s="48">
        <f t="shared" si="112"/>
        <v>8.1158497867763496E-2</v>
      </c>
      <c r="Q175" s="48">
        <f t="shared" si="113"/>
        <v>0.19888363041167881</v>
      </c>
      <c r="R175" s="40">
        <f t="shared" si="141"/>
        <v>1.3800939761725706</v>
      </c>
      <c r="S175" s="99">
        <f t="shared" si="114"/>
        <v>9.7284681327512515E-3</v>
      </c>
      <c r="T175" s="48">
        <f t="shared" si="115"/>
        <v>5.0209399280057354E-2</v>
      </c>
      <c r="U175" s="44">
        <v>13.003097184</v>
      </c>
      <c r="V175" s="19">
        <v>1.25</v>
      </c>
      <c r="W175" s="19">
        <v>0.55000000000000004</v>
      </c>
      <c r="X175" s="44">
        <v>1.1602402633204796</v>
      </c>
      <c r="Y175" s="46">
        <v>1.4575311513386686</v>
      </c>
      <c r="Z175" s="46">
        <v>29.229021073641348</v>
      </c>
      <c r="AA175" s="46">
        <v>69.313447775019981</v>
      </c>
      <c r="AB175" s="46">
        <v>1.1872265966754159</v>
      </c>
      <c r="AC175" s="125">
        <v>1</v>
      </c>
      <c r="AD175" s="94">
        <f t="shared" si="142"/>
        <v>0.14312947242288057</v>
      </c>
      <c r="AE175" s="94">
        <f t="shared" si="143"/>
        <v>0.16606457677284428</v>
      </c>
      <c r="AF175" s="96">
        <f t="shared" si="116"/>
        <v>2.4204429378029248E-3</v>
      </c>
      <c r="AG175" s="95">
        <f t="shared" si="156"/>
        <v>4.8539050140787972E-2</v>
      </c>
      <c r="AH175" s="94">
        <f t="shared" si="144"/>
        <v>0.11510508369425337</v>
      </c>
      <c r="AI175" s="94">
        <f t="shared" si="145"/>
        <v>0.19715628231036722</v>
      </c>
      <c r="AJ175" s="96">
        <f t="shared" si="117"/>
        <v>5.5181640664925067E-3</v>
      </c>
      <c r="AK175" s="95">
        <f t="shared" si="118"/>
        <v>2.8554594919673573E-2</v>
      </c>
      <c r="AL175" s="95">
        <f t="shared" si="119"/>
        <v>7.2808575211181961E-2</v>
      </c>
      <c r="AM175" s="94">
        <f t="shared" si="120"/>
        <v>0.17265762554138006</v>
      </c>
      <c r="AN175" s="93">
        <f t="shared" si="121"/>
        <v>1.3800939761725706</v>
      </c>
      <c r="AO175" s="96">
        <f t="shared" si="122"/>
        <v>8.2772460997387592E-3</v>
      </c>
      <c r="AP175" s="95">
        <f t="shared" si="123"/>
        <v>4.2831892379510364E-2</v>
      </c>
      <c r="AQ175" s="93">
        <f t="shared" si="124"/>
        <v>0.30686552224980018</v>
      </c>
      <c r="AR175" s="31">
        <v>1.5</v>
      </c>
      <c r="AS175" s="31">
        <v>1.5</v>
      </c>
      <c r="AT175" s="31">
        <v>7</v>
      </c>
      <c r="AU175" s="43">
        <v>7.0999999999999994E-2</v>
      </c>
      <c r="AV175" s="44">
        <v>0.28000000000000003</v>
      </c>
      <c r="AW175" s="43">
        <v>1.7999999999999999E-2</v>
      </c>
      <c r="AX175" s="44">
        <v>0.13</v>
      </c>
      <c r="AY175" s="44">
        <v>6.05756702133713</v>
      </c>
      <c r="AZ175" s="46">
        <v>0.5</v>
      </c>
      <c r="BA175" s="44">
        <v>0.72</v>
      </c>
      <c r="BB175" s="47">
        <v>1</v>
      </c>
      <c r="BC175" s="46">
        <v>10.469021924497721</v>
      </c>
      <c r="BD175" s="47">
        <v>46.248782587366165</v>
      </c>
      <c r="BE175" s="47">
        <v>43.282195488136104</v>
      </c>
      <c r="BF175" s="125">
        <v>1</v>
      </c>
      <c r="BG175" s="48">
        <f t="shared" si="146"/>
        <v>3.5127406110991837E-3</v>
      </c>
      <c r="BH175" s="48">
        <f t="shared" si="147"/>
        <v>3.5127406110991837E-3</v>
      </c>
      <c r="BI175" s="99">
        <f t="shared" si="148"/>
        <v>3.6774958472670879E-4</v>
      </c>
      <c r="BJ175" s="99">
        <f t="shared" si="149"/>
        <v>1.6245997680853792E-3</v>
      </c>
      <c r="BK175" s="48">
        <f t="shared" si="150"/>
        <v>1.5203912582870953E-3</v>
      </c>
      <c r="BL175" s="99">
        <f t="shared" si="125"/>
        <v>2.3804396995127559E-4</v>
      </c>
      <c r="BM175" s="48">
        <f t="shared" si="126"/>
        <v>9.864101542532784E-4</v>
      </c>
      <c r="BN175" s="48">
        <f t="shared" si="127"/>
        <v>2.4368996521280687E-3</v>
      </c>
      <c r="BO175" s="48">
        <f t="shared" si="128"/>
        <v>2.2805868874306431E-3</v>
      </c>
      <c r="BP175" s="99">
        <f t="shared" si="129"/>
        <v>3.5706595492691337E-4</v>
      </c>
      <c r="BQ175" s="48">
        <f t="shared" si="130"/>
        <v>1.4796152313799175E-3</v>
      </c>
      <c r="BR175" s="40">
        <f t="shared" si="131"/>
        <v>0.56717804511863879</v>
      </c>
      <c r="BS175" s="31">
        <v>1.5</v>
      </c>
      <c r="BT175" s="31">
        <v>1.5</v>
      </c>
      <c r="BU175" s="43">
        <v>0.125</v>
      </c>
      <c r="BV175" s="44">
        <v>0.42</v>
      </c>
      <c r="BW175" s="43">
        <v>2.3E-2</v>
      </c>
      <c r="BX175" s="44">
        <v>0.2</v>
      </c>
      <c r="BY175" s="44">
        <v>15.602524598139274</v>
      </c>
      <c r="BZ175" s="44">
        <v>0.52</v>
      </c>
      <c r="CA175" s="44">
        <v>0.65</v>
      </c>
      <c r="CB175" s="47">
        <v>1</v>
      </c>
      <c r="CC175" s="46">
        <v>2.8773184806992838</v>
      </c>
      <c r="CD175" s="46">
        <v>19.233711844556318</v>
      </c>
      <c r="CE175" s="46">
        <v>77.888969674744388</v>
      </c>
      <c r="CF175" s="125">
        <v>1</v>
      </c>
      <c r="CG175" s="40">
        <f t="shared" si="151"/>
        <v>2.0495343634972962E-2</v>
      </c>
      <c r="CH175" s="40">
        <f t="shared" si="152"/>
        <v>2.0495343634972962E-2</v>
      </c>
      <c r="CI175" s="99">
        <f t="shared" si="153"/>
        <v>5.8971631009190138E-4</v>
      </c>
      <c r="CJ175" s="100">
        <f t="shared" si="154"/>
        <v>3.9420153363023142E-3</v>
      </c>
      <c r="CK175" s="100">
        <f t="shared" si="155"/>
        <v>1.5963611988578746E-2</v>
      </c>
      <c r="CL175" s="101">
        <f t="shared" si="132"/>
        <v>7.2943738539038507E-4</v>
      </c>
      <c r="CM175" s="100">
        <f t="shared" si="133"/>
        <v>3.9319277794447145E-3</v>
      </c>
      <c r="CN175" s="100">
        <f t="shared" si="134"/>
        <v>5.9130230044534713E-3</v>
      </c>
      <c r="CO175" s="100">
        <f t="shared" si="135"/>
        <v>2.3945417982868117E-2</v>
      </c>
      <c r="CP175" s="101">
        <f t="shared" si="136"/>
        <v>1.0941560780855777E-3</v>
      </c>
      <c r="CQ175" s="100">
        <f t="shared" si="137"/>
        <v>5.8978916691670713E-3</v>
      </c>
      <c r="CR175" s="99">
        <f t="shared" si="138"/>
        <v>0.22111030325255604</v>
      </c>
      <c r="CS175" s="31">
        <v>1.5</v>
      </c>
      <c r="CT175" s="31">
        <v>1.5</v>
      </c>
      <c r="CU175" s="43">
        <v>0.1</v>
      </c>
      <c r="CV175" s="44">
        <v>0.39</v>
      </c>
      <c r="CW175" s="43">
        <v>2.1000000000000001E-2</v>
      </c>
      <c r="CX175" s="44">
        <v>0.15</v>
      </c>
    </row>
    <row r="176" spans="1:102" s="27" customFormat="1" x14ac:dyDescent="0.25">
      <c r="A176" s="31">
        <v>162</v>
      </c>
      <c r="B176" s="84" t="s">
        <v>91</v>
      </c>
      <c r="C176" s="19">
        <v>60</v>
      </c>
      <c r="D176" s="31" t="s">
        <v>36</v>
      </c>
      <c r="E176" s="31" t="s">
        <v>5</v>
      </c>
      <c r="F176" s="31" t="s">
        <v>71</v>
      </c>
      <c r="G176" s="31" t="str">
        <f t="shared" si="139"/>
        <v>Kommunal 60 M 4L Cm</v>
      </c>
      <c r="H176" s="48">
        <f t="shared" si="105"/>
        <v>0.16713755666895272</v>
      </c>
      <c r="I176" s="40">
        <f t="shared" si="106"/>
        <v>0.19007266101891643</v>
      </c>
      <c r="J176" s="99">
        <f t="shared" si="107"/>
        <v>3.3779088326215349E-3</v>
      </c>
      <c r="K176" s="48">
        <f t="shared" si="108"/>
        <v>5.4105665245175662E-2</v>
      </c>
      <c r="L176" s="48">
        <f t="shared" si="109"/>
        <v>0.13258908694111921</v>
      </c>
      <c r="M176" s="48">
        <f t="shared" si="140"/>
        <v>0.19715628231036722</v>
      </c>
      <c r="N176" s="99">
        <f t="shared" si="110"/>
        <v>6.4856454218341674E-3</v>
      </c>
      <c r="O176" s="48">
        <f t="shared" si="111"/>
        <v>3.3472932853371565E-2</v>
      </c>
      <c r="P176" s="48">
        <f t="shared" si="112"/>
        <v>8.1158497867763496E-2</v>
      </c>
      <c r="Q176" s="48">
        <f t="shared" si="113"/>
        <v>0.19888363041167881</v>
      </c>
      <c r="R176" s="40">
        <f t="shared" si="141"/>
        <v>1.3800939761725706</v>
      </c>
      <c r="S176" s="99">
        <f t="shared" si="114"/>
        <v>9.7284681327512515E-3</v>
      </c>
      <c r="T176" s="48">
        <f t="shared" si="115"/>
        <v>5.0209399280057354E-2</v>
      </c>
      <c r="U176" s="44">
        <v>13.003097184</v>
      </c>
      <c r="V176" s="19">
        <v>1.25</v>
      </c>
      <c r="W176" s="19">
        <v>0.55000000000000004</v>
      </c>
      <c r="X176" s="44">
        <v>1.1602402633204796</v>
      </c>
      <c r="Y176" s="46">
        <v>1.4575311513386686</v>
      </c>
      <c r="Z176" s="46">
        <v>29.229021073641348</v>
      </c>
      <c r="AA176" s="46">
        <v>69.313447775019981</v>
      </c>
      <c r="AB176" s="46">
        <v>1.1872265966754159</v>
      </c>
      <c r="AC176" s="125">
        <v>1</v>
      </c>
      <c r="AD176" s="94">
        <f t="shared" si="142"/>
        <v>0.14312947242288057</v>
      </c>
      <c r="AE176" s="94">
        <f t="shared" si="143"/>
        <v>0.16606457677284428</v>
      </c>
      <c r="AF176" s="96">
        <f t="shared" si="116"/>
        <v>2.4204429378029248E-3</v>
      </c>
      <c r="AG176" s="95">
        <f t="shared" si="156"/>
        <v>4.8539050140787972E-2</v>
      </c>
      <c r="AH176" s="94">
        <f t="shared" si="144"/>
        <v>0.11510508369425337</v>
      </c>
      <c r="AI176" s="94">
        <f t="shared" si="145"/>
        <v>0.19715628231036722</v>
      </c>
      <c r="AJ176" s="96">
        <f t="shared" si="117"/>
        <v>5.5181640664925067E-3</v>
      </c>
      <c r="AK176" s="95">
        <f t="shared" si="118"/>
        <v>2.8554594919673573E-2</v>
      </c>
      <c r="AL176" s="95">
        <f t="shared" si="119"/>
        <v>7.2808575211181961E-2</v>
      </c>
      <c r="AM176" s="94">
        <f t="shared" si="120"/>
        <v>0.17265762554138006</v>
      </c>
      <c r="AN176" s="93">
        <f t="shared" si="121"/>
        <v>1.3800939761725706</v>
      </c>
      <c r="AO176" s="96">
        <f t="shared" si="122"/>
        <v>8.2772460997387592E-3</v>
      </c>
      <c r="AP176" s="95">
        <f t="shared" si="123"/>
        <v>4.2831892379510364E-2</v>
      </c>
      <c r="AQ176" s="93">
        <f t="shared" si="124"/>
        <v>0.30686552224980018</v>
      </c>
      <c r="AR176" s="31">
        <v>1.5</v>
      </c>
      <c r="AS176" s="31">
        <v>1.5</v>
      </c>
      <c r="AT176" s="31">
        <v>7</v>
      </c>
      <c r="AU176" s="43">
        <v>7.0999999999999994E-2</v>
      </c>
      <c r="AV176" s="44">
        <v>0.28000000000000003</v>
      </c>
      <c r="AW176" s="43">
        <v>1.7999999999999999E-2</v>
      </c>
      <c r="AX176" s="44">
        <v>0.13</v>
      </c>
      <c r="AY176" s="44">
        <v>6.05756702133713</v>
      </c>
      <c r="AZ176" s="46">
        <v>0.5</v>
      </c>
      <c r="BA176" s="44">
        <v>0.72</v>
      </c>
      <c r="BB176" s="47">
        <v>1</v>
      </c>
      <c r="BC176" s="46">
        <v>10.469021924497721</v>
      </c>
      <c r="BD176" s="47">
        <v>46.248782587366165</v>
      </c>
      <c r="BE176" s="47">
        <v>43.282195488136104</v>
      </c>
      <c r="BF176" s="125">
        <v>1</v>
      </c>
      <c r="BG176" s="48">
        <f t="shared" si="146"/>
        <v>3.5127406110991837E-3</v>
      </c>
      <c r="BH176" s="48">
        <f t="shared" si="147"/>
        <v>3.5127406110991837E-3</v>
      </c>
      <c r="BI176" s="99">
        <f t="shared" si="148"/>
        <v>3.6774958472670879E-4</v>
      </c>
      <c r="BJ176" s="99">
        <f t="shared" si="149"/>
        <v>1.6245997680853792E-3</v>
      </c>
      <c r="BK176" s="48">
        <f t="shared" si="150"/>
        <v>1.5203912582870953E-3</v>
      </c>
      <c r="BL176" s="99">
        <f t="shared" si="125"/>
        <v>2.3804396995127559E-4</v>
      </c>
      <c r="BM176" s="48">
        <f t="shared" si="126"/>
        <v>9.864101542532784E-4</v>
      </c>
      <c r="BN176" s="48">
        <f t="shared" si="127"/>
        <v>2.4368996521280687E-3</v>
      </c>
      <c r="BO176" s="48">
        <f t="shared" si="128"/>
        <v>2.2805868874306431E-3</v>
      </c>
      <c r="BP176" s="99">
        <f t="shared" si="129"/>
        <v>3.5706595492691337E-4</v>
      </c>
      <c r="BQ176" s="48">
        <f t="shared" si="130"/>
        <v>1.4796152313799175E-3</v>
      </c>
      <c r="BR176" s="40">
        <f t="shared" si="131"/>
        <v>0.56717804511863879</v>
      </c>
      <c r="BS176" s="31">
        <v>1.5</v>
      </c>
      <c r="BT176" s="31">
        <v>1.5</v>
      </c>
      <c r="BU176" s="43">
        <v>0.125</v>
      </c>
      <c r="BV176" s="44">
        <v>0.42</v>
      </c>
      <c r="BW176" s="43">
        <v>2.3E-2</v>
      </c>
      <c r="BX176" s="44">
        <v>0.2</v>
      </c>
      <c r="BY176" s="44">
        <v>15.602524598139274</v>
      </c>
      <c r="BZ176" s="44">
        <v>0.52</v>
      </c>
      <c r="CA176" s="44">
        <v>0.65</v>
      </c>
      <c r="CB176" s="47">
        <v>1</v>
      </c>
      <c r="CC176" s="46">
        <v>2.8773184806992838</v>
      </c>
      <c r="CD176" s="46">
        <v>19.233711844556318</v>
      </c>
      <c r="CE176" s="46">
        <v>77.888969674744388</v>
      </c>
      <c r="CF176" s="125">
        <v>1</v>
      </c>
      <c r="CG176" s="40">
        <f t="shared" si="151"/>
        <v>2.0495343634972962E-2</v>
      </c>
      <c r="CH176" s="40">
        <f t="shared" si="152"/>
        <v>2.0495343634972962E-2</v>
      </c>
      <c r="CI176" s="99">
        <f t="shared" si="153"/>
        <v>5.8971631009190138E-4</v>
      </c>
      <c r="CJ176" s="100">
        <f t="shared" si="154"/>
        <v>3.9420153363023142E-3</v>
      </c>
      <c r="CK176" s="100">
        <f t="shared" si="155"/>
        <v>1.5963611988578746E-2</v>
      </c>
      <c r="CL176" s="101">
        <f t="shared" si="132"/>
        <v>7.2943738539038507E-4</v>
      </c>
      <c r="CM176" s="100">
        <f t="shared" si="133"/>
        <v>3.9319277794447145E-3</v>
      </c>
      <c r="CN176" s="100">
        <f t="shared" si="134"/>
        <v>5.9130230044534713E-3</v>
      </c>
      <c r="CO176" s="100">
        <f t="shared" si="135"/>
        <v>2.3945417982868117E-2</v>
      </c>
      <c r="CP176" s="101">
        <f t="shared" si="136"/>
        <v>1.0941560780855777E-3</v>
      </c>
      <c r="CQ176" s="100">
        <f t="shared" si="137"/>
        <v>5.8978916691670713E-3</v>
      </c>
      <c r="CR176" s="99">
        <f t="shared" si="138"/>
        <v>0.22111030325255604</v>
      </c>
      <c r="CS176" s="31">
        <v>1.5</v>
      </c>
      <c r="CT176" s="31">
        <v>1.5</v>
      </c>
      <c r="CU176" s="43">
        <v>0.1</v>
      </c>
      <c r="CV176" s="44">
        <v>0.39</v>
      </c>
      <c r="CW176" s="43">
        <v>2.1000000000000001E-2</v>
      </c>
      <c r="CX176" s="44">
        <v>0.15</v>
      </c>
    </row>
    <row r="177" spans="1:102" s="27" customFormat="1" x14ac:dyDescent="0.25">
      <c r="A177" s="31">
        <v>163</v>
      </c>
      <c r="B177" s="84" t="s">
        <v>91</v>
      </c>
      <c r="C177" s="19">
        <v>60</v>
      </c>
      <c r="D177" s="31" t="s">
        <v>36</v>
      </c>
      <c r="E177" s="31" t="s">
        <v>5</v>
      </c>
      <c r="F177" s="19" t="s">
        <v>0</v>
      </c>
      <c r="G177" s="31" t="str">
        <f t="shared" si="139"/>
        <v>Kommunal 60 M 4L D</v>
      </c>
      <c r="H177" s="48">
        <f t="shared" si="105"/>
        <v>6.6635557872128229E-2</v>
      </c>
      <c r="I177" s="40">
        <f t="shared" si="106"/>
        <v>9.816700101471873E-2</v>
      </c>
      <c r="J177" s="99">
        <f t="shared" si="107"/>
        <v>9.5746589481861017E-4</v>
      </c>
      <c r="K177" s="48">
        <f t="shared" si="108"/>
        <v>1.5047051446829123E-2</v>
      </c>
      <c r="L177" s="48">
        <f t="shared" si="109"/>
        <v>8.2162483673070996E-2</v>
      </c>
      <c r="M177" s="48">
        <f t="shared" si="140"/>
        <v>0.3288786743653021</v>
      </c>
      <c r="N177" s="99">
        <f t="shared" si="110"/>
        <v>2.8048049833266945E-3</v>
      </c>
      <c r="O177" s="48">
        <f t="shared" si="111"/>
        <v>1.5981062564988265E-2</v>
      </c>
      <c r="P177" s="48">
        <f t="shared" si="112"/>
        <v>2.2570577170243685E-2</v>
      </c>
      <c r="Q177" s="48">
        <f t="shared" si="113"/>
        <v>0.12324372550960648</v>
      </c>
      <c r="R177" s="40">
        <f t="shared" si="141"/>
        <v>2.3021507205571146</v>
      </c>
      <c r="S177" s="99">
        <f t="shared" si="114"/>
        <v>4.2072074749900414E-3</v>
      </c>
      <c r="T177" s="48">
        <f t="shared" si="115"/>
        <v>2.3971593847482396E-2</v>
      </c>
      <c r="U177" s="44">
        <v>1.761305040000001</v>
      </c>
      <c r="V177" s="44">
        <v>1.2</v>
      </c>
      <c r="W177" s="19">
        <v>0</v>
      </c>
      <c r="X177" s="44">
        <v>1.7396976752409947</v>
      </c>
      <c r="Y177" s="46">
        <v>0</v>
      </c>
      <c r="Z177" s="46">
        <v>12.783946631822477</v>
      </c>
      <c r="AA177" s="46">
        <v>87.216053368177526</v>
      </c>
      <c r="AB177" s="46">
        <v>4.4347826086956506</v>
      </c>
      <c r="AC177" s="125">
        <v>1</v>
      </c>
      <c r="AD177" s="94">
        <f t="shared" si="142"/>
        <v>4.2627473626056081E-2</v>
      </c>
      <c r="AE177" s="94">
        <f t="shared" si="143"/>
        <v>7.4158916768646582E-2</v>
      </c>
      <c r="AF177" s="96">
        <f t="shared" si="116"/>
        <v>0</v>
      </c>
      <c r="AG177" s="95">
        <f t="shared" si="156"/>
        <v>9.4804363424414295E-3</v>
      </c>
      <c r="AH177" s="94">
        <f t="shared" si="144"/>
        <v>6.4678480426205151E-2</v>
      </c>
      <c r="AI177" s="94">
        <f t="shared" si="145"/>
        <v>0.3288786743653021</v>
      </c>
      <c r="AJ177" s="96">
        <f t="shared" si="117"/>
        <v>1.8373236279850343E-3</v>
      </c>
      <c r="AK177" s="95">
        <f t="shared" si="118"/>
        <v>1.1062724631290271E-2</v>
      </c>
      <c r="AL177" s="95">
        <f t="shared" si="119"/>
        <v>1.4220654513662143E-2</v>
      </c>
      <c r="AM177" s="94">
        <f t="shared" si="120"/>
        <v>9.701772063930772E-2</v>
      </c>
      <c r="AN177" s="93">
        <f t="shared" si="121"/>
        <v>2.3021507205571146</v>
      </c>
      <c r="AO177" s="96">
        <f t="shared" si="122"/>
        <v>2.7559854419775508E-3</v>
      </c>
      <c r="AP177" s="95">
        <f t="shared" si="123"/>
        <v>1.6594086946935406E-2</v>
      </c>
      <c r="AQ177" s="93">
        <f t="shared" si="124"/>
        <v>0.12783946631822476</v>
      </c>
      <c r="AR177" s="31">
        <v>1.5</v>
      </c>
      <c r="AS177" s="31">
        <v>1.5</v>
      </c>
      <c r="AT177" s="31">
        <v>7</v>
      </c>
      <c r="AU177" s="43">
        <v>7.0999999999999994E-2</v>
      </c>
      <c r="AV177" s="44">
        <v>0.28000000000000003</v>
      </c>
      <c r="AW177" s="43">
        <v>1.7999999999999999E-2</v>
      </c>
      <c r="AX177" s="44">
        <v>0.13</v>
      </c>
      <c r="AY177" s="44">
        <v>6.05756702133713</v>
      </c>
      <c r="AZ177" s="46">
        <v>0.5</v>
      </c>
      <c r="BA177" s="44">
        <v>0.72</v>
      </c>
      <c r="BB177" s="47">
        <v>1</v>
      </c>
      <c r="BC177" s="46">
        <v>10.469021924497721</v>
      </c>
      <c r="BD177" s="47">
        <v>46.248782587366165</v>
      </c>
      <c r="BE177" s="47">
        <v>43.282195488136104</v>
      </c>
      <c r="BF177" s="125">
        <v>1</v>
      </c>
      <c r="BG177" s="48">
        <f t="shared" si="146"/>
        <v>3.5127406110991837E-3</v>
      </c>
      <c r="BH177" s="48">
        <f t="shared" si="147"/>
        <v>3.5127406110991837E-3</v>
      </c>
      <c r="BI177" s="99">
        <f t="shared" si="148"/>
        <v>3.6774958472670879E-4</v>
      </c>
      <c r="BJ177" s="99">
        <f t="shared" si="149"/>
        <v>1.6245997680853792E-3</v>
      </c>
      <c r="BK177" s="48">
        <f t="shared" si="150"/>
        <v>1.5203912582870953E-3</v>
      </c>
      <c r="BL177" s="99">
        <f t="shared" si="125"/>
        <v>2.3804396995127559E-4</v>
      </c>
      <c r="BM177" s="48">
        <f t="shared" si="126"/>
        <v>9.864101542532784E-4</v>
      </c>
      <c r="BN177" s="48">
        <f t="shared" si="127"/>
        <v>2.4368996521280687E-3</v>
      </c>
      <c r="BO177" s="48">
        <f t="shared" si="128"/>
        <v>2.2805868874306431E-3</v>
      </c>
      <c r="BP177" s="99">
        <f t="shared" si="129"/>
        <v>3.5706595492691337E-4</v>
      </c>
      <c r="BQ177" s="48">
        <f t="shared" si="130"/>
        <v>1.4796152313799175E-3</v>
      </c>
      <c r="BR177" s="40">
        <f t="shared" si="131"/>
        <v>0.56717804511863879</v>
      </c>
      <c r="BS177" s="31">
        <v>1.5</v>
      </c>
      <c r="BT177" s="31">
        <v>1.5</v>
      </c>
      <c r="BU177" s="43">
        <v>0.125</v>
      </c>
      <c r="BV177" s="44">
        <v>0.42</v>
      </c>
      <c r="BW177" s="43">
        <v>2.3E-2</v>
      </c>
      <c r="BX177" s="44">
        <v>0.2</v>
      </c>
      <c r="BY177" s="44">
        <v>15.602524598139274</v>
      </c>
      <c r="BZ177" s="44">
        <v>0.52</v>
      </c>
      <c r="CA177" s="44">
        <v>0.65</v>
      </c>
      <c r="CB177" s="47">
        <v>1</v>
      </c>
      <c r="CC177" s="46">
        <v>2.8773184806992838</v>
      </c>
      <c r="CD177" s="46">
        <v>19.233711844556318</v>
      </c>
      <c r="CE177" s="46">
        <v>77.888969674744388</v>
      </c>
      <c r="CF177" s="125">
        <v>1</v>
      </c>
      <c r="CG177" s="40">
        <f t="shared" si="151"/>
        <v>2.0495343634972962E-2</v>
      </c>
      <c r="CH177" s="40">
        <f t="shared" si="152"/>
        <v>2.0495343634972962E-2</v>
      </c>
      <c r="CI177" s="99">
        <f t="shared" si="153"/>
        <v>5.8971631009190138E-4</v>
      </c>
      <c r="CJ177" s="100">
        <f t="shared" si="154"/>
        <v>3.9420153363023142E-3</v>
      </c>
      <c r="CK177" s="100">
        <f t="shared" si="155"/>
        <v>1.5963611988578746E-2</v>
      </c>
      <c r="CL177" s="101">
        <f t="shared" si="132"/>
        <v>7.2943738539038507E-4</v>
      </c>
      <c r="CM177" s="100">
        <f t="shared" si="133"/>
        <v>3.9319277794447145E-3</v>
      </c>
      <c r="CN177" s="100">
        <f t="shared" si="134"/>
        <v>5.9130230044534713E-3</v>
      </c>
      <c r="CO177" s="100">
        <f t="shared" si="135"/>
        <v>2.3945417982868117E-2</v>
      </c>
      <c r="CP177" s="101">
        <f t="shared" si="136"/>
        <v>1.0941560780855777E-3</v>
      </c>
      <c r="CQ177" s="100">
        <f t="shared" si="137"/>
        <v>5.8978916691670713E-3</v>
      </c>
      <c r="CR177" s="99">
        <f t="shared" si="138"/>
        <v>0.22111030325255604</v>
      </c>
      <c r="CS177" s="31">
        <v>1.5</v>
      </c>
      <c r="CT177" s="31">
        <v>1.5</v>
      </c>
      <c r="CU177" s="43">
        <v>0.1</v>
      </c>
      <c r="CV177" s="44">
        <v>0.39</v>
      </c>
      <c r="CW177" s="43">
        <v>2.1000000000000001E-2</v>
      </c>
      <c r="CX177" s="44">
        <v>0.15</v>
      </c>
    </row>
    <row r="178" spans="1:102" s="27" customFormat="1" x14ac:dyDescent="0.25">
      <c r="A178" s="31">
        <v>164</v>
      </c>
      <c r="B178" s="84" t="s">
        <v>91</v>
      </c>
      <c r="C178" s="19">
        <v>60</v>
      </c>
      <c r="D178" s="31" t="s">
        <v>36</v>
      </c>
      <c r="E178" s="31" t="s">
        <v>5</v>
      </c>
      <c r="F178" s="19" t="s">
        <v>62</v>
      </c>
      <c r="G178" s="31" t="str">
        <f t="shared" si="139"/>
        <v>Kommunal 60 M 4L EE</v>
      </c>
      <c r="H178" s="48">
        <f t="shared" si="105"/>
        <v>0.26175780405652022</v>
      </c>
      <c r="I178" s="40">
        <f t="shared" si="106"/>
        <v>0.29985488176331665</v>
      </c>
      <c r="J178" s="99">
        <f t="shared" si="107"/>
        <v>4.9780188986025507E-3</v>
      </c>
      <c r="K178" s="48">
        <f t="shared" si="108"/>
        <v>8.6193933681667903E-2</v>
      </c>
      <c r="L178" s="48">
        <f t="shared" si="109"/>
        <v>0.20868292918304621</v>
      </c>
      <c r="M178" s="48">
        <f t="shared" si="140"/>
        <v>0.32749265462021077</v>
      </c>
      <c r="N178" s="99">
        <f t="shared" si="110"/>
        <v>1.0133601641179803E-2</v>
      </c>
      <c r="O178" s="48">
        <f t="shared" si="111"/>
        <v>5.2349847507039901E-2</v>
      </c>
      <c r="P178" s="48">
        <f t="shared" si="112"/>
        <v>0.12929090052250186</v>
      </c>
      <c r="Q178" s="48">
        <f t="shared" si="113"/>
        <v>0.31302439377456936</v>
      </c>
      <c r="R178" s="40">
        <f t="shared" si="141"/>
        <v>2.2924485823414753</v>
      </c>
      <c r="S178" s="99">
        <f t="shared" si="114"/>
        <v>1.5200402461769704E-2</v>
      </c>
      <c r="T178" s="48">
        <f t="shared" si="115"/>
        <v>7.8524771260559859E-2</v>
      </c>
      <c r="U178" s="44">
        <v>15.244511040000003</v>
      </c>
      <c r="V178" s="44">
        <v>1.2</v>
      </c>
      <c r="W178" s="19">
        <v>0.2</v>
      </c>
      <c r="X178" s="44">
        <v>1.1602402633204796</v>
      </c>
      <c r="Y178" s="46">
        <v>1.4575311513386691</v>
      </c>
      <c r="Z178" s="46">
        <v>29.229021073641359</v>
      </c>
      <c r="AA178" s="46">
        <v>69.313447775019981</v>
      </c>
      <c r="AB178" s="46">
        <v>1.1872265966754159</v>
      </c>
      <c r="AC178" s="125">
        <v>1</v>
      </c>
      <c r="AD178" s="94">
        <f t="shared" si="142"/>
        <v>0.23774971981044807</v>
      </c>
      <c r="AE178" s="94">
        <f t="shared" si="143"/>
        <v>0.2758467975172445</v>
      </c>
      <c r="AF178" s="96">
        <f t="shared" si="116"/>
        <v>4.0205530037839407E-3</v>
      </c>
      <c r="AG178" s="95">
        <f t="shared" si="156"/>
        <v>8.0627318577280213E-2</v>
      </c>
      <c r="AH178" s="94">
        <f t="shared" si="144"/>
        <v>0.19119892593618038</v>
      </c>
      <c r="AI178" s="94">
        <f t="shared" si="145"/>
        <v>0.32749265462021077</v>
      </c>
      <c r="AJ178" s="96">
        <f t="shared" si="117"/>
        <v>9.1661202858381412E-3</v>
      </c>
      <c r="AK178" s="95">
        <f t="shared" si="118"/>
        <v>4.7431509573341912E-2</v>
      </c>
      <c r="AL178" s="95">
        <f t="shared" si="119"/>
        <v>0.12094097786592031</v>
      </c>
      <c r="AM178" s="94">
        <f t="shared" si="120"/>
        <v>0.28679838890427056</v>
      </c>
      <c r="AN178" s="93">
        <f t="shared" si="121"/>
        <v>2.2924485823414753</v>
      </c>
      <c r="AO178" s="96">
        <f t="shared" si="122"/>
        <v>1.3749180428757212E-2</v>
      </c>
      <c r="AP178" s="95">
        <f t="shared" si="123"/>
        <v>7.1147264360012868E-2</v>
      </c>
      <c r="AQ178" s="93">
        <f t="shared" si="124"/>
        <v>0.30686552224980029</v>
      </c>
      <c r="AR178" s="31">
        <v>1.5</v>
      </c>
      <c r="AS178" s="31">
        <v>1.5</v>
      </c>
      <c r="AT178" s="31">
        <v>7</v>
      </c>
      <c r="AU178" s="43">
        <v>7.0999999999999994E-2</v>
      </c>
      <c r="AV178" s="44">
        <v>0.28000000000000003</v>
      </c>
      <c r="AW178" s="43">
        <v>1.7999999999999999E-2</v>
      </c>
      <c r="AX178" s="44">
        <v>0.13</v>
      </c>
      <c r="AY178" s="44">
        <v>6.05756702133713</v>
      </c>
      <c r="AZ178" s="46">
        <v>0.5</v>
      </c>
      <c r="BA178" s="44">
        <v>0.72</v>
      </c>
      <c r="BB178" s="47">
        <v>1</v>
      </c>
      <c r="BC178" s="46">
        <v>10.469021924497721</v>
      </c>
      <c r="BD178" s="47">
        <v>46.248782587366165</v>
      </c>
      <c r="BE178" s="47">
        <v>43.282195488136104</v>
      </c>
      <c r="BF178" s="125">
        <v>1</v>
      </c>
      <c r="BG178" s="48">
        <f t="shared" si="146"/>
        <v>3.5127406110991837E-3</v>
      </c>
      <c r="BH178" s="48">
        <f t="shared" si="147"/>
        <v>3.5127406110991837E-3</v>
      </c>
      <c r="BI178" s="99">
        <f t="shared" si="148"/>
        <v>3.6774958472670879E-4</v>
      </c>
      <c r="BJ178" s="99">
        <f t="shared" si="149"/>
        <v>1.6245997680853792E-3</v>
      </c>
      <c r="BK178" s="48">
        <f t="shared" si="150"/>
        <v>1.5203912582870953E-3</v>
      </c>
      <c r="BL178" s="99">
        <f t="shared" si="125"/>
        <v>2.3804396995127559E-4</v>
      </c>
      <c r="BM178" s="48">
        <f t="shared" si="126"/>
        <v>9.864101542532784E-4</v>
      </c>
      <c r="BN178" s="48">
        <f t="shared" si="127"/>
        <v>2.4368996521280687E-3</v>
      </c>
      <c r="BO178" s="48">
        <f t="shared" si="128"/>
        <v>2.2805868874306431E-3</v>
      </c>
      <c r="BP178" s="99">
        <f t="shared" si="129"/>
        <v>3.5706595492691337E-4</v>
      </c>
      <c r="BQ178" s="48">
        <f t="shared" si="130"/>
        <v>1.4796152313799175E-3</v>
      </c>
      <c r="BR178" s="40">
        <f t="shared" si="131"/>
        <v>0.56717804511863879</v>
      </c>
      <c r="BS178" s="31">
        <v>1.5</v>
      </c>
      <c r="BT178" s="31">
        <v>1.5</v>
      </c>
      <c r="BU178" s="43">
        <v>0.125</v>
      </c>
      <c r="BV178" s="44">
        <v>0.42</v>
      </c>
      <c r="BW178" s="43">
        <v>2.3E-2</v>
      </c>
      <c r="BX178" s="44">
        <v>0.2</v>
      </c>
      <c r="BY178" s="44">
        <v>15.602524598139274</v>
      </c>
      <c r="BZ178" s="44">
        <v>0.52</v>
      </c>
      <c r="CA178" s="44">
        <v>0.65</v>
      </c>
      <c r="CB178" s="47">
        <v>1</v>
      </c>
      <c r="CC178" s="46">
        <v>2.8773184806992838</v>
      </c>
      <c r="CD178" s="46">
        <v>19.233711844556318</v>
      </c>
      <c r="CE178" s="46">
        <v>77.888969674744388</v>
      </c>
      <c r="CF178" s="125">
        <v>1</v>
      </c>
      <c r="CG178" s="40">
        <f t="shared" si="151"/>
        <v>2.0495343634972962E-2</v>
      </c>
      <c r="CH178" s="40">
        <f t="shared" si="152"/>
        <v>2.0495343634972962E-2</v>
      </c>
      <c r="CI178" s="99">
        <f t="shared" si="153"/>
        <v>5.8971631009190138E-4</v>
      </c>
      <c r="CJ178" s="100">
        <f t="shared" si="154"/>
        <v>3.9420153363023142E-3</v>
      </c>
      <c r="CK178" s="100">
        <f t="shared" si="155"/>
        <v>1.5963611988578746E-2</v>
      </c>
      <c r="CL178" s="101">
        <f t="shared" si="132"/>
        <v>7.2943738539038507E-4</v>
      </c>
      <c r="CM178" s="100">
        <f t="shared" si="133"/>
        <v>3.9319277794447145E-3</v>
      </c>
      <c r="CN178" s="100">
        <f t="shared" si="134"/>
        <v>5.9130230044534713E-3</v>
      </c>
      <c r="CO178" s="100">
        <f t="shared" si="135"/>
        <v>2.3945417982868117E-2</v>
      </c>
      <c r="CP178" s="101">
        <f t="shared" si="136"/>
        <v>1.0941560780855777E-3</v>
      </c>
      <c r="CQ178" s="100">
        <f t="shared" si="137"/>
        <v>5.8978916691670713E-3</v>
      </c>
      <c r="CR178" s="99">
        <f t="shared" si="138"/>
        <v>0.22111030325255604</v>
      </c>
      <c r="CS178" s="31">
        <v>1.5</v>
      </c>
      <c r="CT178" s="31">
        <v>1.5</v>
      </c>
      <c r="CU178" s="43">
        <v>0.1</v>
      </c>
      <c r="CV178" s="44">
        <v>0.39</v>
      </c>
      <c r="CW178" s="43">
        <v>2.1000000000000001E-2</v>
      </c>
      <c r="CX178" s="44">
        <v>0.15</v>
      </c>
    </row>
    <row r="179" spans="1:102" s="27" customFormat="1" x14ac:dyDescent="0.25">
      <c r="A179" s="31">
        <v>165</v>
      </c>
      <c r="B179" s="84" t="s">
        <v>91</v>
      </c>
      <c r="C179" s="19">
        <v>60</v>
      </c>
      <c r="D179" s="31" t="s">
        <v>36</v>
      </c>
      <c r="E179" s="31" t="s">
        <v>5</v>
      </c>
      <c r="F179" s="19" t="s">
        <v>63</v>
      </c>
      <c r="G179" s="31" t="str">
        <f t="shared" si="139"/>
        <v>Kommunal 60 M 4L ES</v>
      </c>
      <c r="H179" s="48">
        <f t="shared" si="105"/>
        <v>0.16279732349128331</v>
      </c>
      <c r="I179" s="40">
        <f t="shared" si="106"/>
        <v>0.1827850164542848</v>
      </c>
      <c r="J179" s="99">
        <f t="shared" si="107"/>
        <v>2.080361895032576E-3</v>
      </c>
      <c r="K179" s="48">
        <f t="shared" si="108"/>
        <v>3.013205359095604E-2</v>
      </c>
      <c r="L179" s="48">
        <f t="shared" si="109"/>
        <v>0.15057260096829619</v>
      </c>
      <c r="M179" s="48">
        <f t="shared" si="140"/>
        <v>0.29905735904960939</v>
      </c>
      <c r="N179" s="99">
        <f t="shared" si="110"/>
        <v>5.1072222468737591E-3</v>
      </c>
      <c r="O179" s="48">
        <f t="shared" si="111"/>
        <v>2.9098178413723082E-2</v>
      </c>
      <c r="P179" s="48">
        <f t="shared" si="112"/>
        <v>4.5198080386434053E-2</v>
      </c>
      <c r="Q179" s="48">
        <f t="shared" si="113"/>
        <v>0.22585890145244431</v>
      </c>
      <c r="R179" s="40">
        <f t="shared" si="141"/>
        <v>2.0934015133472657</v>
      </c>
      <c r="S179" s="99">
        <f t="shared" si="114"/>
        <v>7.6608333703106395E-3</v>
      </c>
      <c r="T179" s="48">
        <f t="shared" si="115"/>
        <v>4.3647267620584615E-2</v>
      </c>
      <c r="U179" s="44">
        <v>8.8991654400000009</v>
      </c>
      <c r="V179" s="44">
        <v>1.2</v>
      </c>
      <c r="W179" s="19">
        <v>0.2</v>
      </c>
      <c r="X179" s="44">
        <v>1.144014716643035</v>
      </c>
      <c r="Y179" s="46">
        <v>0.70721608271247649</v>
      </c>
      <c r="Z179" s="46">
        <v>15.471667165324982</v>
      </c>
      <c r="AA179" s="46">
        <v>83.821116751962549</v>
      </c>
      <c r="AB179" s="46">
        <v>1.8835063437139568</v>
      </c>
      <c r="AC179" s="125">
        <v>1</v>
      </c>
      <c r="AD179" s="94">
        <f t="shared" si="142"/>
        <v>0.13878923924521117</v>
      </c>
      <c r="AE179" s="94">
        <f t="shared" si="143"/>
        <v>0.15877693220821265</v>
      </c>
      <c r="AF179" s="96">
        <f t="shared" si="116"/>
        <v>1.122896000213966E-3</v>
      </c>
      <c r="AG179" s="95">
        <f t="shared" si="156"/>
        <v>2.4565438486568347E-2</v>
      </c>
      <c r="AH179" s="94">
        <f t="shared" si="144"/>
        <v>0.13308859772143036</v>
      </c>
      <c r="AI179" s="94">
        <f t="shared" si="145"/>
        <v>0.29905735904960939</v>
      </c>
      <c r="AJ179" s="96">
        <f t="shared" si="117"/>
        <v>4.1397408915320984E-3</v>
      </c>
      <c r="AK179" s="95">
        <f t="shared" si="118"/>
        <v>2.4179840480025087E-2</v>
      </c>
      <c r="AL179" s="95">
        <f t="shared" si="119"/>
        <v>3.6848157729852518E-2</v>
      </c>
      <c r="AM179" s="94">
        <f t="shared" si="120"/>
        <v>0.19963289658214556</v>
      </c>
      <c r="AN179" s="93">
        <f t="shared" si="121"/>
        <v>2.0934015133472657</v>
      </c>
      <c r="AO179" s="96">
        <f t="shared" si="122"/>
        <v>6.209611337298148E-3</v>
      </c>
      <c r="AP179" s="95">
        <f t="shared" si="123"/>
        <v>3.6269760720037625E-2</v>
      </c>
      <c r="AQ179" s="93">
        <f t="shared" si="124"/>
        <v>0.16178883248037462</v>
      </c>
      <c r="AR179" s="31">
        <v>1.5</v>
      </c>
      <c r="AS179" s="31">
        <v>1.5</v>
      </c>
      <c r="AT179" s="31">
        <v>7</v>
      </c>
      <c r="AU179" s="43">
        <v>7.0999999999999994E-2</v>
      </c>
      <c r="AV179" s="44">
        <v>0.28000000000000003</v>
      </c>
      <c r="AW179" s="43">
        <v>1.7999999999999999E-2</v>
      </c>
      <c r="AX179" s="44">
        <v>0.13</v>
      </c>
      <c r="AY179" s="44">
        <v>6.05756702133713</v>
      </c>
      <c r="AZ179" s="46">
        <v>0.5</v>
      </c>
      <c r="BA179" s="44">
        <v>0.72</v>
      </c>
      <c r="BB179" s="47">
        <v>1</v>
      </c>
      <c r="BC179" s="46">
        <v>10.469021924497719</v>
      </c>
      <c r="BD179" s="47">
        <v>46.248782587366179</v>
      </c>
      <c r="BE179" s="47">
        <v>43.282195488136111</v>
      </c>
      <c r="BF179" s="125">
        <v>1</v>
      </c>
      <c r="BG179" s="48">
        <f t="shared" si="146"/>
        <v>3.5127406110991837E-3</v>
      </c>
      <c r="BH179" s="48">
        <f t="shared" si="147"/>
        <v>3.5127406110991837E-3</v>
      </c>
      <c r="BI179" s="99">
        <f t="shared" si="148"/>
        <v>3.6774958472670874E-4</v>
      </c>
      <c r="BJ179" s="99">
        <f t="shared" si="149"/>
        <v>1.6245997680853796E-3</v>
      </c>
      <c r="BK179" s="48">
        <f t="shared" si="150"/>
        <v>1.5203912582870958E-3</v>
      </c>
      <c r="BL179" s="99">
        <f t="shared" si="125"/>
        <v>2.3804396995127567E-4</v>
      </c>
      <c r="BM179" s="48">
        <f t="shared" si="126"/>
        <v>9.8641015425327862E-4</v>
      </c>
      <c r="BN179" s="48">
        <f t="shared" si="127"/>
        <v>2.4368996521280696E-3</v>
      </c>
      <c r="BO179" s="48">
        <f t="shared" si="128"/>
        <v>2.2805868874306435E-3</v>
      </c>
      <c r="BP179" s="99">
        <f t="shared" si="129"/>
        <v>3.5706595492691353E-4</v>
      </c>
      <c r="BQ179" s="48">
        <f t="shared" si="130"/>
        <v>1.4796152313799179E-3</v>
      </c>
      <c r="BR179" s="40">
        <f t="shared" si="131"/>
        <v>0.5671780451186389</v>
      </c>
      <c r="BS179" s="31">
        <v>1.5</v>
      </c>
      <c r="BT179" s="31">
        <v>1.5</v>
      </c>
      <c r="BU179" s="43">
        <v>0.125</v>
      </c>
      <c r="BV179" s="44">
        <v>0.42</v>
      </c>
      <c r="BW179" s="43">
        <v>2.3E-2</v>
      </c>
      <c r="BX179" s="44">
        <v>0.2</v>
      </c>
      <c r="BY179" s="44">
        <v>15.602524598139274</v>
      </c>
      <c r="BZ179" s="44">
        <v>0.52</v>
      </c>
      <c r="CA179" s="44">
        <v>0.65</v>
      </c>
      <c r="CB179" s="47">
        <v>1</v>
      </c>
      <c r="CC179" s="46">
        <v>2.8773184806992838</v>
      </c>
      <c r="CD179" s="46">
        <v>19.233711844556318</v>
      </c>
      <c r="CE179" s="46">
        <v>77.888969674744388</v>
      </c>
      <c r="CF179" s="125">
        <v>1</v>
      </c>
      <c r="CG179" s="40">
        <f t="shared" si="151"/>
        <v>2.0495343634972962E-2</v>
      </c>
      <c r="CH179" s="40">
        <f t="shared" si="152"/>
        <v>2.0495343634972962E-2</v>
      </c>
      <c r="CI179" s="99">
        <f t="shared" si="153"/>
        <v>5.8971631009190138E-4</v>
      </c>
      <c r="CJ179" s="100">
        <f t="shared" si="154"/>
        <v>3.9420153363023142E-3</v>
      </c>
      <c r="CK179" s="100">
        <f t="shared" si="155"/>
        <v>1.5963611988578746E-2</v>
      </c>
      <c r="CL179" s="101">
        <f t="shared" si="132"/>
        <v>7.2943738539038507E-4</v>
      </c>
      <c r="CM179" s="100">
        <f t="shared" si="133"/>
        <v>3.9319277794447145E-3</v>
      </c>
      <c r="CN179" s="100">
        <f t="shared" si="134"/>
        <v>5.9130230044534713E-3</v>
      </c>
      <c r="CO179" s="100">
        <f t="shared" si="135"/>
        <v>2.3945417982868117E-2</v>
      </c>
      <c r="CP179" s="101">
        <f t="shared" si="136"/>
        <v>1.0941560780855777E-3</v>
      </c>
      <c r="CQ179" s="100">
        <f t="shared" si="137"/>
        <v>5.8978916691670713E-3</v>
      </c>
      <c r="CR179" s="99">
        <f t="shared" si="138"/>
        <v>0.22111030325255604</v>
      </c>
      <c r="CS179" s="31">
        <v>1.5</v>
      </c>
      <c r="CT179" s="31">
        <v>1.5</v>
      </c>
      <c r="CU179" s="43">
        <v>0.1</v>
      </c>
      <c r="CV179" s="44">
        <v>0.39</v>
      </c>
      <c r="CW179" s="43">
        <v>2.1000000000000001E-2</v>
      </c>
      <c r="CX179" s="44">
        <v>0.15</v>
      </c>
    </row>
    <row r="180" spans="1:102" s="27" customFormat="1" x14ac:dyDescent="0.25">
      <c r="A180" s="31">
        <v>166</v>
      </c>
      <c r="B180" s="84" t="s">
        <v>91</v>
      </c>
      <c r="C180" s="19">
        <v>60</v>
      </c>
      <c r="D180" s="31" t="s">
        <v>36</v>
      </c>
      <c r="E180" s="31" t="s">
        <v>5</v>
      </c>
      <c r="F180" s="19" t="s">
        <v>64</v>
      </c>
      <c r="G180" s="31" t="str">
        <f t="shared" si="139"/>
        <v>Kommunal 60 M 4L F</v>
      </c>
      <c r="H180" s="48">
        <f t="shared" si="105"/>
        <v>5.2423745827620064E-2</v>
      </c>
      <c r="I180" s="40">
        <f t="shared" si="106"/>
        <v>5.3378287488172138E-2</v>
      </c>
      <c r="J180" s="99">
        <f t="shared" si="107"/>
        <v>1.1435965306900919E-3</v>
      </c>
      <c r="K180" s="48">
        <f t="shared" si="108"/>
        <v>1.0345718786494443E-2</v>
      </c>
      <c r="L180" s="48">
        <f t="shared" si="109"/>
        <v>4.188897217098761E-2</v>
      </c>
      <c r="M180" s="48">
        <f t="shared" si="140"/>
        <v>8.2191440764422766E-2</v>
      </c>
      <c r="N180" s="99">
        <f t="shared" si="110"/>
        <v>1.7434838753312178E-3</v>
      </c>
      <c r="O180" s="48">
        <f t="shared" si="111"/>
        <v>9.4198338511738144E-3</v>
      </c>
      <c r="P180" s="48">
        <f t="shared" si="112"/>
        <v>1.5518578179741664E-2</v>
      </c>
      <c r="Q180" s="48">
        <f t="shared" si="113"/>
        <v>6.2833458256481414E-2</v>
      </c>
      <c r="R180" s="40">
        <f t="shared" si="141"/>
        <v>0.57534008535095937</v>
      </c>
      <c r="S180" s="99">
        <f t="shared" si="114"/>
        <v>2.6152258129968262E-3</v>
      </c>
      <c r="T180" s="48">
        <f t="shared" si="115"/>
        <v>1.4129750776760722E-2</v>
      </c>
      <c r="U180" s="44">
        <v>2.0804255999999999</v>
      </c>
      <c r="V180" s="19">
        <v>1.25</v>
      </c>
      <c r="W180" s="19">
        <v>0.45</v>
      </c>
      <c r="X180" s="44">
        <v>1.0334607896331753</v>
      </c>
      <c r="Y180" s="46">
        <v>0.70845794954218955</v>
      </c>
      <c r="Z180" s="46">
        <v>16.359881718202693</v>
      </c>
      <c r="AA180" s="46">
        <v>82.93166033225512</v>
      </c>
      <c r="AB180" s="46">
        <v>2.787878787878789</v>
      </c>
      <c r="AC180" s="125">
        <v>1</v>
      </c>
      <c r="AD180" s="94">
        <f t="shared" si="142"/>
        <v>2.8527170787556077E-2</v>
      </c>
      <c r="AE180" s="94">
        <f t="shared" si="143"/>
        <v>2.9481712448108155E-2</v>
      </c>
      <c r="AF180" s="96">
        <f t="shared" si="116"/>
        <v>2.0886553549979148E-4</v>
      </c>
      <c r="AG180" s="95">
        <f t="shared" si="156"/>
        <v>4.8231732850111337E-3</v>
      </c>
      <c r="AH180" s="94">
        <f t="shared" si="144"/>
        <v>2.4449673627597233E-2</v>
      </c>
      <c r="AI180" s="94">
        <f t="shared" si="145"/>
        <v>8.2191440764422766E-2</v>
      </c>
      <c r="AJ180" s="96">
        <f t="shared" si="117"/>
        <v>7.8253942853254068E-4</v>
      </c>
      <c r="AK180" s="95">
        <f t="shared" si="118"/>
        <v>4.5289460913907585E-3</v>
      </c>
      <c r="AL180" s="95">
        <f t="shared" si="119"/>
        <v>7.2347599275167009E-3</v>
      </c>
      <c r="AM180" s="94">
        <f t="shared" si="120"/>
        <v>3.6674510441395851E-2</v>
      </c>
      <c r="AN180" s="93">
        <f t="shared" si="121"/>
        <v>0.57534008535095937</v>
      </c>
      <c r="AO180" s="96">
        <f t="shared" si="122"/>
        <v>1.173809142798811E-3</v>
      </c>
      <c r="AP180" s="95">
        <f t="shared" si="123"/>
        <v>6.7934191370861369E-3</v>
      </c>
      <c r="AQ180" s="93">
        <f t="shared" si="124"/>
        <v>0.17068339667744881</v>
      </c>
      <c r="AR180" s="31">
        <v>1.5</v>
      </c>
      <c r="AS180" s="31">
        <v>1.5</v>
      </c>
      <c r="AT180" s="31">
        <v>7</v>
      </c>
      <c r="AU180" s="43">
        <v>7.0999999999999994E-2</v>
      </c>
      <c r="AV180" s="44">
        <v>0.28000000000000003</v>
      </c>
      <c r="AW180" s="43">
        <v>1.7999999999999999E-2</v>
      </c>
      <c r="AX180" s="44">
        <v>0.13</v>
      </c>
      <c r="AY180" s="44">
        <v>5.8652742893442671</v>
      </c>
      <c r="AZ180" s="46">
        <v>0.5</v>
      </c>
      <c r="BA180" s="44">
        <v>0.72</v>
      </c>
      <c r="BB180" s="47">
        <v>1</v>
      </c>
      <c r="BC180" s="46">
        <v>10.143816871206573</v>
      </c>
      <c r="BD180" s="47">
        <v>46.469351153680115</v>
      </c>
      <c r="BE180" s="47">
        <v>43.386831975113303</v>
      </c>
      <c r="BF180" s="125">
        <v>1</v>
      </c>
      <c r="BG180" s="48">
        <f t="shared" si="146"/>
        <v>3.40123140509102E-3</v>
      </c>
      <c r="BH180" s="48">
        <f t="shared" si="147"/>
        <v>3.40123140509102E-3</v>
      </c>
      <c r="BI180" s="99">
        <f t="shared" si="148"/>
        <v>3.4501468509839928E-4</v>
      </c>
      <c r="BJ180" s="99">
        <f t="shared" si="149"/>
        <v>1.5805301651809942E-3</v>
      </c>
      <c r="BK180" s="48">
        <f t="shared" si="150"/>
        <v>1.475686554811626E-3</v>
      </c>
      <c r="BL180" s="99">
        <f t="shared" si="125"/>
        <v>2.3150706140829169E-4</v>
      </c>
      <c r="BM180" s="48">
        <f t="shared" si="126"/>
        <v>9.5895998033834274E-4</v>
      </c>
      <c r="BN180" s="48">
        <f t="shared" si="127"/>
        <v>2.3707952477714915E-3</v>
      </c>
      <c r="BO180" s="48">
        <f t="shared" si="128"/>
        <v>2.2135298322174392E-3</v>
      </c>
      <c r="BP180" s="99">
        <f t="shared" si="129"/>
        <v>3.4726059211243754E-4</v>
      </c>
      <c r="BQ180" s="48">
        <f t="shared" si="130"/>
        <v>1.4384399705075141E-3</v>
      </c>
      <c r="BR180" s="40">
        <f t="shared" si="131"/>
        <v>0.56613168024886684</v>
      </c>
      <c r="BS180" s="31">
        <v>1.5</v>
      </c>
      <c r="BT180" s="31">
        <v>1.5</v>
      </c>
      <c r="BU180" s="43">
        <v>0.125</v>
      </c>
      <c r="BV180" s="44">
        <v>0.42</v>
      </c>
      <c r="BW180" s="43">
        <v>2.3E-2</v>
      </c>
      <c r="BX180" s="44">
        <v>0.2</v>
      </c>
      <c r="BY180" s="44">
        <v>15.602524598139276</v>
      </c>
      <c r="BZ180" s="44">
        <v>0.52</v>
      </c>
      <c r="CA180" s="44">
        <v>0.65</v>
      </c>
      <c r="CB180" s="47">
        <v>1</v>
      </c>
      <c r="CC180" s="46">
        <v>2.8773184806992829</v>
      </c>
      <c r="CD180" s="46">
        <v>19.233711844556318</v>
      </c>
      <c r="CE180" s="46">
        <v>77.888969674744388</v>
      </c>
      <c r="CF180" s="125">
        <v>1</v>
      </c>
      <c r="CG180" s="40">
        <f t="shared" si="151"/>
        <v>2.0495343634972966E-2</v>
      </c>
      <c r="CH180" s="40">
        <f t="shared" si="152"/>
        <v>2.0495343634972966E-2</v>
      </c>
      <c r="CI180" s="99">
        <f t="shared" si="153"/>
        <v>5.8971631009190127E-4</v>
      </c>
      <c r="CJ180" s="100">
        <f t="shared" si="154"/>
        <v>3.9420153363023142E-3</v>
      </c>
      <c r="CK180" s="100">
        <f t="shared" si="155"/>
        <v>1.5963611988578749E-2</v>
      </c>
      <c r="CL180" s="101">
        <f t="shared" si="132"/>
        <v>7.2943738539038518E-4</v>
      </c>
      <c r="CM180" s="100">
        <f t="shared" si="133"/>
        <v>3.9319277794447145E-3</v>
      </c>
      <c r="CN180" s="100">
        <f t="shared" si="134"/>
        <v>5.9130230044534713E-3</v>
      </c>
      <c r="CO180" s="100">
        <f t="shared" si="135"/>
        <v>2.3945417982868124E-2</v>
      </c>
      <c r="CP180" s="101">
        <f t="shared" si="136"/>
        <v>1.0941560780855777E-3</v>
      </c>
      <c r="CQ180" s="100">
        <f t="shared" si="137"/>
        <v>5.8978916691670722E-3</v>
      </c>
      <c r="CR180" s="99">
        <f t="shared" si="138"/>
        <v>0.22111030325255598</v>
      </c>
      <c r="CS180" s="31">
        <v>1.5</v>
      </c>
      <c r="CT180" s="31">
        <v>1.5</v>
      </c>
      <c r="CU180" s="43">
        <v>0.1</v>
      </c>
      <c r="CV180" s="44">
        <v>0.39</v>
      </c>
      <c r="CW180" s="43">
        <v>2.1000000000000001E-2</v>
      </c>
      <c r="CX180" s="44">
        <v>0.15</v>
      </c>
    </row>
    <row r="181" spans="1:102" s="27" customFormat="1" x14ac:dyDescent="0.25">
      <c r="A181" s="31">
        <v>167</v>
      </c>
      <c r="B181" s="84" t="s">
        <v>91</v>
      </c>
      <c r="C181" s="19">
        <v>60</v>
      </c>
      <c r="D181" s="31" t="s">
        <v>36</v>
      </c>
      <c r="E181" s="31" t="s">
        <v>6</v>
      </c>
      <c r="F181" s="19" t="s">
        <v>12</v>
      </c>
      <c r="G181" s="31" t="str">
        <f t="shared" si="139"/>
        <v>Kommunal 60 Y 4L A</v>
      </c>
      <c r="H181" s="48">
        <f t="shared" si="105"/>
        <v>0.1830408313826061</v>
      </c>
      <c r="I181" s="40">
        <f t="shared" si="106"/>
        <v>0.20852428066034354</v>
      </c>
      <c r="J181" s="99">
        <f t="shared" si="107"/>
        <v>3.6468469368218601E-3</v>
      </c>
      <c r="K181" s="48">
        <f t="shared" si="108"/>
        <v>5.949889303859654E-2</v>
      </c>
      <c r="L181" s="48">
        <f t="shared" si="109"/>
        <v>0.14537854068492512</v>
      </c>
      <c r="M181" s="48">
        <f t="shared" si="140"/>
        <v>0.219062535900408</v>
      </c>
      <c r="N181" s="99">
        <f t="shared" si="110"/>
        <v>7.0987747625555556E-3</v>
      </c>
      <c r="O181" s="48">
        <f t="shared" si="111"/>
        <v>3.6645665622224176E-2</v>
      </c>
      <c r="P181" s="48">
        <f t="shared" si="112"/>
        <v>8.924833955789481E-2</v>
      </c>
      <c r="Q181" s="48">
        <f t="shared" si="113"/>
        <v>0.21806781102738768</v>
      </c>
      <c r="R181" s="40">
        <f t="shared" si="141"/>
        <v>1.5334377513028561</v>
      </c>
      <c r="S181" s="99">
        <f t="shared" si="114"/>
        <v>1.0648162143833333E-2</v>
      </c>
      <c r="T181" s="48">
        <f t="shared" si="115"/>
        <v>5.4968498433336274E-2</v>
      </c>
      <c r="U181" s="44">
        <v>14.447885759999998</v>
      </c>
      <c r="V181" s="19">
        <v>1.25</v>
      </c>
      <c r="W181" s="19">
        <v>0.55000000000000004</v>
      </c>
      <c r="X181" s="44">
        <v>1.1602402633204796</v>
      </c>
      <c r="Y181" s="46">
        <v>1.4575311513386691</v>
      </c>
      <c r="Z181" s="46">
        <v>29.229021073641352</v>
      </c>
      <c r="AA181" s="46">
        <v>69.313447775019981</v>
      </c>
      <c r="AB181" s="46">
        <v>1.1872265966754159</v>
      </c>
      <c r="AC181" s="125">
        <v>1</v>
      </c>
      <c r="AD181" s="94">
        <f t="shared" si="142"/>
        <v>0.15903274713653395</v>
      </c>
      <c r="AE181" s="94">
        <f t="shared" si="143"/>
        <v>0.18451619641427139</v>
      </c>
      <c r="AF181" s="96">
        <f t="shared" si="116"/>
        <v>2.6893810420032501E-3</v>
      </c>
      <c r="AG181" s="95">
        <f t="shared" si="156"/>
        <v>5.393227793420885E-2</v>
      </c>
      <c r="AH181" s="94">
        <f t="shared" si="144"/>
        <v>0.12789453743805929</v>
      </c>
      <c r="AI181" s="94">
        <f t="shared" si="145"/>
        <v>0.219062535900408</v>
      </c>
      <c r="AJ181" s="96">
        <f t="shared" si="117"/>
        <v>6.1312934072138949E-3</v>
      </c>
      <c r="AK181" s="95">
        <f t="shared" si="118"/>
        <v>3.1727327688526187E-2</v>
      </c>
      <c r="AL181" s="95">
        <f t="shared" si="119"/>
        <v>8.0898416901313275E-2</v>
      </c>
      <c r="AM181" s="94">
        <f t="shared" si="120"/>
        <v>0.19184180615708893</v>
      </c>
      <c r="AN181" s="93">
        <f t="shared" si="121"/>
        <v>1.5334377513028561</v>
      </c>
      <c r="AO181" s="96">
        <f t="shared" si="122"/>
        <v>9.1969401108208428E-3</v>
      </c>
      <c r="AP181" s="95">
        <f t="shared" si="123"/>
        <v>4.7590991532789284E-2</v>
      </c>
      <c r="AQ181" s="93">
        <f t="shared" si="124"/>
        <v>0.30686552224980024</v>
      </c>
      <c r="AR181" s="31">
        <v>1.5</v>
      </c>
      <c r="AS181" s="31">
        <v>1.5</v>
      </c>
      <c r="AT181" s="31">
        <v>7</v>
      </c>
      <c r="AU181" s="43">
        <v>7.0999999999999994E-2</v>
      </c>
      <c r="AV181" s="44">
        <v>0.28000000000000003</v>
      </c>
      <c r="AW181" s="43">
        <v>1.7999999999999999E-2</v>
      </c>
      <c r="AX181" s="44">
        <v>0.13</v>
      </c>
      <c r="AY181" s="44">
        <v>6.05756702133713</v>
      </c>
      <c r="AZ181" s="46">
        <v>0.5</v>
      </c>
      <c r="BA181" s="44">
        <v>0.72</v>
      </c>
      <c r="BB181" s="47">
        <v>1</v>
      </c>
      <c r="BC181" s="46">
        <v>10.469021924497721</v>
      </c>
      <c r="BD181" s="47">
        <v>46.248782587366165</v>
      </c>
      <c r="BE181" s="47">
        <v>43.282195488136104</v>
      </c>
      <c r="BF181" s="125">
        <v>1</v>
      </c>
      <c r="BG181" s="48">
        <f t="shared" si="146"/>
        <v>3.5127406110991837E-3</v>
      </c>
      <c r="BH181" s="48">
        <f t="shared" si="147"/>
        <v>3.5127406110991837E-3</v>
      </c>
      <c r="BI181" s="99">
        <f t="shared" si="148"/>
        <v>3.6774958472670879E-4</v>
      </c>
      <c r="BJ181" s="99">
        <f t="shared" si="149"/>
        <v>1.6245997680853792E-3</v>
      </c>
      <c r="BK181" s="48">
        <f t="shared" si="150"/>
        <v>1.5203912582870953E-3</v>
      </c>
      <c r="BL181" s="99">
        <f t="shared" si="125"/>
        <v>2.3804396995127559E-4</v>
      </c>
      <c r="BM181" s="48">
        <f t="shared" si="126"/>
        <v>9.864101542532784E-4</v>
      </c>
      <c r="BN181" s="48">
        <f t="shared" si="127"/>
        <v>2.4368996521280687E-3</v>
      </c>
      <c r="BO181" s="48">
        <f t="shared" si="128"/>
        <v>2.2805868874306431E-3</v>
      </c>
      <c r="BP181" s="99">
        <f t="shared" si="129"/>
        <v>3.5706595492691337E-4</v>
      </c>
      <c r="BQ181" s="48">
        <f t="shared" si="130"/>
        <v>1.4796152313799175E-3</v>
      </c>
      <c r="BR181" s="40">
        <f t="shared" si="131"/>
        <v>0.56717804511863879</v>
      </c>
      <c r="BS181" s="31">
        <v>1.5</v>
      </c>
      <c r="BT181" s="31">
        <v>1.5</v>
      </c>
      <c r="BU181" s="43">
        <v>0.125</v>
      </c>
      <c r="BV181" s="44">
        <v>0.42</v>
      </c>
      <c r="BW181" s="43">
        <v>2.3E-2</v>
      </c>
      <c r="BX181" s="44">
        <v>0.2</v>
      </c>
      <c r="BY181" s="44">
        <v>15.602524598139274</v>
      </c>
      <c r="BZ181" s="44">
        <v>0.52</v>
      </c>
      <c r="CA181" s="44">
        <v>0.65</v>
      </c>
      <c r="CB181" s="47">
        <v>1</v>
      </c>
      <c r="CC181" s="46">
        <v>2.8773184806992838</v>
      </c>
      <c r="CD181" s="46">
        <v>19.233711844556318</v>
      </c>
      <c r="CE181" s="46">
        <v>77.888969674744388</v>
      </c>
      <c r="CF181" s="125">
        <v>1</v>
      </c>
      <c r="CG181" s="40">
        <f t="shared" si="151"/>
        <v>2.0495343634972962E-2</v>
      </c>
      <c r="CH181" s="40">
        <f t="shared" si="152"/>
        <v>2.0495343634972962E-2</v>
      </c>
      <c r="CI181" s="99">
        <f t="shared" si="153"/>
        <v>5.8971631009190138E-4</v>
      </c>
      <c r="CJ181" s="100">
        <f t="shared" si="154"/>
        <v>3.9420153363023142E-3</v>
      </c>
      <c r="CK181" s="100">
        <f t="shared" si="155"/>
        <v>1.5963611988578746E-2</v>
      </c>
      <c r="CL181" s="101">
        <f t="shared" si="132"/>
        <v>7.2943738539038507E-4</v>
      </c>
      <c r="CM181" s="100">
        <f t="shared" si="133"/>
        <v>3.9319277794447145E-3</v>
      </c>
      <c r="CN181" s="100">
        <f t="shared" si="134"/>
        <v>5.9130230044534713E-3</v>
      </c>
      <c r="CO181" s="100">
        <f t="shared" si="135"/>
        <v>2.3945417982868117E-2</v>
      </c>
      <c r="CP181" s="101">
        <f t="shared" si="136"/>
        <v>1.0941560780855777E-3</v>
      </c>
      <c r="CQ181" s="100">
        <f t="shared" si="137"/>
        <v>5.8978916691670713E-3</v>
      </c>
      <c r="CR181" s="99">
        <f t="shared" si="138"/>
        <v>0.22111030325255604</v>
      </c>
      <c r="CS181" s="31">
        <v>1.5</v>
      </c>
      <c r="CT181" s="31">
        <v>1.5</v>
      </c>
      <c r="CU181" s="43">
        <v>0.1</v>
      </c>
      <c r="CV181" s="44">
        <v>0.39</v>
      </c>
      <c r="CW181" s="43">
        <v>2.1000000000000001E-2</v>
      </c>
      <c r="CX181" s="44">
        <v>0.15</v>
      </c>
    </row>
    <row r="182" spans="1:102" s="27" customFormat="1" x14ac:dyDescent="0.25">
      <c r="A182" s="31">
        <v>168</v>
      </c>
      <c r="B182" s="84" t="s">
        <v>91</v>
      </c>
      <c r="C182" s="19">
        <v>60</v>
      </c>
      <c r="D182" s="31" t="s">
        <v>36</v>
      </c>
      <c r="E182" s="31" t="s">
        <v>6</v>
      </c>
      <c r="F182" s="19" t="s">
        <v>13</v>
      </c>
      <c r="G182" s="31" t="str">
        <f t="shared" si="139"/>
        <v>Kommunal 60 Y 4L B</v>
      </c>
      <c r="H182" s="48">
        <f t="shared" si="105"/>
        <v>0.17508919402577938</v>
      </c>
      <c r="I182" s="40">
        <f t="shared" si="106"/>
        <v>0.19929847083962995</v>
      </c>
      <c r="J182" s="99">
        <f t="shared" si="107"/>
        <v>3.5123778847216966E-3</v>
      </c>
      <c r="K182" s="48">
        <f t="shared" si="108"/>
        <v>5.6802279141886097E-2</v>
      </c>
      <c r="L182" s="48">
        <f t="shared" si="109"/>
        <v>0.13898381381302216</v>
      </c>
      <c r="M182" s="48">
        <f t="shared" si="140"/>
        <v>0.20810940910538753</v>
      </c>
      <c r="N182" s="99">
        <f t="shared" si="110"/>
        <v>6.7922100921948602E-3</v>
      </c>
      <c r="O182" s="48">
        <f t="shared" si="111"/>
        <v>3.5059299237797867E-2</v>
      </c>
      <c r="P182" s="48">
        <f t="shared" si="112"/>
        <v>8.5203418712829146E-2</v>
      </c>
      <c r="Q182" s="48">
        <f t="shared" si="113"/>
        <v>0.20847572071953321</v>
      </c>
      <c r="R182" s="40">
        <f t="shared" si="141"/>
        <v>1.4567658637377128</v>
      </c>
      <c r="S182" s="99">
        <f t="shared" si="114"/>
        <v>1.0188315138292291E-2</v>
      </c>
      <c r="T182" s="48">
        <f t="shared" si="115"/>
        <v>5.2588948856696807E-2</v>
      </c>
      <c r="U182" s="44">
        <v>13.725491471999996</v>
      </c>
      <c r="V182" s="19">
        <v>1.25</v>
      </c>
      <c r="W182" s="19">
        <v>0.55000000000000004</v>
      </c>
      <c r="X182" s="44">
        <v>1.1602402633204796</v>
      </c>
      <c r="Y182" s="46">
        <v>1.4575311513386686</v>
      </c>
      <c r="Z182" s="46">
        <v>29.229021073641352</v>
      </c>
      <c r="AA182" s="46">
        <v>69.313447775019981</v>
      </c>
      <c r="AB182" s="46">
        <v>1.1872265966754156</v>
      </c>
      <c r="AC182" s="125">
        <v>1</v>
      </c>
      <c r="AD182" s="94">
        <f t="shared" si="142"/>
        <v>0.15108110977970723</v>
      </c>
      <c r="AE182" s="94">
        <f t="shared" si="143"/>
        <v>0.17529038659355781</v>
      </c>
      <c r="AF182" s="96">
        <f t="shared" si="116"/>
        <v>2.5549119899030866E-3</v>
      </c>
      <c r="AG182" s="95">
        <f t="shared" si="156"/>
        <v>5.1235664037498407E-2</v>
      </c>
      <c r="AH182" s="94">
        <f t="shared" si="144"/>
        <v>0.12149981056615632</v>
      </c>
      <c r="AI182" s="94">
        <f t="shared" si="145"/>
        <v>0.20810940910538753</v>
      </c>
      <c r="AJ182" s="96">
        <f t="shared" si="117"/>
        <v>5.8247287368531995E-3</v>
      </c>
      <c r="AK182" s="95">
        <f t="shared" si="118"/>
        <v>3.0140961304099878E-2</v>
      </c>
      <c r="AL182" s="95">
        <f t="shared" si="119"/>
        <v>7.6853496056247611E-2</v>
      </c>
      <c r="AM182" s="94">
        <f t="shared" si="120"/>
        <v>0.18224971584923447</v>
      </c>
      <c r="AN182" s="93">
        <f t="shared" si="121"/>
        <v>1.4567658637377128</v>
      </c>
      <c r="AO182" s="96">
        <f t="shared" si="122"/>
        <v>8.7370931052798001E-3</v>
      </c>
      <c r="AP182" s="95">
        <f t="shared" si="123"/>
        <v>4.5211441956149817E-2</v>
      </c>
      <c r="AQ182" s="93">
        <f t="shared" si="124"/>
        <v>0.30686552224980018</v>
      </c>
      <c r="AR182" s="31">
        <v>1.5</v>
      </c>
      <c r="AS182" s="31">
        <v>1.5</v>
      </c>
      <c r="AT182" s="31">
        <v>7</v>
      </c>
      <c r="AU182" s="43">
        <v>7.0999999999999994E-2</v>
      </c>
      <c r="AV182" s="44">
        <v>0.28000000000000003</v>
      </c>
      <c r="AW182" s="43">
        <v>1.7999999999999999E-2</v>
      </c>
      <c r="AX182" s="44">
        <v>0.13</v>
      </c>
      <c r="AY182" s="44">
        <v>6.05756702133713</v>
      </c>
      <c r="AZ182" s="46">
        <v>0.5</v>
      </c>
      <c r="BA182" s="44">
        <v>0.72</v>
      </c>
      <c r="BB182" s="47">
        <v>1</v>
      </c>
      <c r="BC182" s="46">
        <v>10.469021924497721</v>
      </c>
      <c r="BD182" s="47">
        <v>46.248782587366165</v>
      </c>
      <c r="BE182" s="47">
        <v>43.282195488136104</v>
      </c>
      <c r="BF182" s="125">
        <v>1</v>
      </c>
      <c r="BG182" s="48">
        <f t="shared" si="146"/>
        <v>3.5127406110991837E-3</v>
      </c>
      <c r="BH182" s="48">
        <f t="shared" si="147"/>
        <v>3.5127406110991837E-3</v>
      </c>
      <c r="BI182" s="99">
        <f t="shared" si="148"/>
        <v>3.6774958472670879E-4</v>
      </c>
      <c r="BJ182" s="99">
        <f t="shared" si="149"/>
        <v>1.6245997680853792E-3</v>
      </c>
      <c r="BK182" s="48">
        <f t="shared" si="150"/>
        <v>1.5203912582870953E-3</v>
      </c>
      <c r="BL182" s="99">
        <f t="shared" si="125"/>
        <v>2.3804396995127559E-4</v>
      </c>
      <c r="BM182" s="48">
        <f t="shared" si="126"/>
        <v>9.864101542532784E-4</v>
      </c>
      <c r="BN182" s="48">
        <f t="shared" si="127"/>
        <v>2.4368996521280687E-3</v>
      </c>
      <c r="BO182" s="48">
        <f t="shared" si="128"/>
        <v>2.2805868874306431E-3</v>
      </c>
      <c r="BP182" s="99">
        <f t="shared" si="129"/>
        <v>3.5706595492691337E-4</v>
      </c>
      <c r="BQ182" s="48">
        <f t="shared" si="130"/>
        <v>1.4796152313799175E-3</v>
      </c>
      <c r="BR182" s="40">
        <f t="shared" si="131"/>
        <v>0.56717804511863879</v>
      </c>
      <c r="BS182" s="31">
        <v>1.5</v>
      </c>
      <c r="BT182" s="31">
        <v>1.5</v>
      </c>
      <c r="BU182" s="43">
        <v>0.125</v>
      </c>
      <c r="BV182" s="44">
        <v>0.42</v>
      </c>
      <c r="BW182" s="43">
        <v>2.3E-2</v>
      </c>
      <c r="BX182" s="44">
        <v>0.2</v>
      </c>
      <c r="BY182" s="44">
        <v>15.602524598139274</v>
      </c>
      <c r="BZ182" s="44">
        <v>0.52</v>
      </c>
      <c r="CA182" s="44">
        <v>0.65</v>
      </c>
      <c r="CB182" s="47">
        <v>1</v>
      </c>
      <c r="CC182" s="46">
        <v>2.8773184806992838</v>
      </c>
      <c r="CD182" s="46">
        <v>19.233711844556318</v>
      </c>
      <c r="CE182" s="46">
        <v>77.888969674744388</v>
      </c>
      <c r="CF182" s="125">
        <v>1</v>
      </c>
      <c r="CG182" s="40">
        <f t="shared" si="151"/>
        <v>2.0495343634972962E-2</v>
      </c>
      <c r="CH182" s="40">
        <f t="shared" si="152"/>
        <v>2.0495343634972962E-2</v>
      </c>
      <c r="CI182" s="99">
        <f t="shared" si="153"/>
        <v>5.8971631009190138E-4</v>
      </c>
      <c r="CJ182" s="100">
        <f t="shared" si="154"/>
        <v>3.9420153363023142E-3</v>
      </c>
      <c r="CK182" s="100">
        <f t="shared" si="155"/>
        <v>1.5963611988578746E-2</v>
      </c>
      <c r="CL182" s="101">
        <f t="shared" si="132"/>
        <v>7.2943738539038507E-4</v>
      </c>
      <c r="CM182" s="100">
        <f t="shared" si="133"/>
        <v>3.9319277794447145E-3</v>
      </c>
      <c r="CN182" s="100">
        <f t="shared" si="134"/>
        <v>5.9130230044534713E-3</v>
      </c>
      <c r="CO182" s="100">
        <f t="shared" si="135"/>
        <v>2.3945417982868117E-2</v>
      </c>
      <c r="CP182" s="101">
        <f t="shared" si="136"/>
        <v>1.0941560780855777E-3</v>
      </c>
      <c r="CQ182" s="100">
        <f t="shared" si="137"/>
        <v>5.8978916691670713E-3</v>
      </c>
      <c r="CR182" s="99">
        <f t="shared" si="138"/>
        <v>0.22111030325255604</v>
      </c>
      <c r="CS182" s="31">
        <v>1.5</v>
      </c>
      <c r="CT182" s="31">
        <v>1.5</v>
      </c>
      <c r="CU182" s="43">
        <v>0.1</v>
      </c>
      <c r="CV182" s="44">
        <v>0.39</v>
      </c>
      <c r="CW182" s="43">
        <v>2.1000000000000001E-2</v>
      </c>
      <c r="CX182" s="44">
        <v>0.15</v>
      </c>
    </row>
    <row r="183" spans="1:102" s="27" customFormat="1" x14ac:dyDescent="0.25">
      <c r="A183" s="31">
        <v>169</v>
      </c>
      <c r="B183" s="84" t="s">
        <v>91</v>
      </c>
      <c r="C183" s="19">
        <v>60</v>
      </c>
      <c r="D183" s="31" t="s">
        <v>36</v>
      </c>
      <c r="E183" s="31" t="s">
        <v>6</v>
      </c>
      <c r="F183" s="19" t="s">
        <v>70</v>
      </c>
      <c r="G183" s="31" t="str">
        <f t="shared" si="139"/>
        <v>Kommunal 60 Y 4L Ck</v>
      </c>
      <c r="H183" s="48">
        <f t="shared" si="105"/>
        <v>0.16713755666895272</v>
      </c>
      <c r="I183" s="40">
        <f t="shared" si="106"/>
        <v>0.19007266101891643</v>
      </c>
      <c r="J183" s="99">
        <f t="shared" si="107"/>
        <v>3.3779088326215349E-3</v>
      </c>
      <c r="K183" s="48">
        <f t="shared" si="108"/>
        <v>5.4105665245175662E-2</v>
      </c>
      <c r="L183" s="48">
        <f t="shared" si="109"/>
        <v>0.13258908694111921</v>
      </c>
      <c r="M183" s="48">
        <f t="shared" si="140"/>
        <v>0.19715628231036722</v>
      </c>
      <c r="N183" s="99">
        <f t="shared" si="110"/>
        <v>6.4856454218341674E-3</v>
      </c>
      <c r="O183" s="48">
        <f t="shared" si="111"/>
        <v>3.3472932853371565E-2</v>
      </c>
      <c r="P183" s="48">
        <f t="shared" si="112"/>
        <v>8.1158497867763496E-2</v>
      </c>
      <c r="Q183" s="48">
        <f t="shared" si="113"/>
        <v>0.19888363041167881</v>
      </c>
      <c r="R183" s="40">
        <f t="shared" si="141"/>
        <v>1.3800939761725706</v>
      </c>
      <c r="S183" s="99">
        <f t="shared" si="114"/>
        <v>9.7284681327512515E-3</v>
      </c>
      <c r="T183" s="48">
        <f t="shared" si="115"/>
        <v>5.0209399280057354E-2</v>
      </c>
      <c r="U183" s="44">
        <v>13.003097184</v>
      </c>
      <c r="V183" s="19">
        <v>1.25</v>
      </c>
      <c r="W183" s="19">
        <v>0.55000000000000004</v>
      </c>
      <c r="X183" s="44">
        <v>1.1602402633204796</v>
      </c>
      <c r="Y183" s="46">
        <v>1.4575311513386686</v>
      </c>
      <c r="Z183" s="46">
        <v>29.229021073641348</v>
      </c>
      <c r="AA183" s="46">
        <v>69.313447775019981</v>
      </c>
      <c r="AB183" s="46">
        <v>1.1872265966754159</v>
      </c>
      <c r="AC183" s="125">
        <v>1</v>
      </c>
      <c r="AD183" s="94">
        <f t="shared" si="142"/>
        <v>0.14312947242288057</v>
      </c>
      <c r="AE183" s="94">
        <f t="shared" si="143"/>
        <v>0.16606457677284428</v>
      </c>
      <c r="AF183" s="96">
        <f t="shared" si="116"/>
        <v>2.4204429378029248E-3</v>
      </c>
      <c r="AG183" s="95">
        <f t="shared" si="156"/>
        <v>4.8539050140787972E-2</v>
      </c>
      <c r="AH183" s="94">
        <f t="shared" si="144"/>
        <v>0.11510508369425337</v>
      </c>
      <c r="AI183" s="94">
        <f t="shared" si="145"/>
        <v>0.19715628231036722</v>
      </c>
      <c r="AJ183" s="96">
        <f t="shared" si="117"/>
        <v>5.5181640664925067E-3</v>
      </c>
      <c r="AK183" s="95">
        <f t="shared" si="118"/>
        <v>2.8554594919673573E-2</v>
      </c>
      <c r="AL183" s="95">
        <f t="shared" si="119"/>
        <v>7.2808575211181961E-2</v>
      </c>
      <c r="AM183" s="94">
        <f t="shared" si="120"/>
        <v>0.17265762554138006</v>
      </c>
      <c r="AN183" s="93">
        <f t="shared" si="121"/>
        <v>1.3800939761725706</v>
      </c>
      <c r="AO183" s="96">
        <f t="shared" si="122"/>
        <v>8.2772460997387592E-3</v>
      </c>
      <c r="AP183" s="95">
        <f t="shared" si="123"/>
        <v>4.2831892379510364E-2</v>
      </c>
      <c r="AQ183" s="93">
        <f t="shared" si="124"/>
        <v>0.30686552224980018</v>
      </c>
      <c r="AR183" s="31">
        <v>1.5</v>
      </c>
      <c r="AS183" s="31">
        <v>1.5</v>
      </c>
      <c r="AT183" s="31">
        <v>7</v>
      </c>
      <c r="AU183" s="43">
        <v>7.0999999999999994E-2</v>
      </c>
      <c r="AV183" s="44">
        <v>0.28000000000000003</v>
      </c>
      <c r="AW183" s="43">
        <v>1.7999999999999999E-2</v>
      </c>
      <c r="AX183" s="44">
        <v>0.13</v>
      </c>
      <c r="AY183" s="44">
        <v>6.05756702133713</v>
      </c>
      <c r="AZ183" s="46">
        <v>0.5</v>
      </c>
      <c r="BA183" s="44">
        <v>0.72</v>
      </c>
      <c r="BB183" s="47">
        <v>1</v>
      </c>
      <c r="BC183" s="46">
        <v>10.469021924497721</v>
      </c>
      <c r="BD183" s="47">
        <v>46.248782587366165</v>
      </c>
      <c r="BE183" s="47">
        <v>43.282195488136104</v>
      </c>
      <c r="BF183" s="125">
        <v>1</v>
      </c>
      <c r="BG183" s="48">
        <f t="shared" si="146"/>
        <v>3.5127406110991837E-3</v>
      </c>
      <c r="BH183" s="48">
        <f t="shared" si="147"/>
        <v>3.5127406110991837E-3</v>
      </c>
      <c r="BI183" s="99">
        <f t="shared" si="148"/>
        <v>3.6774958472670879E-4</v>
      </c>
      <c r="BJ183" s="99">
        <f t="shared" si="149"/>
        <v>1.6245997680853792E-3</v>
      </c>
      <c r="BK183" s="48">
        <f t="shared" si="150"/>
        <v>1.5203912582870953E-3</v>
      </c>
      <c r="BL183" s="99">
        <f t="shared" si="125"/>
        <v>2.3804396995127559E-4</v>
      </c>
      <c r="BM183" s="48">
        <f t="shared" si="126"/>
        <v>9.864101542532784E-4</v>
      </c>
      <c r="BN183" s="48">
        <f t="shared" si="127"/>
        <v>2.4368996521280687E-3</v>
      </c>
      <c r="BO183" s="48">
        <f t="shared" si="128"/>
        <v>2.2805868874306431E-3</v>
      </c>
      <c r="BP183" s="99">
        <f t="shared" si="129"/>
        <v>3.5706595492691337E-4</v>
      </c>
      <c r="BQ183" s="48">
        <f t="shared" si="130"/>
        <v>1.4796152313799175E-3</v>
      </c>
      <c r="BR183" s="40">
        <f t="shared" si="131"/>
        <v>0.56717804511863879</v>
      </c>
      <c r="BS183" s="31">
        <v>1.5</v>
      </c>
      <c r="BT183" s="31">
        <v>1.5</v>
      </c>
      <c r="BU183" s="43">
        <v>0.125</v>
      </c>
      <c r="BV183" s="44">
        <v>0.42</v>
      </c>
      <c r="BW183" s="43">
        <v>2.3E-2</v>
      </c>
      <c r="BX183" s="44">
        <v>0.2</v>
      </c>
      <c r="BY183" s="44">
        <v>15.602524598139274</v>
      </c>
      <c r="BZ183" s="44">
        <v>0.52</v>
      </c>
      <c r="CA183" s="44">
        <v>0.65</v>
      </c>
      <c r="CB183" s="47">
        <v>1</v>
      </c>
      <c r="CC183" s="46">
        <v>2.8773184806992838</v>
      </c>
      <c r="CD183" s="46">
        <v>19.233711844556318</v>
      </c>
      <c r="CE183" s="46">
        <v>77.888969674744388</v>
      </c>
      <c r="CF183" s="125">
        <v>1</v>
      </c>
      <c r="CG183" s="40">
        <f t="shared" si="151"/>
        <v>2.0495343634972962E-2</v>
      </c>
      <c r="CH183" s="40">
        <f t="shared" si="152"/>
        <v>2.0495343634972962E-2</v>
      </c>
      <c r="CI183" s="99">
        <f t="shared" si="153"/>
        <v>5.8971631009190138E-4</v>
      </c>
      <c r="CJ183" s="100">
        <f t="shared" si="154"/>
        <v>3.9420153363023142E-3</v>
      </c>
      <c r="CK183" s="100">
        <f t="shared" si="155"/>
        <v>1.5963611988578746E-2</v>
      </c>
      <c r="CL183" s="101">
        <f t="shared" si="132"/>
        <v>7.2943738539038507E-4</v>
      </c>
      <c r="CM183" s="100">
        <f t="shared" si="133"/>
        <v>3.9319277794447145E-3</v>
      </c>
      <c r="CN183" s="100">
        <f t="shared" si="134"/>
        <v>5.9130230044534713E-3</v>
      </c>
      <c r="CO183" s="100">
        <f t="shared" si="135"/>
        <v>2.3945417982868117E-2</v>
      </c>
      <c r="CP183" s="101">
        <f t="shared" si="136"/>
        <v>1.0941560780855777E-3</v>
      </c>
      <c r="CQ183" s="100">
        <f t="shared" si="137"/>
        <v>5.8978916691670713E-3</v>
      </c>
      <c r="CR183" s="99">
        <f t="shared" si="138"/>
        <v>0.22111030325255604</v>
      </c>
      <c r="CS183" s="31">
        <v>1.5</v>
      </c>
      <c r="CT183" s="31">
        <v>1.5</v>
      </c>
      <c r="CU183" s="43">
        <v>0.1</v>
      </c>
      <c r="CV183" s="44">
        <v>0.39</v>
      </c>
      <c r="CW183" s="43">
        <v>2.1000000000000001E-2</v>
      </c>
      <c r="CX183" s="44">
        <v>0.15</v>
      </c>
    </row>
    <row r="184" spans="1:102" s="27" customFormat="1" x14ac:dyDescent="0.25">
      <c r="A184" s="31">
        <v>170</v>
      </c>
      <c r="B184" s="84" t="s">
        <v>91</v>
      </c>
      <c r="C184" s="19">
        <v>60</v>
      </c>
      <c r="D184" s="31" t="s">
        <v>36</v>
      </c>
      <c r="E184" s="31" t="s">
        <v>6</v>
      </c>
      <c r="F184" s="31" t="s">
        <v>71</v>
      </c>
      <c r="G184" s="31" t="str">
        <f t="shared" si="139"/>
        <v>Kommunal 60 Y 4L Cm</v>
      </c>
      <c r="H184" s="48">
        <f t="shared" si="105"/>
        <v>0.16713755666895272</v>
      </c>
      <c r="I184" s="40">
        <f t="shared" si="106"/>
        <v>0.19007266101891643</v>
      </c>
      <c r="J184" s="99">
        <f t="shared" si="107"/>
        <v>3.3779088326215349E-3</v>
      </c>
      <c r="K184" s="48">
        <f t="shared" si="108"/>
        <v>5.4105665245175662E-2</v>
      </c>
      <c r="L184" s="48">
        <f t="shared" si="109"/>
        <v>0.13258908694111921</v>
      </c>
      <c r="M184" s="48">
        <f t="shared" si="140"/>
        <v>0.19715628231036722</v>
      </c>
      <c r="N184" s="99">
        <f t="shared" si="110"/>
        <v>6.4856454218341674E-3</v>
      </c>
      <c r="O184" s="48">
        <f t="shared" si="111"/>
        <v>3.3472932853371565E-2</v>
      </c>
      <c r="P184" s="48">
        <f t="shared" si="112"/>
        <v>8.1158497867763496E-2</v>
      </c>
      <c r="Q184" s="48">
        <f t="shared" si="113"/>
        <v>0.19888363041167881</v>
      </c>
      <c r="R184" s="40">
        <f t="shared" si="141"/>
        <v>1.3800939761725706</v>
      </c>
      <c r="S184" s="99">
        <f t="shared" si="114"/>
        <v>9.7284681327512515E-3</v>
      </c>
      <c r="T184" s="48">
        <f t="shared" si="115"/>
        <v>5.0209399280057354E-2</v>
      </c>
      <c r="U184" s="44">
        <v>13.003097184</v>
      </c>
      <c r="V184" s="19">
        <v>1.25</v>
      </c>
      <c r="W184" s="19">
        <v>0.55000000000000004</v>
      </c>
      <c r="X184" s="44">
        <v>1.1602402633204796</v>
      </c>
      <c r="Y184" s="46">
        <v>1.4575311513386686</v>
      </c>
      <c r="Z184" s="46">
        <v>29.229021073641348</v>
      </c>
      <c r="AA184" s="46">
        <v>69.313447775019981</v>
      </c>
      <c r="AB184" s="46">
        <v>1.1872265966754159</v>
      </c>
      <c r="AC184" s="125">
        <v>1</v>
      </c>
      <c r="AD184" s="94">
        <f t="shared" si="142"/>
        <v>0.14312947242288057</v>
      </c>
      <c r="AE184" s="94">
        <f t="shared" si="143"/>
        <v>0.16606457677284428</v>
      </c>
      <c r="AF184" s="96">
        <f t="shared" si="116"/>
        <v>2.4204429378029248E-3</v>
      </c>
      <c r="AG184" s="95">
        <f t="shared" si="156"/>
        <v>4.8539050140787972E-2</v>
      </c>
      <c r="AH184" s="94">
        <f t="shared" si="144"/>
        <v>0.11510508369425337</v>
      </c>
      <c r="AI184" s="94">
        <f t="shared" si="145"/>
        <v>0.19715628231036722</v>
      </c>
      <c r="AJ184" s="96">
        <f t="shared" si="117"/>
        <v>5.5181640664925067E-3</v>
      </c>
      <c r="AK184" s="95">
        <f t="shared" si="118"/>
        <v>2.8554594919673573E-2</v>
      </c>
      <c r="AL184" s="95">
        <f t="shared" si="119"/>
        <v>7.2808575211181961E-2</v>
      </c>
      <c r="AM184" s="94">
        <f t="shared" si="120"/>
        <v>0.17265762554138006</v>
      </c>
      <c r="AN184" s="93">
        <f t="shared" si="121"/>
        <v>1.3800939761725706</v>
      </c>
      <c r="AO184" s="96">
        <f t="shared" si="122"/>
        <v>8.2772460997387592E-3</v>
      </c>
      <c r="AP184" s="95">
        <f t="shared" si="123"/>
        <v>4.2831892379510364E-2</v>
      </c>
      <c r="AQ184" s="93">
        <f t="shared" si="124"/>
        <v>0.30686552224980018</v>
      </c>
      <c r="AR184" s="31">
        <v>1.5</v>
      </c>
      <c r="AS184" s="31">
        <v>1.5</v>
      </c>
      <c r="AT184" s="31">
        <v>7</v>
      </c>
      <c r="AU184" s="43">
        <v>7.0999999999999994E-2</v>
      </c>
      <c r="AV184" s="44">
        <v>0.28000000000000003</v>
      </c>
      <c r="AW184" s="43">
        <v>1.7999999999999999E-2</v>
      </c>
      <c r="AX184" s="44">
        <v>0.13</v>
      </c>
      <c r="AY184" s="44">
        <v>6.05756702133713</v>
      </c>
      <c r="AZ184" s="46">
        <v>0.5</v>
      </c>
      <c r="BA184" s="44">
        <v>0.72</v>
      </c>
      <c r="BB184" s="47">
        <v>1</v>
      </c>
      <c r="BC184" s="46">
        <v>10.469021924497721</v>
      </c>
      <c r="BD184" s="47">
        <v>46.248782587366165</v>
      </c>
      <c r="BE184" s="47">
        <v>43.282195488136104</v>
      </c>
      <c r="BF184" s="125">
        <v>1</v>
      </c>
      <c r="BG184" s="48">
        <f t="shared" si="146"/>
        <v>3.5127406110991837E-3</v>
      </c>
      <c r="BH184" s="48">
        <f t="shared" si="147"/>
        <v>3.5127406110991837E-3</v>
      </c>
      <c r="BI184" s="99">
        <f t="shared" si="148"/>
        <v>3.6774958472670879E-4</v>
      </c>
      <c r="BJ184" s="99">
        <f t="shared" si="149"/>
        <v>1.6245997680853792E-3</v>
      </c>
      <c r="BK184" s="48">
        <f t="shared" si="150"/>
        <v>1.5203912582870953E-3</v>
      </c>
      <c r="BL184" s="99">
        <f t="shared" si="125"/>
        <v>2.3804396995127559E-4</v>
      </c>
      <c r="BM184" s="48">
        <f t="shared" si="126"/>
        <v>9.864101542532784E-4</v>
      </c>
      <c r="BN184" s="48">
        <f t="shared" si="127"/>
        <v>2.4368996521280687E-3</v>
      </c>
      <c r="BO184" s="48">
        <f t="shared" si="128"/>
        <v>2.2805868874306431E-3</v>
      </c>
      <c r="BP184" s="99">
        <f t="shared" si="129"/>
        <v>3.5706595492691337E-4</v>
      </c>
      <c r="BQ184" s="48">
        <f t="shared" si="130"/>
        <v>1.4796152313799175E-3</v>
      </c>
      <c r="BR184" s="40">
        <f t="shared" si="131"/>
        <v>0.56717804511863879</v>
      </c>
      <c r="BS184" s="31">
        <v>1.5</v>
      </c>
      <c r="BT184" s="31">
        <v>1.5</v>
      </c>
      <c r="BU184" s="43">
        <v>0.125</v>
      </c>
      <c r="BV184" s="44">
        <v>0.42</v>
      </c>
      <c r="BW184" s="43">
        <v>2.3E-2</v>
      </c>
      <c r="BX184" s="44">
        <v>0.2</v>
      </c>
      <c r="BY184" s="44">
        <v>15.602524598139274</v>
      </c>
      <c r="BZ184" s="44">
        <v>0.52</v>
      </c>
      <c r="CA184" s="44">
        <v>0.65</v>
      </c>
      <c r="CB184" s="47">
        <v>1</v>
      </c>
      <c r="CC184" s="46">
        <v>2.8773184806992838</v>
      </c>
      <c r="CD184" s="46">
        <v>19.233711844556318</v>
      </c>
      <c r="CE184" s="46">
        <v>77.888969674744388</v>
      </c>
      <c r="CF184" s="125">
        <v>1</v>
      </c>
      <c r="CG184" s="40">
        <f t="shared" si="151"/>
        <v>2.0495343634972962E-2</v>
      </c>
      <c r="CH184" s="40">
        <f t="shared" si="152"/>
        <v>2.0495343634972962E-2</v>
      </c>
      <c r="CI184" s="99">
        <f t="shared" si="153"/>
        <v>5.8971631009190138E-4</v>
      </c>
      <c r="CJ184" s="100">
        <f t="shared" si="154"/>
        <v>3.9420153363023142E-3</v>
      </c>
      <c r="CK184" s="100">
        <f t="shared" si="155"/>
        <v>1.5963611988578746E-2</v>
      </c>
      <c r="CL184" s="101">
        <f t="shared" si="132"/>
        <v>7.2943738539038507E-4</v>
      </c>
      <c r="CM184" s="100">
        <f t="shared" si="133"/>
        <v>3.9319277794447145E-3</v>
      </c>
      <c r="CN184" s="100">
        <f t="shared" si="134"/>
        <v>5.9130230044534713E-3</v>
      </c>
      <c r="CO184" s="100">
        <f t="shared" si="135"/>
        <v>2.3945417982868117E-2</v>
      </c>
      <c r="CP184" s="101">
        <f t="shared" si="136"/>
        <v>1.0941560780855777E-3</v>
      </c>
      <c r="CQ184" s="100">
        <f t="shared" si="137"/>
        <v>5.8978916691670713E-3</v>
      </c>
      <c r="CR184" s="99">
        <f t="shared" si="138"/>
        <v>0.22111030325255604</v>
      </c>
      <c r="CS184" s="31">
        <v>1.5</v>
      </c>
      <c r="CT184" s="31">
        <v>1.5</v>
      </c>
      <c r="CU184" s="43">
        <v>0.1</v>
      </c>
      <c r="CV184" s="44">
        <v>0.39</v>
      </c>
      <c r="CW184" s="43">
        <v>2.1000000000000001E-2</v>
      </c>
      <c r="CX184" s="44">
        <v>0.15</v>
      </c>
    </row>
    <row r="185" spans="1:102" s="27" customFormat="1" x14ac:dyDescent="0.25">
      <c r="A185" s="31">
        <v>171</v>
      </c>
      <c r="B185" s="84" t="s">
        <v>91</v>
      </c>
      <c r="C185" s="19">
        <v>60</v>
      </c>
      <c r="D185" s="31" t="s">
        <v>36</v>
      </c>
      <c r="E185" s="31" t="s">
        <v>6</v>
      </c>
      <c r="F185" s="19" t="s">
        <v>0</v>
      </c>
      <c r="G185" s="31" t="str">
        <f t="shared" si="139"/>
        <v>Kommunal 60 Y 4L D</v>
      </c>
      <c r="H185" s="48">
        <f t="shared" si="105"/>
        <v>6.6635557872128229E-2</v>
      </c>
      <c r="I185" s="40">
        <f t="shared" si="106"/>
        <v>9.816700101471873E-2</v>
      </c>
      <c r="J185" s="99">
        <f t="shared" si="107"/>
        <v>9.5746589481861017E-4</v>
      </c>
      <c r="K185" s="48">
        <f t="shared" si="108"/>
        <v>1.5047051446829123E-2</v>
      </c>
      <c r="L185" s="48">
        <f t="shared" si="109"/>
        <v>8.2162483673070996E-2</v>
      </c>
      <c r="M185" s="48">
        <f t="shared" si="140"/>
        <v>0.3288786743653021</v>
      </c>
      <c r="N185" s="99">
        <f t="shared" si="110"/>
        <v>2.8048049833266945E-3</v>
      </c>
      <c r="O185" s="48">
        <f t="shared" si="111"/>
        <v>1.5981062564988265E-2</v>
      </c>
      <c r="P185" s="48">
        <f t="shared" si="112"/>
        <v>2.2570577170243685E-2</v>
      </c>
      <c r="Q185" s="48">
        <f t="shared" si="113"/>
        <v>0.12324372550960648</v>
      </c>
      <c r="R185" s="40">
        <f t="shared" si="141"/>
        <v>2.3021507205571146</v>
      </c>
      <c r="S185" s="99">
        <f t="shared" si="114"/>
        <v>4.2072074749900414E-3</v>
      </c>
      <c r="T185" s="48">
        <f t="shared" si="115"/>
        <v>2.3971593847482396E-2</v>
      </c>
      <c r="U185" s="44">
        <v>1.761305040000001</v>
      </c>
      <c r="V185" s="44">
        <v>1.2</v>
      </c>
      <c r="W185" s="19">
        <v>0</v>
      </c>
      <c r="X185" s="44">
        <v>1.7396976752409947</v>
      </c>
      <c r="Y185" s="46">
        <v>0</v>
      </c>
      <c r="Z185" s="46">
        <v>12.783946631822477</v>
      </c>
      <c r="AA185" s="46">
        <v>87.216053368177526</v>
      </c>
      <c r="AB185" s="46">
        <v>4.4347826086956506</v>
      </c>
      <c r="AC185" s="125">
        <v>1</v>
      </c>
      <c r="AD185" s="94">
        <f t="shared" si="142"/>
        <v>4.2627473626056081E-2</v>
      </c>
      <c r="AE185" s="94">
        <f t="shared" si="143"/>
        <v>7.4158916768646582E-2</v>
      </c>
      <c r="AF185" s="96">
        <f t="shared" si="116"/>
        <v>0</v>
      </c>
      <c r="AG185" s="95">
        <f t="shared" si="156"/>
        <v>9.4804363424414295E-3</v>
      </c>
      <c r="AH185" s="94">
        <f t="shared" si="144"/>
        <v>6.4678480426205151E-2</v>
      </c>
      <c r="AI185" s="94">
        <f t="shared" si="145"/>
        <v>0.3288786743653021</v>
      </c>
      <c r="AJ185" s="96">
        <f t="shared" si="117"/>
        <v>1.8373236279850343E-3</v>
      </c>
      <c r="AK185" s="95">
        <f t="shared" si="118"/>
        <v>1.1062724631290271E-2</v>
      </c>
      <c r="AL185" s="95">
        <f t="shared" si="119"/>
        <v>1.4220654513662143E-2</v>
      </c>
      <c r="AM185" s="94">
        <f t="shared" si="120"/>
        <v>9.701772063930772E-2</v>
      </c>
      <c r="AN185" s="93">
        <f t="shared" si="121"/>
        <v>2.3021507205571146</v>
      </c>
      <c r="AO185" s="96">
        <f t="shared" si="122"/>
        <v>2.7559854419775508E-3</v>
      </c>
      <c r="AP185" s="95">
        <f t="shared" si="123"/>
        <v>1.6594086946935406E-2</v>
      </c>
      <c r="AQ185" s="93">
        <f t="shared" si="124"/>
        <v>0.12783946631822476</v>
      </c>
      <c r="AR185" s="31">
        <v>1.5</v>
      </c>
      <c r="AS185" s="31">
        <v>1.5</v>
      </c>
      <c r="AT185" s="31">
        <v>7</v>
      </c>
      <c r="AU185" s="43">
        <v>7.0999999999999994E-2</v>
      </c>
      <c r="AV185" s="44">
        <v>0.28000000000000003</v>
      </c>
      <c r="AW185" s="43">
        <v>1.7999999999999999E-2</v>
      </c>
      <c r="AX185" s="44">
        <v>0.13</v>
      </c>
      <c r="AY185" s="44">
        <v>6.05756702133713</v>
      </c>
      <c r="AZ185" s="46">
        <v>0.5</v>
      </c>
      <c r="BA185" s="44">
        <v>0.72</v>
      </c>
      <c r="BB185" s="47">
        <v>1</v>
      </c>
      <c r="BC185" s="46">
        <v>10.469021924497721</v>
      </c>
      <c r="BD185" s="47">
        <v>46.248782587366165</v>
      </c>
      <c r="BE185" s="47">
        <v>43.282195488136104</v>
      </c>
      <c r="BF185" s="125">
        <v>1</v>
      </c>
      <c r="BG185" s="48">
        <f t="shared" si="146"/>
        <v>3.5127406110991837E-3</v>
      </c>
      <c r="BH185" s="48">
        <f t="shared" si="147"/>
        <v>3.5127406110991837E-3</v>
      </c>
      <c r="BI185" s="99">
        <f t="shared" si="148"/>
        <v>3.6774958472670879E-4</v>
      </c>
      <c r="BJ185" s="99">
        <f t="shared" si="149"/>
        <v>1.6245997680853792E-3</v>
      </c>
      <c r="BK185" s="48">
        <f t="shared" si="150"/>
        <v>1.5203912582870953E-3</v>
      </c>
      <c r="BL185" s="99">
        <f t="shared" si="125"/>
        <v>2.3804396995127559E-4</v>
      </c>
      <c r="BM185" s="48">
        <f t="shared" si="126"/>
        <v>9.864101542532784E-4</v>
      </c>
      <c r="BN185" s="48">
        <f t="shared" si="127"/>
        <v>2.4368996521280687E-3</v>
      </c>
      <c r="BO185" s="48">
        <f t="shared" si="128"/>
        <v>2.2805868874306431E-3</v>
      </c>
      <c r="BP185" s="99">
        <f t="shared" si="129"/>
        <v>3.5706595492691337E-4</v>
      </c>
      <c r="BQ185" s="48">
        <f t="shared" si="130"/>
        <v>1.4796152313799175E-3</v>
      </c>
      <c r="BR185" s="40">
        <f t="shared" si="131"/>
        <v>0.56717804511863879</v>
      </c>
      <c r="BS185" s="31">
        <v>1.5</v>
      </c>
      <c r="BT185" s="31">
        <v>1.5</v>
      </c>
      <c r="BU185" s="43">
        <v>0.125</v>
      </c>
      <c r="BV185" s="44">
        <v>0.42</v>
      </c>
      <c r="BW185" s="43">
        <v>2.3E-2</v>
      </c>
      <c r="BX185" s="44">
        <v>0.2</v>
      </c>
      <c r="BY185" s="44">
        <v>15.602524598139274</v>
      </c>
      <c r="BZ185" s="44">
        <v>0.52</v>
      </c>
      <c r="CA185" s="44">
        <v>0.65</v>
      </c>
      <c r="CB185" s="47">
        <v>1</v>
      </c>
      <c r="CC185" s="46">
        <v>2.8773184806992838</v>
      </c>
      <c r="CD185" s="46">
        <v>19.233711844556318</v>
      </c>
      <c r="CE185" s="46">
        <v>77.888969674744388</v>
      </c>
      <c r="CF185" s="125">
        <v>1</v>
      </c>
      <c r="CG185" s="40">
        <f t="shared" si="151"/>
        <v>2.0495343634972962E-2</v>
      </c>
      <c r="CH185" s="40">
        <f t="shared" si="152"/>
        <v>2.0495343634972962E-2</v>
      </c>
      <c r="CI185" s="99">
        <f t="shared" si="153"/>
        <v>5.8971631009190138E-4</v>
      </c>
      <c r="CJ185" s="100">
        <f t="shared" si="154"/>
        <v>3.9420153363023142E-3</v>
      </c>
      <c r="CK185" s="100">
        <f t="shared" si="155"/>
        <v>1.5963611988578746E-2</v>
      </c>
      <c r="CL185" s="101">
        <f t="shared" si="132"/>
        <v>7.2943738539038507E-4</v>
      </c>
      <c r="CM185" s="100">
        <f t="shared" si="133"/>
        <v>3.9319277794447145E-3</v>
      </c>
      <c r="CN185" s="100">
        <f t="shared" si="134"/>
        <v>5.9130230044534713E-3</v>
      </c>
      <c r="CO185" s="100">
        <f t="shared" si="135"/>
        <v>2.3945417982868117E-2</v>
      </c>
      <c r="CP185" s="101">
        <f t="shared" si="136"/>
        <v>1.0941560780855777E-3</v>
      </c>
      <c r="CQ185" s="100">
        <f t="shared" si="137"/>
        <v>5.8978916691670713E-3</v>
      </c>
      <c r="CR185" s="99">
        <f t="shared" si="138"/>
        <v>0.22111030325255604</v>
      </c>
      <c r="CS185" s="31">
        <v>1.5</v>
      </c>
      <c r="CT185" s="31">
        <v>1.5</v>
      </c>
      <c r="CU185" s="43">
        <v>0.1</v>
      </c>
      <c r="CV185" s="44">
        <v>0.39</v>
      </c>
      <c r="CW185" s="43">
        <v>2.1000000000000001E-2</v>
      </c>
      <c r="CX185" s="44">
        <v>0.15</v>
      </c>
    </row>
    <row r="186" spans="1:102" s="27" customFormat="1" x14ac:dyDescent="0.25">
      <c r="A186" s="31">
        <v>172</v>
      </c>
      <c r="B186" s="84" t="s">
        <v>91</v>
      </c>
      <c r="C186" s="19">
        <v>60</v>
      </c>
      <c r="D186" s="31" t="s">
        <v>36</v>
      </c>
      <c r="E186" s="31" t="s">
        <v>6</v>
      </c>
      <c r="F186" s="19" t="s">
        <v>62</v>
      </c>
      <c r="G186" s="31" t="str">
        <f t="shared" si="139"/>
        <v>Kommunal 60 Y 4L EE</v>
      </c>
      <c r="H186" s="48">
        <f t="shared" si="105"/>
        <v>0.26175780405652022</v>
      </c>
      <c r="I186" s="40">
        <f t="shared" si="106"/>
        <v>0.29985488176331665</v>
      </c>
      <c r="J186" s="99">
        <f t="shared" si="107"/>
        <v>4.9780188986025507E-3</v>
      </c>
      <c r="K186" s="48">
        <f t="shared" si="108"/>
        <v>8.6193933681667903E-2</v>
      </c>
      <c r="L186" s="48">
        <f t="shared" si="109"/>
        <v>0.20868292918304621</v>
      </c>
      <c r="M186" s="48">
        <f t="shared" si="140"/>
        <v>0.32749265462021077</v>
      </c>
      <c r="N186" s="99">
        <f t="shared" si="110"/>
        <v>1.0133601641179803E-2</v>
      </c>
      <c r="O186" s="48">
        <f t="shared" si="111"/>
        <v>5.2349847507039901E-2</v>
      </c>
      <c r="P186" s="48">
        <f t="shared" si="112"/>
        <v>0.12929090052250186</v>
      </c>
      <c r="Q186" s="48">
        <f t="shared" si="113"/>
        <v>0.31302439377456936</v>
      </c>
      <c r="R186" s="40">
        <f t="shared" si="141"/>
        <v>2.2924485823414753</v>
      </c>
      <c r="S186" s="99">
        <f t="shared" si="114"/>
        <v>1.5200402461769704E-2</v>
      </c>
      <c r="T186" s="48">
        <f t="shared" si="115"/>
        <v>7.8524771260559859E-2</v>
      </c>
      <c r="U186" s="44">
        <v>15.244511040000003</v>
      </c>
      <c r="V186" s="44">
        <v>1.2</v>
      </c>
      <c r="W186" s="19">
        <v>0.2</v>
      </c>
      <c r="X186" s="44">
        <v>1.1602402633204796</v>
      </c>
      <c r="Y186" s="46">
        <v>1.4575311513386691</v>
      </c>
      <c r="Z186" s="46">
        <v>29.229021073641359</v>
      </c>
      <c r="AA186" s="46">
        <v>69.313447775019981</v>
      </c>
      <c r="AB186" s="46">
        <v>1.1872265966754159</v>
      </c>
      <c r="AC186" s="125">
        <v>1</v>
      </c>
      <c r="AD186" s="94">
        <f t="shared" si="142"/>
        <v>0.23774971981044807</v>
      </c>
      <c r="AE186" s="94">
        <f t="shared" si="143"/>
        <v>0.2758467975172445</v>
      </c>
      <c r="AF186" s="96">
        <f t="shared" si="116"/>
        <v>4.0205530037839407E-3</v>
      </c>
      <c r="AG186" s="95">
        <f t="shared" si="156"/>
        <v>8.0627318577280213E-2</v>
      </c>
      <c r="AH186" s="94">
        <f t="shared" si="144"/>
        <v>0.19119892593618038</v>
      </c>
      <c r="AI186" s="94">
        <f t="shared" si="145"/>
        <v>0.32749265462021077</v>
      </c>
      <c r="AJ186" s="96">
        <f t="shared" si="117"/>
        <v>9.1661202858381412E-3</v>
      </c>
      <c r="AK186" s="95">
        <f t="shared" si="118"/>
        <v>4.7431509573341912E-2</v>
      </c>
      <c r="AL186" s="95">
        <f t="shared" si="119"/>
        <v>0.12094097786592031</v>
      </c>
      <c r="AM186" s="94">
        <f t="shared" si="120"/>
        <v>0.28679838890427056</v>
      </c>
      <c r="AN186" s="93">
        <f t="shared" si="121"/>
        <v>2.2924485823414753</v>
      </c>
      <c r="AO186" s="96">
        <f t="shared" si="122"/>
        <v>1.3749180428757212E-2</v>
      </c>
      <c r="AP186" s="95">
        <f t="shared" si="123"/>
        <v>7.1147264360012868E-2</v>
      </c>
      <c r="AQ186" s="93">
        <f t="shared" si="124"/>
        <v>0.30686552224980029</v>
      </c>
      <c r="AR186" s="31">
        <v>1.5</v>
      </c>
      <c r="AS186" s="31">
        <v>1.5</v>
      </c>
      <c r="AT186" s="31">
        <v>7</v>
      </c>
      <c r="AU186" s="43">
        <v>7.0999999999999994E-2</v>
      </c>
      <c r="AV186" s="44">
        <v>0.28000000000000003</v>
      </c>
      <c r="AW186" s="43">
        <v>1.7999999999999999E-2</v>
      </c>
      <c r="AX186" s="44">
        <v>0.13</v>
      </c>
      <c r="AY186" s="44">
        <v>6.05756702133713</v>
      </c>
      <c r="AZ186" s="46">
        <v>0.5</v>
      </c>
      <c r="BA186" s="44">
        <v>0.72</v>
      </c>
      <c r="BB186" s="47">
        <v>1</v>
      </c>
      <c r="BC186" s="46">
        <v>10.469021924497721</v>
      </c>
      <c r="BD186" s="47">
        <v>46.248782587366165</v>
      </c>
      <c r="BE186" s="47">
        <v>43.282195488136104</v>
      </c>
      <c r="BF186" s="125">
        <v>1</v>
      </c>
      <c r="BG186" s="48">
        <f t="shared" si="146"/>
        <v>3.5127406110991837E-3</v>
      </c>
      <c r="BH186" s="48">
        <f t="shared" si="147"/>
        <v>3.5127406110991837E-3</v>
      </c>
      <c r="BI186" s="99">
        <f t="shared" si="148"/>
        <v>3.6774958472670879E-4</v>
      </c>
      <c r="BJ186" s="99">
        <f t="shared" si="149"/>
        <v>1.6245997680853792E-3</v>
      </c>
      <c r="BK186" s="48">
        <f t="shared" si="150"/>
        <v>1.5203912582870953E-3</v>
      </c>
      <c r="BL186" s="99">
        <f t="shared" si="125"/>
        <v>2.3804396995127559E-4</v>
      </c>
      <c r="BM186" s="48">
        <f t="shared" si="126"/>
        <v>9.864101542532784E-4</v>
      </c>
      <c r="BN186" s="48">
        <f t="shared" si="127"/>
        <v>2.4368996521280687E-3</v>
      </c>
      <c r="BO186" s="48">
        <f t="shared" si="128"/>
        <v>2.2805868874306431E-3</v>
      </c>
      <c r="BP186" s="99">
        <f t="shared" si="129"/>
        <v>3.5706595492691337E-4</v>
      </c>
      <c r="BQ186" s="48">
        <f t="shared" si="130"/>
        <v>1.4796152313799175E-3</v>
      </c>
      <c r="BR186" s="40">
        <f t="shared" si="131"/>
        <v>0.56717804511863879</v>
      </c>
      <c r="BS186" s="31">
        <v>1.5</v>
      </c>
      <c r="BT186" s="31">
        <v>1.5</v>
      </c>
      <c r="BU186" s="43">
        <v>0.125</v>
      </c>
      <c r="BV186" s="44">
        <v>0.42</v>
      </c>
      <c r="BW186" s="43">
        <v>2.3E-2</v>
      </c>
      <c r="BX186" s="44">
        <v>0.2</v>
      </c>
      <c r="BY186" s="44">
        <v>15.602524598139274</v>
      </c>
      <c r="BZ186" s="44">
        <v>0.52</v>
      </c>
      <c r="CA186" s="44">
        <v>0.65</v>
      </c>
      <c r="CB186" s="47">
        <v>1</v>
      </c>
      <c r="CC186" s="46">
        <v>2.8773184806992838</v>
      </c>
      <c r="CD186" s="46">
        <v>19.233711844556318</v>
      </c>
      <c r="CE186" s="46">
        <v>77.888969674744388</v>
      </c>
      <c r="CF186" s="125">
        <v>1</v>
      </c>
      <c r="CG186" s="40">
        <f t="shared" si="151"/>
        <v>2.0495343634972962E-2</v>
      </c>
      <c r="CH186" s="40">
        <f t="shared" si="152"/>
        <v>2.0495343634972962E-2</v>
      </c>
      <c r="CI186" s="99">
        <f t="shared" si="153"/>
        <v>5.8971631009190138E-4</v>
      </c>
      <c r="CJ186" s="100">
        <f t="shared" si="154"/>
        <v>3.9420153363023142E-3</v>
      </c>
      <c r="CK186" s="100">
        <f t="shared" si="155"/>
        <v>1.5963611988578746E-2</v>
      </c>
      <c r="CL186" s="101">
        <f t="shared" si="132"/>
        <v>7.2943738539038507E-4</v>
      </c>
      <c r="CM186" s="100">
        <f t="shared" si="133"/>
        <v>3.9319277794447145E-3</v>
      </c>
      <c r="CN186" s="100">
        <f t="shared" si="134"/>
        <v>5.9130230044534713E-3</v>
      </c>
      <c r="CO186" s="100">
        <f t="shared" si="135"/>
        <v>2.3945417982868117E-2</v>
      </c>
      <c r="CP186" s="101">
        <f t="shared" si="136"/>
        <v>1.0941560780855777E-3</v>
      </c>
      <c r="CQ186" s="100">
        <f t="shared" si="137"/>
        <v>5.8978916691670713E-3</v>
      </c>
      <c r="CR186" s="99">
        <f t="shared" si="138"/>
        <v>0.22111030325255604</v>
      </c>
      <c r="CS186" s="31">
        <v>1.5</v>
      </c>
      <c r="CT186" s="31">
        <v>1.5</v>
      </c>
      <c r="CU186" s="43">
        <v>0.1</v>
      </c>
      <c r="CV186" s="44">
        <v>0.39</v>
      </c>
      <c r="CW186" s="43">
        <v>2.1000000000000001E-2</v>
      </c>
      <c r="CX186" s="44">
        <v>0.15</v>
      </c>
    </row>
    <row r="187" spans="1:102" s="27" customFormat="1" x14ac:dyDescent="0.25">
      <c r="A187" s="31">
        <v>173</v>
      </c>
      <c r="B187" s="84" t="s">
        <v>91</v>
      </c>
      <c r="C187" s="19">
        <v>60</v>
      </c>
      <c r="D187" s="31" t="s">
        <v>36</v>
      </c>
      <c r="E187" s="31" t="s">
        <v>6</v>
      </c>
      <c r="F187" s="19" t="s">
        <v>63</v>
      </c>
      <c r="G187" s="31" t="str">
        <f t="shared" si="139"/>
        <v>Kommunal 60 Y 4L ES</v>
      </c>
      <c r="H187" s="48">
        <f t="shared" si="105"/>
        <v>0.16279732349128331</v>
      </c>
      <c r="I187" s="40">
        <f t="shared" si="106"/>
        <v>0.1827850164542848</v>
      </c>
      <c r="J187" s="99">
        <f t="shared" si="107"/>
        <v>2.080361895032576E-3</v>
      </c>
      <c r="K187" s="48">
        <f t="shared" si="108"/>
        <v>3.013205359095604E-2</v>
      </c>
      <c r="L187" s="48">
        <f t="shared" si="109"/>
        <v>0.15057260096829619</v>
      </c>
      <c r="M187" s="48">
        <f t="shared" si="140"/>
        <v>0.29905735904960939</v>
      </c>
      <c r="N187" s="99">
        <f t="shared" si="110"/>
        <v>5.1072222468737591E-3</v>
      </c>
      <c r="O187" s="48">
        <f t="shared" si="111"/>
        <v>2.9098178413723082E-2</v>
      </c>
      <c r="P187" s="48">
        <f t="shared" si="112"/>
        <v>4.5198080386434053E-2</v>
      </c>
      <c r="Q187" s="48">
        <f t="shared" si="113"/>
        <v>0.22585890145244431</v>
      </c>
      <c r="R187" s="40">
        <f t="shared" si="141"/>
        <v>2.0934015133472657</v>
      </c>
      <c r="S187" s="99">
        <f t="shared" si="114"/>
        <v>7.6608333703106395E-3</v>
      </c>
      <c r="T187" s="48">
        <f t="shared" si="115"/>
        <v>4.3647267620584615E-2</v>
      </c>
      <c r="U187" s="44">
        <v>8.8991654400000009</v>
      </c>
      <c r="V187" s="44">
        <v>1.2</v>
      </c>
      <c r="W187" s="19">
        <v>0.2</v>
      </c>
      <c r="X187" s="44">
        <v>1.144014716643035</v>
      </c>
      <c r="Y187" s="46">
        <v>0.70721608271247649</v>
      </c>
      <c r="Z187" s="46">
        <v>15.471667165324982</v>
      </c>
      <c r="AA187" s="46">
        <v>83.821116751962549</v>
      </c>
      <c r="AB187" s="46">
        <v>1.8835063437139568</v>
      </c>
      <c r="AC187" s="125">
        <v>1</v>
      </c>
      <c r="AD187" s="94">
        <f t="shared" si="142"/>
        <v>0.13878923924521117</v>
      </c>
      <c r="AE187" s="94">
        <f t="shared" si="143"/>
        <v>0.15877693220821265</v>
      </c>
      <c r="AF187" s="96">
        <f t="shared" si="116"/>
        <v>1.122896000213966E-3</v>
      </c>
      <c r="AG187" s="95">
        <f t="shared" si="156"/>
        <v>2.4565438486568347E-2</v>
      </c>
      <c r="AH187" s="94">
        <f t="shared" si="144"/>
        <v>0.13308859772143036</v>
      </c>
      <c r="AI187" s="94">
        <f t="shared" si="145"/>
        <v>0.29905735904960939</v>
      </c>
      <c r="AJ187" s="96">
        <f t="shared" si="117"/>
        <v>4.1397408915320984E-3</v>
      </c>
      <c r="AK187" s="95">
        <f t="shared" si="118"/>
        <v>2.4179840480025087E-2</v>
      </c>
      <c r="AL187" s="95">
        <f t="shared" si="119"/>
        <v>3.6848157729852518E-2</v>
      </c>
      <c r="AM187" s="94">
        <f t="shared" si="120"/>
        <v>0.19963289658214556</v>
      </c>
      <c r="AN187" s="93">
        <f t="shared" si="121"/>
        <v>2.0934015133472657</v>
      </c>
      <c r="AO187" s="96">
        <f t="shared" si="122"/>
        <v>6.209611337298148E-3</v>
      </c>
      <c r="AP187" s="95">
        <f t="shared" si="123"/>
        <v>3.6269760720037625E-2</v>
      </c>
      <c r="AQ187" s="93">
        <f t="shared" si="124"/>
        <v>0.16178883248037462</v>
      </c>
      <c r="AR187" s="31">
        <v>1.5</v>
      </c>
      <c r="AS187" s="31">
        <v>1.5</v>
      </c>
      <c r="AT187" s="31">
        <v>7</v>
      </c>
      <c r="AU187" s="43">
        <v>7.0999999999999994E-2</v>
      </c>
      <c r="AV187" s="44">
        <v>0.28000000000000003</v>
      </c>
      <c r="AW187" s="43">
        <v>1.7999999999999999E-2</v>
      </c>
      <c r="AX187" s="44">
        <v>0.13</v>
      </c>
      <c r="AY187" s="44">
        <v>6.05756702133713</v>
      </c>
      <c r="AZ187" s="46">
        <v>0.5</v>
      </c>
      <c r="BA187" s="44">
        <v>0.72</v>
      </c>
      <c r="BB187" s="47">
        <v>1</v>
      </c>
      <c r="BC187" s="46">
        <v>10.469021924497719</v>
      </c>
      <c r="BD187" s="47">
        <v>46.248782587366179</v>
      </c>
      <c r="BE187" s="47">
        <v>43.282195488136111</v>
      </c>
      <c r="BF187" s="125">
        <v>1</v>
      </c>
      <c r="BG187" s="48">
        <f t="shared" si="146"/>
        <v>3.5127406110991837E-3</v>
      </c>
      <c r="BH187" s="48">
        <f t="shared" si="147"/>
        <v>3.5127406110991837E-3</v>
      </c>
      <c r="BI187" s="99">
        <f t="shared" si="148"/>
        <v>3.6774958472670874E-4</v>
      </c>
      <c r="BJ187" s="99">
        <f t="shared" si="149"/>
        <v>1.6245997680853796E-3</v>
      </c>
      <c r="BK187" s="48">
        <f t="shared" si="150"/>
        <v>1.5203912582870958E-3</v>
      </c>
      <c r="BL187" s="99">
        <f t="shared" si="125"/>
        <v>2.3804396995127567E-4</v>
      </c>
      <c r="BM187" s="48">
        <f t="shared" si="126"/>
        <v>9.8641015425327862E-4</v>
      </c>
      <c r="BN187" s="48">
        <f t="shared" si="127"/>
        <v>2.4368996521280696E-3</v>
      </c>
      <c r="BO187" s="48">
        <f t="shared" si="128"/>
        <v>2.2805868874306435E-3</v>
      </c>
      <c r="BP187" s="99">
        <f t="shared" si="129"/>
        <v>3.5706595492691353E-4</v>
      </c>
      <c r="BQ187" s="48">
        <f t="shared" si="130"/>
        <v>1.4796152313799179E-3</v>
      </c>
      <c r="BR187" s="40">
        <f t="shared" si="131"/>
        <v>0.5671780451186389</v>
      </c>
      <c r="BS187" s="31">
        <v>1.5</v>
      </c>
      <c r="BT187" s="31">
        <v>1.5</v>
      </c>
      <c r="BU187" s="43">
        <v>0.125</v>
      </c>
      <c r="BV187" s="44">
        <v>0.42</v>
      </c>
      <c r="BW187" s="43">
        <v>2.3E-2</v>
      </c>
      <c r="BX187" s="44">
        <v>0.2</v>
      </c>
      <c r="BY187" s="44">
        <v>15.602524598139274</v>
      </c>
      <c r="BZ187" s="44">
        <v>0.52</v>
      </c>
      <c r="CA187" s="44">
        <v>0.65</v>
      </c>
      <c r="CB187" s="47">
        <v>1</v>
      </c>
      <c r="CC187" s="46">
        <v>2.8773184806992838</v>
      </c>
      <c r="CD187" s="46">
        <v>19.233711844556318</v>
      </c>
      <c r="CE187" s="46">
        <v>77.888969674744388</v>
      </c>
      <c r="CF187" s="125">
        <v>1</v>
      </c>
      <c r="CG187" s="40">
        <f t="shared" si="151"/>
        <v>2.0495343634972962E-2</v>
      </c>
      <c r="CH187" s="40">
        <f t="shared" si="152"/>
        <v>2.0495343634972962E-2</v>
      </c>
      <c r="CI187" s="99">
        <f t="shared" si="153"/>
        <v>5.8971631009190138E-4</v>
      </c>
      <c r="CJ187" s="100">
        <f t="shared" si="154"/>
        <v>3.9420153363023142E-3</v>
      </c>
      <c r="CK187" s="100">
        <f t="shared" si="155"/>
        <v>1.5963611988578746E-2</v>
      </c>
      <c r="CL187" s="101">
        <f t="shared" si="132"/>
        <v>7.2943738539038507E-4</v>
      </c>
      <c r="CM187" s="100">
        <f t="shared" si="133"/>
        <v>3.9319277794447145E-3</v>
      </c>
      <c r="CN187" s="100">
        <f t="shared" si="134"/>
        <v>5.9130230044534713E-3</v>
      </c>
      <c r="CO187" s="100">
        <f t="shared" si="135"/>
        <v>2.3945417982868117E-2</v>
      </c>
      <c r="CP187" s="101">
        <f t="shared" si="136"/>
        <v>1.0941560780855777E-3</v>
      </c>
      <c r="CQ187" s="100">
        <f t="shared" si="137"/>
        <v>5.8978916691670713E-3</v>
      </c>
      <c r="CR187" s="99">
        <f t="shared" si="138"/>
        <v>0.22111030325255604</v>
      </c>
      <c r="CS187" s="31">
        <v>1.5</v>
      </c>
      <c r="CT187" s="31">
        <v>1.5</v>
      </c>
      <c r="CU187" s="43">
        <v>0.1</v>
      </c>
      <c r="CV187" s="44">
        <v>0.39</v>
      </c>
      <c r="CW187" s="43">
        <v>2.1000000000000001E-2</v>
      </c>
      <c r="CX187" s="44">
        <v>0.15</v>
      </c>
    </row>
    <row r="188" spans="1:102" s="27" customFormat="1" x14ac:dyDescent="0.25">
      <c r="A188" s="31">
        <v>174</v>
      </c>
      <c r="B188" s="84" t="s">
        <v>91</v>
      </c>
      <c r="C188" s="19">
        <v>60</v>
      </c>
      <c r="D188" s="31" t="s">
        <v>36</v>
      </c>
      <c r="E188" s="31" t="s">
        <v>6</v>
      </c>
      <c r="F188" s="19" t="s">
        <v>64</v>
      </c>
      <c r="G188" s="31" t="str">
        <f t="shared" si="139"/>
        <v>Kommunal 60 Y 4L F</v>
      </c>
      <c r="H188" s="48">
        <f t="shared" si="105"/>
        <v>5.2423745827620064E-2</v>
      </c>
      <c r="I188" s="40">
        <f t="shared" si="106"/>
        <v>5.3378287488172138E-2</v>
      </c>
      <c r="J188" s="99">
        <f t="shared" si="107"/>
        <v>1.1435965306900919E-3</v>
      </c>
      <c r="K188" s="48">
        <f t="shared" si="108"/>
        <v>1.0345718786494443E-2</v>
      </c>
      <c r="L188" s="48">
        <f t="shared" si="109"/>
        <v>4.188897217098761E-2</v>
      </c>
      <c r="M188" s="48">
        <f t="shared" si="140"/>
        <v>8.2191440764422766E-2</v>
      </c>
      <c r="N188" s="99">
        <f t="shared" si="110"/>
        <v>1.7434838753312178E-3</v>
      </c>
      <c r="O188" s="48">
        <f t="shared" si="111"/>
        <v>9.4198338511738144E-3</v>
      </c>
      <c r="P188" s="48">
        <f t="shared" si="112"/>
        <v>1.5518578179741664E-2</v>
      </c>
      <c r="Q188" s="48">
        <f t="shared" si="113"/>
        <v>6.2833458256481414E-2</v>
      </c>
      <c r="R188" s="40">
        <f t="shared" si="141"/>
        <v>0.57534008535095937</v>
      </c>
      <c r="S188" s="99">
        <f t="shared" si="114"/>
        <v>2.6152258129968262E-3</v>
      </c>
      <c r="T188" s="48">
        <f t="shared" si="115"/>
        <v>1.4129750776760722E-2</v>
      </c>
      <c r="U188" s="44">
        <v>2.0804255999999999</v>
      </c>
      <c r="V188" s="19">
        <v>1.25</v>
      </c>
      <c r="W188" s="19">
        <v>0.45</v>
      </c>
      <c r="X188" s="44">
        <v>1.0334607896331753</v>
      </c>
      <c r="Y188" s="46">
        <v>0.70845794954218955</v>
      </c>
      <c r="Z188" s="46">
        <v>16.359881718202693</v>
      </c>
      <c r="AA188" s="46">
        <v>82.93166033225512</v>
      </c>
      <c r="AB188" s="46">
        <v>2.787878787878789</v>
      </c>
      <c r="AC188" s="125">
        <v>1</v>
      </c>
      <c r="AD188" s="94">
        <f t="shared" si="142"/>
        <v>2.8527170787556077E-2</v>
      </c>
      <c r="AE188" s="94">
        <f t="shared" si="143"/>
        <v>2.9481712448108155E-2</v>
      </c>
      <c r="AF188" s="96">
        <f t="shared" si="116"/>
        <v>2.0886553549979148E-4</v>
      </c>
      <c r="AG188" s="95">
        <f t="shared" si="156"/>
        <v>4.8231732850111337E-3</v>
      </c>
      <c r="AH188" s="94">
        <f t="shared" si="144"/>
        <v>2.4449673627597233E-2</v>
      </c>
      <c r="AI188" s="94">
        <f t="shared" si="145"/>
        <v>8.2191440764422766E-2</v>
      </c>
      <c r="AJ188" s="96">
        <f t="shared" si="117"/>
        <v>7.8253942853254068E-4</v>
      </c>
      <c r="AK188" s="95">
        <f t="shared" si="118"/>
        <v>4.5289460913907585E-3</v>
      </c>
      <c r="AL188" s="95">
        <f t="shared" si="119"/>
        <v>7.2347599275167009E-3</v>
      </c>
      <c r="AM188" s="94">
        <f t="shared" si="120"/>
        <v>3.6674510441395851E-2</v>
      </c>
      <c r="AN188" s="93">
        <f t="shared" si="121"/>
        <v>0.57534008535095937</v>
      </c>
      <c r="AO188" s="96">
        <f t="shared" si="122"/>
        <v>1.173809142798811E-3</v>
      </c>
      <c r="AP188" s="95">
        <f t="shared" si="123"/>
        <v>6.7934191370861369E-3</v>
      </c>
      <c r="AQ188" s="93">
        <f t="shared" si="124"/>
        <v>0.17068339667744881</v>
      </c>
      <c r="AR188" s="31">
        <v>1.5</v>
      </c>
      <c r="AS188" s="31">
        <v>1.5</v>
      </c>
      <c r="AT188" s="31">
        <v>7</v>
      </c>
      <c r="AU188" s="43">
        <v>7.0999999999999994E-2</v>
      </c>
      <c r="AV188" s="44">
        <v>0.28000000000000003</v>
      </c>
      <c r="AW188" s="43">
        <v>1.7999999999999999E-2</v>
      </c>
      <c r="AX188" s="44">
        <v>0.13</v>
      </c>
      <c r="AY188" s="44">
        <v>5.8652742893442671</v>
      </c>
      <c r="AZ188" s="46">
        <v>0.5</v>
      </c>
      <c r="BA188" s="44">
        <v>0.72</v>
      </c>
      <c r="BB188" s="47">
        <v>1</v>
      </c>
      <c r="BC188" s="46">
        <v>10.143816871206573</v>
      </c>
      <c r="BD188" s="47">
        <v>46.469351153680115</v>
      </c>
      <c r="BE188" s="47">
        <v>43.386831975113303</v>
      </c>
      <c r="BF188" s="125">
        <v>1</v>
      </c>
      <c r="BG188" s="48">
        <f t="shared" si="146"/>
        <v>3.40123140509102E-3</v>
      </c>
      <c r="BH188" s="48">
        <f t="shared" si="147"/>
        <v>3.40123140509102E-3</v>
      </c>
      <c r="BI188" s="99">
        <f t="shared" si="148"/>
        <v>3.4501468509839928E-4</v>
      </c>
      <c r="BJ188" s="99">
        <f t="shared" si="149"/>
        <v>1.5805301651809942E-3</v>
      </c>
      <c r="BK188" s="48">
        <f t="shared" si="150"/>
        <v>1.475686554811626E-3</v>
      </c>
      <c r="BL188" s="99">
        <f t="shared" si="125"/>
        <v>2.3150706140829169E-4</v>
      </c>
      <c r="BM188" s="48">
        <f t="shared" si="126"/>
        <v>9.5895998033834274E-4</v>
      </c>
      <c r="BN188" s="48">
        <f t="shared" si="127"/>
        <v>2.3707952477714915E-3</v>
      </c>
      <c r="BO188" s="48">
        <f t="shared" si="128"/>
        <v>2.2135298322174392E-3</v>
      </c>
      <c r="BP188" s="99">
        <f t="shared" si="129"/>
        <v>3.4726059211243754E-4</v>
      </c>
      <c r="BQ188" s="48">
        <f t="shared" si="130"/>
        <v>1.4384399705075141E-3</v>
      </c>
      <c r="BR188" s="40">
        <f t="shared" si="131"/>
        <v>0.56613168024886684</v>
      </c>
      <c r="BS188" s="31">
        <v>1.5</v>
      </c>
      <c r="BT188" s="31">
        <v>1.5</v>
      </c>
      <c r="BU188" s="43">
        <v>0.125</v>
      </c>
      <c r="BV188" s="44">
        <v>0.42</v>
      </c>
      <c r="BW188" s="43">
        <v>2.3E-2</v>
      </c>
      <c r="BX188" s="44">
        <v>0.2</v>
      </c>
      <c r="BY188" s="44">
        <v>15.602524598139276</v>
      </c>
      <c r="BZ188" s="44">
        <v>0.52</v>
      </c>
      <c r="CA188" s="44">
        <v>0.65</v>
      </c>
      <c r="CB188" s="47">
        <v>1</v>
      </c>
      <c r="CC188" s="46">
        <v>2.8773184806992829</v>
      </c>
      <c r="CD188" s="46">
        <v>19.233711844556318</v>
      </c>
      <c r="CE188" s="46">
        <v>77.888969674744388</v>
      </c>
      <c r="CF188" s="125">
        <v>1</v>
      </c>
      <c r="CG188" s="40">
        <f t="shared" si="151"/>
        <v>2.0495343634972966E-2</v>
      </c>
      <c r="CH188" s="40">
        <f t="shared" si="152"/>
        <v>2.0495343634972966E-2</v>
      </c>
      <c r="CI188" s="99">
        <f t="shared" si="153"/>
        <v>5.8971631009190127E-4</v>
      </c>
      <c r="CJ188" s="100">
        <f t="shared" si="154"/>
        <v>3.9420153363023142E-3</v>
      </c>
      <c r="CK188" s="100">
        <f t="shared" si="155"/>
        <v>1.5963611988578749E-2</v>
      </c>
      <c r="CL188" s="101">
        <f t="shared" si="132"/>
        <v>7.2943738539038518E-4</v>
      </c>
      <c r="CM188" s="100">
        <f t="shared" si="133"/>
        <v>3.9319277794447145E-3</v>
      </c>
      <c r="CN188" s="100">
        <f t="shared" si="134"/>
        <v>5.9130230044534713E-3</v>
      </c>
      <c r="CO188" s="100">
        <f t="shared" si="135"/>
        <v>2.3945417982868124E-2</v>
      </c>
      <c r="CP188" s="101">
        <f t="shared" si="136"/>
        <v>1.0941560780855777E-3</v>
      </c>
      <c r="CQ188" s="100">
        <f t="shared" si="137"/>
        <v>5.8978916691670722E-3</v>
      </c>
      <c r="CR188" s="99">
        <f t="shared" si="138"/>
        <v>0.22111030325255598</v>
      </c>
      <c r="CS188" s="31">
        <v>1.5</v>
      </c>
      <c r="CT188" s="31">
        <v>1.5</v>
      </c>
      <c r="CU188" s="43">
        <v>0.1</v>
      </c>
      <c r="CV188" s="44">
        <v>0.39</v>
      </c>
      <c r="CW188" s="43">
        <v>2.1000000000000001E-2</v>
      </c>
      <c r="CX188" s="44">
        <v>0.15</v>
      </c>
    </row>
    <row r="189" spans="1:102" s="27" customFormat="1" x14ac:dyDescent="0.25">
      <c r="A189" s="31">
        <v>175</v>
      </c>
      <c r="B189" s="84" t="s">
        <v>91</v>
      </c>
      <c r="C189" s="19">
        <v>60</v>
      </c>
      <c r="D189" s="31" t="s">
        <v>26</v>
      </c>
      <c r="E189" s="31" t="s">
        <v>99</v>
      </c>
      <c r="F189" s="19" t="s">
        <v>12</v>
      </c>
      <c r="G189" s="31" t="str">
        <f t="shared" si="139"/>
        <v>Statlig 60 - 4L A</v>
      </c>
      <c r="H189" s="48">
        <f t="shared" si="105"/>
        <v>0.22235119333538872</v>
      </c>
      <c r="I189" s="40">
        <f t="shared" si="106"/>
        <v>0.30563192296149211</v>
      </c>
      <c r="J189" s="99">
        <f t="shared" si="107"/>
        <v>7.3411068560925137E-3</v>
      </c>
      <c r="K189" s="48">
        <f t="shared" si="108"/>
        <v>8.5237442714831316E-2</v>
      </c>
      <c r="L189" s="48">
        <f t="shared" si="109"/>
        <v>0.21305337339056823</v>
      </c>
      <c r="M189" s="48">
        <f t="shared" si="140"/>
        <v>0.36719723686008782</v>
      </c>
      <c r="N189" s="99">
        <f t="shared" si="110"/>
        <v>1.1208312534599443E-2</v>
      </c>
      <c r="O189" s="48">
        <f t="shared" si="111"/>
        <v>5.8013220191169605E-2</v>
      </c>
      <c r="P189" s="48">
        <f t="shared" si="112"/>
        <v>0.14490365261521324</v>
      </c>
      <c r="Q189" s="48">
        <f t="shared" si="113"/>
        <v>0.36219073476396596</v>
      </c>
      <c r="R189" s="40">
        <f t="shared" si="141"/>
        <v>2.5703806580206146</v>
      </c>
      <c r="S189" s="99">
        <f t="shared" si="114"/>
        <v>1.9054131308819052E-2</v>
      </c>
      <c r="T189" s="48">
        <f t="shared" si="115"/>
        <v>9.8622474324988316E-2</v>
      </c>
      <c r="U189" s="44">
        <v>17.971852799999997</v>
      </c>
      <c r="V189" s="19">
        <v>1.25</v>
      </c>
      <c r="W189" s="19">
        <v>0.55000000000000004</v>
      </c>
      <c r="X189" s="44">
        <v>1.4209876993392703</v>
      </c>
      <c r="Y189" s="46">
        <v>2.2651899581822112</v>
      </c>
      <c r="Z189" s="46">
        <v>28.318798250263111</v>
      </c>
      <c r="AA189" s="46">
        <v>69.416011791554666</v>
      </c>
      <c r="AB189" s="46">
        <v>1.3062730627306274</v>
      </c>
      <c r="AC189" s="125">
        <v>1</v>
      </c>
      <c r="AD189" s="94">
        <f t="shared" si="142"/>
        <v>0.1978222398345853</v>
      </c>
      <c r="AE189" s="94">
        <f t="shared" si="143"/>
        <v>0.28110296946068869</v>
      </c>
      <c r="AF189" s="96">
        <f t="shared" si="116"/>
        <v>6.3675162363755278E-3</v>
      </c>
      <c r="AG189" s="95">
        <f t="shared" si="156"/>
        <v>7.960498279707115E-2</v>
      </c>
      <c r="AH189" s="94">
        <f t="shared" si="144"/>
        <v>0.19513047042724196</v>
      </c>
      <c r="AI189" s="94">
        <f t="shared" si="145"/>
        <v>0.36719723686008782</v>
      </c>
      <c r="AJ189" s="96">
        <f t="shared" si="117"/>
        <v>1.0481666448999517E-2</v>
      </c>
      <c r="AK189" s="95">
        <f t="shared" si="118"/>
        <v>5.3228705134516358E-2</v>
      </c>
      <c r="AL189" s="95">
        <f t="shared" si="119"/>
        <v>0.13532847075502094</v>
      </c>
      <c r="AM189" s="94">
        <f t="shared" si="120"/>
        <v>0.33172179972631133</v>
      </c>
      <c r="AN189" s="93">
        <f t="shared" si="121"/>
        <v>2.5703806580206146</v>
      </c>
      <c r="AO189" s="96">
        <f t="shared" si="122"/>
        <v>1.7818832963299176E-2</v>
      </c>
      <c r="AP189" s="95">
        <f t="shared" si="123"/>
        <v>9.0488798728677794E-2</v>
      </c>
      <c r="AQ189" s="93">
        <f t="shared" si="124"/>
        <v>0.30583988208445323</v>
      </c>
      <c r="AR189" s="31">
        <v>1.7</v>
      </c>
      <c r="AS189" s="31">
        <v>1.7</v>
      </c>
      <c r="AT189" s="31">
        <v>7</v>
      </c>
      <c r="AU189" s="43">
        <v>0.09</v>
      </c>
      <c r="AV189" s="44">
        <v>0.35</v>
      </c>
      <c r="AW189" s="19">
        <v>1.7000000000000001E-2</v>
      </c>
      <c r="AX189" s="44">
        <v>0.13</v>
      </c>
      <c r="AY189" s="44">
        <v>5.8652742893442671</v>
      </c>
      <c r="AZ189" s="46">
        <v>0.5</v>
      </c>
      <c r="BA189" s="44">
        <v>0.72</v>
      </c>
      <c r="BB189" s="47">
        <v>1</v>
      </c>
      <c r="BC189" s="46">
        <v>10.143816871206573</v>
      </c>
      <c r="BD189" s="47">
        <v>46.469351153680115</v>
      </c>
      <c r="BE189" s="47">
        <v>43.386831975113303</v>
      </c>
      <c r="BF189" s="125">
        <v>1</v>
      </c>
      <c r="BG189" s="48">
        <f t="shared" si="146"/>
        <v>3.40123140509102E-3</v>
      </c>
      <c r="BH189" s="48">
        <f t="shared" si="147"/>
        <v>3.40123140509102E-3</v>
      </c>
      <c r="BI189" s="99">
        <f t="shared" si="148"/>
        <v>3.4501468509839928E-4</v>
      </c>
      <c r="BJ189" s="99">
        <f t="shared" si="149"/>
        <v>1.5805301651809942E-3</v>
      </c>
      <c r="BK189" s="48">
        <f t="shared" si="150"/>
        <v>1.475686554811626E-3</v>
      </c>
      <c r="BL189" s="99">
        <f t="shared" si="125"/>
        <v>2.1917735091795182E-4</v>
      </c>
      <c r="BM189" s="48">
        <f t="shared" si="126"/>
        <v>9.3259155755319131E-4</v>
      </c>
      <c r="BN189" s="48">
        <f t="shared" si="127"/>
        <v>2.6869012808076903E-3</v>
      </c>
      <c r="BO189" s="48">
        <f t="shared" si="128"/>
        <v>2.5086671431797641E-3</v>
      </c>
      <c r="BP189" s="99">
        <f t="shared" si="129"/>
        <v>3.7260149656051809E-4</v>
      </c>
      <c r="BQ189" s="48">
        <f t="shared" si="130"/>
        <v>1.5854056478404252E-3</v>
      </c>
      <c r="BR189" s="40">
        <f t="shared" si="131"/>
        <v>0.56613168024886684</v>
      </c>
      <c r="BS189" s="31">
        <v>1.7</v>
      </c>
      <c r="BT189" s="31">
        <v>1.7</v>
      </c>
      <c r="BU189" s="43">
        <v>0.12</v>
      </c>
      <c r="BV189" s="44">
        <v>0.45</v>
      </c>
      <c r="BW189" s="19">
        <v>0.02</v>
      </c>
      <c r="BX189" s="44">
        <v>0.15</v>
      </c>
      <c r="BY189" s="44">
        <v>16.083936408780207</v>
      </c>
      <c r="BZ189" s="44">
        <v>0.52</v>
      </c>
      <c r="CA189" s="44">
        <v>0.65</v>
      </c>
      <c r="CB189" s="47">
        <v>1</v>
      </c>
      <c r="CC189" s="46">
        <v>2.975124018439018</v>
      </c>
      <c r="CD189" s="46">
        <v>19.178261311007411</v>
      </c>
      <c r="CE189" s="46">
        <v>77.846614670553578</v>
      </c>
      <c r="CF189" s="125">
        <v>1</v>
      </c>
      <c r="CG189" s="40">
        <f t="shared" si="151"/>
        <v>2.1127722095712398E-2</v>
      </c>
      <c r="CH189" s="40">
        <f t="shared" si="152"/>
        <v>2.1127722095712398E-2</v>
      </c>
      <c r="CI189" s="99">
        <f t="shared" si="153"/>
        <v>6.2857593461858698E-4</v>
      </c>
      <c r="CJ189" s="100">
        <f t="shared" si="154"/>
        <v>4.0519297525791753E-3</v>
      </c>
      <c r="CK189" s="100">
        <f t="shared" si="155"/>
        <v>1.6447216408514639E-2</v>
      </c>
      <c r="CL189" s="101">
        <f t="shared" si="132"/>
        <v>5.074687346819745E-4</v>
      </c>
      <c r="CM189" s="100">
        <f t="shared" si="133"/>
        <v>3.8519234991000535E-3</v>
      </c>
      <c r="CN189" s="100">
        <f t="shared" si="134"/>
        <v>6.8882805793845977E-3</v>
      </c>
      <c r="CO189" s="100">
        <f t="shared" si="135"/>
        <v>2.7960267894474887E-2</v>
      </c>
      <c r="CP189" s="101">
        <f t="shared" si="136"/>
        <v>8.6269684895935663E-4</v>
      </c>
      <c r="CQ189" s="100">
        <f t="shared" si="137"/>
        <v>6.5482699484700913E-3</v>
      </c>
      <c r="CR189" s="99">
        <f t="shared" si="138"/>
        <v>0.22153385329446429</v>
      </c>
      <c r="CS189" s="31">
        <v>1.7</v>
      </c>
      <c r="CT189" s="31">
        <v>1.7</v>
      </c>
      <c r="CU189" s="43">
        <v>0.04</v>
      </c>
      <c r="CV189" s="44">
        <v>0.22</v>
      </c>
      <c r="CW189" s="19">
        <v>2.1000000000000001E-2</v>
      </c>
      <c r="CX189" s="44">
        <v>0.18</v>
      </c>
    </row>
    <row r="190" spans="1:102" s="27" customFormat="1" x14ac:dyDescent="0.25">
      <c r="A190" s="31">
        <v>176</v>
      </c>
      <c r="B190" s="84" t="s">
        <v>91</v>
      </c>
      <c r="C190" s="19">
        <v>60</v>
      </c>
      <c r="D190" s="31" t="s">
        <v>26</v>
      </c>
      <c r="E190" s="31" t="s">
        <v>99</v>
      </c>
      <c r="F190" s="19" t="s">
        <v>13</v>
      </c>
      <c r="G190" s="31" t="str">
        <f t="shared" si="139"/>
        <v>Statlig 60 - 4L B</v>
      </c>
      <c r="H190" s="48">
        <f t="shared" si="105"/>
        <v>0.21246008134365946</v>
      </c>
      <c r="I190" s="40">
        <f t="shared" si="106"/>
        <v>0.29157677448845765</v>
      </c>
      <c r="J190" s="99">
        <f t="shared" si="107"/>
        <v>7.0227310442737374E-3</v>
      </c>
      <c r="K190" s="48">
        <f t="shared" si="108"/>
        <v>8.1257193574977779E-2</v>
      </c>
      <c r="L190" s="48">
        <f t="shared" si="109"/>
        <v>0.20329684986920615</v>
      </c>
      <c r="M190" s="48">
        <f t="shared" si="140"/>
        <v>0.34883737501708334</v>
      </c>
      <c r="N190" s="99">
        <f t="shared" si="110"/>
        <v>1.068422921214947E-2</v>
      </c>
      <c r="O190" s="48">
        <f t="shared" si="111"/>
        <v>5.5351784934443794E-2</v>
      </c>
      <c r="P190" s="48">
        <f t="shared" si="112"/>
        <v>0.13813722907746223</v>
      </c>
      <c r="Q190" s="48">
        <f t="shared" si="113"/>
        <v>0.3456046447776504</v>
      </c>
      <c r="R190" s="40">
        <f t="shared" si="141"/>
        <v>2.4418616251195835</v>
      </c>
      <c r="S190" s="99">
        <f t="shared" si="114"/>
        <v>1.8163189660654097E-2</v>
      </c>
      <c r="T190" s="48">
        <f t="shared" si="115"/>
        <v>9.409803438855445E-2</v>
      </c>
      <c r="U190" s="44">
        <v>17.07326016</v>
      </c>
      <c r="V190" s="19">
        <v>1.25</v>
      </c>
      <c r="W190" s="19">
        <v>0.55000000000000004</v>
      </c>
      <c r="X190" s="44">
        <v>1.42098769933927</v>
      </c>
      <c r="Y190" s="46">
        <v>2.2651899581822112</v>
      </c>
      <c r="Z190" s="46">
        <v>28.318798250263118</v>
      </c>
      <c r="AA190" s="46">
        <v>69.416011791554681</v>
      </c>
      <c r="AB190" s="46">
        <v>1.3062730627306272</v>
      </c>
      <c r="AC190" s="125">
        <v>1</v>
      </c>
      <c r="AD190" s="94">
        <f t="shared" si="142"/>
        <v>0.18793112784285604</v>
      </c>
      <c r="AE190" s="94">
        <f t="shared" si="143"/>
        <v>0.26704782098765423</v>
      </c>
      <c r="AF190" s="96">
        <f t="shared" si="116"/>
        <v>6.0491404245567515E-3</v>
      </c>
      <c r="AG190" s="95">
        <f t="shared" si="156"/>
        <v>7.5624733657217613E-2</v>
      </c>
      <c r="AH190" s="94">
        <f t="shared" si="144"/>
        <v>0.18537394690587988</v>
      </c>
      <c r="AI190" s="94">
        <f t="shared" si="145"/>
        <v>0.34883737501708334</v>
      </c>
      <c r="AJ190" s="96">
        <f t="shared" si="117"/>
        <v>9.9575831265495442E-3</v>
      </c>
      <c r="AK190" s="95">
        <f t="shared" si="118"/>
        <v>5.0567269877790547E-2</v>
      </c>
      <c r="AL190" s="95">
        <f t="shared" si="119"/>
        <v>0.12856204721726994</v>
      </c>
      <c r="AM190" s="94">
        <f t="shared" si="120"/>
        <v>0.31513570973999577</v>
      </c>
      <c r="AN190" s="93">
        <f t="shared" si="121"/>
        <v>2.4418616251195835</v>
      </c>
      <c r="AO190" s="96">
        <f t="shared" si="122"/>
        <v>1.6927891315134221E-2</v>
      </c>
      <c r="AP190" s="95">
        <f t="shared" si="123"/>
        <v>8.5964358792243928E-2</v>
      </c>
      <c r="AQ190" s="93">
        <f t="shared" si="124"/>
        <v>0.30583988208445329</v>
      </c>
      <c r="AR190" s="31">
        <v>1.7</v>
      </c>
      <c r="AS190" s="31">
        <v>1.7</v>
      </c>
      <c r="AT190" s="31">
        <v>7</v>
      </c>
      <c r="AU190" s="43">
        <v>0.09</v>
      </c>
      <c r="AV190" s="44">
        <v>0.35</v>
      </c>
      <c r="AW190" s="19">
        <v>1.7000000000000001E-2</v>
      </c>
      <c r="AX190" s="44">
        <v>0.13</v>
      </c>
      <c r="AY190" s="44">
        <v>5.8652742893442671</v>
      </c>
      <c r="AZ190" s="46">
        <v>0.5</v>
      </c>
      <c r="BA190" s="44">
        <v>0.72</v>
      </c>
      <c r="BB190" s="47">
        <v>1</v>
      </c>
      <c r="BC190" s="46">
        <v>10.143816871206573</v>
      </c>
      <c r="BD190" s="47">
        <v>46.469351153680115</v>
      </c>
      <c r="BE190" s="47">
        <v>43.386831975113303</v>
      </c>
      <c r="BF190" s="125">
        <v>1</v>
      </c>
      <c r="BG190" s="48">
        <f t="shared" si="146"/>
        <v>3.40123140509102E-3</v>
      </c>
      <c r="BH190" s="48">
        <f t="shared" si="147"/>
        <v>3.40123140509102E-3</v>
      </c>
      <c r="BI190" s="99">
        <f t="shared" si="148"/>
        <v>3.4501468509839928E-4</v>
      </c>
      <c r="BJ190" s="99">
        <f t="shared" si="149"/>
        <v>1.5805301651809942E-3</v>
      </c>
      <c r="BK190" s="48">
        <f t="shared" si="150"/>
        <v>1.475686554811626E-3</v>
      </c>
      <c r="BL190" s="99">
        <f t="shared" si="125"/>
        <v>2.1917735091795182E-4</v>
      </c>
      <c r="BM190" s="48">
        <f t="shared" si="126"/>
        <v>9.3259155755319131E-4</v>
      </c>
      <c r="BN190" s="48">
        <f t="shared" si="127"/>
        <v>2.6869012808076903E-3</v>
      </c>
      <c r="BO190" s="48">
        <f t="shared" si="128"/>
        <v>2.5086671431797641E-3</v>
      </c>
      <c r="BP190" s="99">
        <f t="shared" si="129"/>
        <v>3.7260149656051809E-4</v>
      </c>
      <c r="BQ190" s="48">
        <f t="shared" si="130"/>
        <v>1.5854056478404252E-3</v>
      </c>
      <c r="BR190" s="40">
        <f t="shared" si="131"/>
        <v>0.56613168024886684</v>
      </c>
      <c r="BS190" s="31">
        <v>1.7</v>
      </c>
      <c r="BT190" s="31">
        <v>1.7</v>
      </c>
      <c r="BU190" s="43">
        <v>0.12</v>
      </c>
      <c r="BV190" s="44">
        <v>0.45</v>
      </c>
      <c r="BW190" s="19">
        <v>0.02</v>
      </c>
      <c r="BX190" s="44">
        <v>0.15</v>
      </c>
      <c r="BY190" s="44">
        <v>16.083936408780207</v>
      </c>
      <c r="BZ190" s="44">
        <v>0.52</v>
      </c>
      <c r="CA190" s="44">
        <v>0.65</v>
      </c>
      <c r="CB190" s="47">
        <v>1</v>
      </c>
      <c r="CC190" s="46">
        <v>2.975124018439018</v>
      </c>
      <c r="CD190" s="46">
        <v>19.178261311007411</v>
      </c>
      <c r="CE190" s="46">
        <v>77.846614670553578</v>
      </c>
      <c r="CF190" s="125">
        <v>1</v>
      </c>
      <c r="CG190" s="40">
        <f t="shared" si="151"/>
        <v>2.1127722095712398E-2</v>
      </c>
      <c r="CH190" s="40">
        <f t="shared" si="152"/>
        <v>2.1127722095712398E-2</v>
      </c>
      <c r="CI190" s="99">
        <f t="shared" si="153"/>
        <v>6.2857593461858698E-4</v>
      </c>
      <c r="CJ190" s="100">
        <f t="shared" si="154"/>
        <v>4.0519297525791753E-3</v>
      </c>
      <c r="CK190" s="100">
        <f t="shared" si="155"/>
        <v>1.6447216408514639E-2</v>
      </c>
      <c r="CL190" s="101">
        <f t="shared" si="132"/>
        <v>5.074687346819745E-4</v>
      </c>
      <c r="CM190" s="100">
        <f t="shared" si="133"/>
        <v>3.8519234991000535E-3</v>
      </c>
      <c r="CN190" s="100">
        <f t="shared" si="134"/>
        <v>6.8882805793845977E-3</v>
      </c>
      <c r="CO190" s="100">
        <f t="shared" si="135"/>
        <v>2.7960267894474887E-2</v>
      </c>
      <c r="CP190" s="101">
        <f t="shared" si="136"/>
        <v>8.6269684895935663E-4</v>
      </c>
      <c r="CQ190" s="100">
        <f t="shared" si="137"/>
        <v>6.5482699484700913E-3</v>
      </c>
      <c r="CR190" s="99">
        <f t="shared" si="138"/>
        <v>0.22153385329446429</v>
      </c>
      <c r="CS190" s="31">
        <v>1.7</v>
      </c>
      <c r="CT190" s="31">
        <v>1.7</v>
      </c>
      <c r="CU190" s="43">
        <v>0.04</v>
      </c>
      <c r="CV190" s="44">
        <v>0.22</v>
      </c>
      <c r="CW190" s="19">
        <v>2.1000000000000001E-2</v>
      </c>
      <c r="CX190" s="44">
        <v>0.18</v>
      </c>
    </row>
    <row r="191" spans="1:102" s="27" customFormat="1" x14ac:dyDescent="0.25">
      <c r="A191" s="31">
        <v>177</v>
      </c>
      <c r="B191" s="84" t="s">
        <v>91</v>
      </c>
      <c r="C191" s="19">
        <v>60</v>
      </c>
      <c r="D191" s="31" t="s">
        <v>26</v>
      </c>
      <c r="E191" s="31" t="s">
        <v>99</v>
      </c>
      <c r="F191" s="19" t="s">
        <v>70</v>
      </c>
      <c r="G191" s="31" t="str">
        <f t="shared" si="139"/>
        <v>Statlig 60 - 4L Ck</v>
      </c>
      <c r="H191" s="48">
        <f t="shared" si="105"/>
        <v>0.20256896935193022</v>
      </c>
      <c r="I191" s="40">
        <f t="shared" si="106"/>
        <v>0.2775216260154233</v>
      </c>
      <c r="J191" s="99">
        <f t="shared" si="107"/>
        <v>6.7043552324549619E-3</v>
      </c>
      <c r="K191" s="48">
        <f t="shared" si="108"/>
        <v>7.7276944435124242E-2</v>
      </c>
      <c r="L191" s="48">
        <f t="shared" si="109"/>
        <v>0.19354032634784413</v>
      </c>
      <c r="M191" s="48">
        <f t="shared" si="140"/>
        <v>0.33047751317407914</v>
      </c>
      <c r="N191" s="99">
        <f t="shared" si="110"/>
        <v>1.0160145889699495E-2</v>
      </c>
      <c r="O191" s="48">
        <f t="shared" si="111"/>
        <v>5.2690349677717997E-2</v>
      </c>
      <c r="P191" s="48">
        <f t="shared" si="112"/>
        <v>0.13137080553971123</v>
      </c>
      <c r="Q191" s="48">
        <f t="shared" si="113"/>
        <v>0.32901855479133496</v>
      </c>
      <c r="R191" s="40">
        <f t="shared" si="141"/>
        <v>2.3133425922185538</v>
      </c>
      <c r="S191" s="99">
        <f t="shared" si="114"/>
        <v>1.7272248012489146E-2</v>
      </c>
      <c r="T191" s="48">
        <f t="shared" si="115"/>
        <v>8.9573594452120583E-2</v>
      </c>
      <c r="U191" s="44">
        <v>16.17466752</v>
      </c>
      <c r="V191" s="19">
        <v>1.25</v>
      </c>
      <c r="W191" s="19">
        <v>0.55000000000000004</v>
      </c>
      <c r="X191" s="44">
        <v>1.4209876993392703</v>
      </c>
      <c r="Y191" s="46">
        <v>2.2651899581822112</v>
      </c>
      <c r="Z191" s="46">
        <v>28.318798250263118</v>
      </c>
      <c r="AA191" s="46">
        <v>69.416011791554681</v>
      </c>
      <c r="AB191" s="46">
        <v>1.3062730627306274</v>
      </c>
      <c r="AC191" s="125">
        <v>1</v>
      </c>
      <c r="AD191" s="94">
        <f t="shared" si="142"/>
        <v>0.1780400158511268</v>
      </c>
      <c r="AE191" s="94">
        <f t="shared" si="143"/>
        <v>0.25299267251461988</v>
      </c>
      <c r="AF191" s="96">
        <f t="shared" si="116"/>
        <v>5.730764612737976E-3</v>
      </c>
      <c r="AG191" s="95">
        <f t="shared" si="156"/>
        <v>7.1644484517364077E-2</v>
      </c>
      <c r="AH191" s="94">
        <f t="shared" si="144"/>
        <v>0.17561742338451786</v>
      </c>
      <c r="AI191" s="94">
        <f t="shared" si="145"/>
        <v>0.33047751317407914</v>
      </c>
      <c r="AJ191" s="96">
        <f t="shared" si="117"/>
        <v>9.4334998040995696E-3</v>
      </c>
      <c r="AK191" s="95">
        <f t="shared" si="118"/>
        <v>4.790583462106475E-2</v>
      </c>
      <c r="AL191" s="95">
        <f t="shared" si="119"/>
        <v>0.12179562367951893</v>
      </c>
      <c r="AM191" s="94">
        <f t="shared" si="120"/>
        <v>0.29854961975368033</v>
      </c>
      <c r="AN191" s="93">
        <f t="shared" si="121"/>
        <v>2.3133425922185538</v>
      </c>
      <c r="AO191" s="96">
        <f t="shared" si="122"/>
        <v>1.603694966696927E-2</v>
      </c>
      <c r="AP191" s="95">
        <f t="shared" si="123"/>
        <v>8.1439918855810062E-2</v>
      </c>
      <c r="AQ191" s="93">
        <f t="shared" si="124"/>
        <v>0.30583988208445329</v>
      </c>
      <c r="AR191" s="31">
        <v>1.7</v>
      </c>
      <c r="AS191" s="31">
        <v>1.7</v>
      </c>
      <c r="AT191" s="31">
        <v>7</v>
      </c>
      <c r="AU191" s="43">
        <v>0.09</v>
      </c>
      <c r="AV191" s="44">
        <v>0.35</v>
      </c>
      <c r="AW191" s="19">
        <v>1.7000000000000001E-2</v>
      </c>
      <c r="AX191" s="44">
        <v>0.13</v>
      </c>
      <c r="AY191" s="44">
        <v>5.8652742893442671</v>
      </c>
      <c r="AZ191" s="46">
        <v>0.5</v>
      </c>
      <c r="BA191" s="44">
        <v>0.72</v>
      </c>
      <c r="BB191" s="47">
        <v>1</v>
      </c>
      <c r="BC191" s="46">
        <v>10.143816871206573</v>
      </c>
      <c r="BD191" s="47">
        <v>46.469351153680115</v>
      </c>
      <c r="BE191" s="47">
        <v>43.386831975113303</v>
      </c>
      <c r="BF191" s="125">
        <v>1</v>
      </c>
      <c r="BG191" s="48">
        <f t="shared" si="146"/>
        <v>3.40123140509102E-3</v>
      </c>
      <c r="BH191" s="48">
        <f t="shared" si="147"/>
        <v>3.40123140509102E-3</v>
      </c>
      <c r="BI191" s="99">
        <f t="shared" si="148"/>
        <v>3.4501468509839928E-4</v>
      </c>
      <c r="BJ191" s="99">
        <f t="shared" si="149"/>
        <v>1.5805301651809942E-3</v>
      </c>
      <c r="BK191" s="48">
        <f t="shared" si="150"/>
        <v>1.475686554811626E-3</v>
      </c>
      <c r="BL191" s="99">
        <f t="shared" si="125"/>
        <v>2.1917735091795182E-4</v>
      </c>
      <c r="BM191" s="48">
        <f t="shared" si="126"/>
        <v>9.3259155755319131E-4</v>
      </c>
      <c r="BN191" s="48">
        <f t="shared" si="127"/>
        <v>2.6869012808076903E-3</v>
      </c>
      <c r="BO191" s="48">
        <f t="shared" si="128"/>
        <v>2.5086671431797641E-3</v>
      </c>
      <c r="BP191" s="99">
        <f t="shared" si="129"/>
        <v>3.7260149656051809E-4</v>
      </c>
      <c r="BQ191" s="48">
        <f t="shared" si="130"/>
        <v>1.5854056478404252E-3</v>
      </c>
      <c r="BR191" s="40">
        <f t="shared" si="131"/>
        <v>0.56613168024886684</v>
      </c>
      <c r="BS191" s="31">
        <v>1.7</v>
      </c>
      <c r="BT191" s="31">
        <v>1.7</v>
      </c>
      <c r="BU191" s="43">
        <v>0.12</v>
      </c>
      <c r="BV191" s="44">
        <v>0.45</v>
      </c>
      <c r="BW191" s="19">
        <v>0.02</v>
      </c>
      <c r="BX191" s="44">
        <v>0.15</v>
      </c>
      <c r="BY191" s="44">
        <v>16.083936408780207</v>
      </c>
      <c r="BZ191" s="44">
        <v>0.52</v>
      </c>
      <c r="CA191" s="44">
        <v>0.65</v>
      </c>
      <c r="CB191" s="47">
        <v>1</v>
      </c>
      <c r="CC191" s="46">
        <v>2.975124018439018</v>
      </c>
      <c r="CD191" s="46">
        <v>19.178261311007411</v>
      </c>
      <c r="CE191" s="46">
        <v>77.846614670553578</v>
      </c>
      <c r="CF191" s="125">
        <v>1</v>
      </c>
      <c r="CG191" s="40">
        <f t="shared" si="151"/>
        <v>2.1127722095712398E-2</v>
      </c>
      <c r="CH191" s="40">
        <f t="shared" si="152"/>
        <v>2.1127722095712398E-2</v>
      </c>
      <c r="CI191" s="99">
        <f t="shared" si="153"/>
        <v>6.2857593461858698E-4</v>
      </c>
      <c r="CJ191" s="100">
        <f t="shared" si="154"/>
        <v>4.0519297525791753E-3</v>
      </c>
      <c r="CK191" s="100">
        <f t="shared" si="155"/>
        <v>1.6447216408514639E-2</v>
      </c>
      <c r="CL191" s="101">
        <f t="shared" si="132"/>
        <v>5.074687346819745E-4</v>
      </c>
      <c r="CM191" s="100">
        <f t="shared" si="133"/>
        <v>3.8519234991000535E-3</v>
      </c>
      <c r="CN191" s="100">
        <f t="shared" si="134"/>
        <v>6.8882805793845977E-3</v>
      </c>
      <c r="CO191" s="100">
        <f t="shared" si="135"/>
        <v>2.7960267894474887E-2</v>
      </c>
      <c r="CP191" s="101">
        <f t="shared" si="136"/>
        <v>8.6269684895935663E-4</v>
      </c>
      <c r="CQ191" s="100">
        <f t="shared" si="137"/>
        <v>6.5482699484700913E-3</v>
      </c>
      <c r="CR191" s="99">
        <f t="shared" si="138"/>
        <v>0.22153385329446429</v>
      </c>
      <c r="CS191" s="31">
        <v>1.7</v>
      </c>
      <c r="CT191" s="31">
        <v>1.7</v>
      </c>
      <c r="CU191" s="43">
        <v>0.04</v>
      </c>
      <c r="CV191" s="44">
        <v>0.22</v>
      </c>
      <c r="CW191" s="19">
        <v>2.1000000000000001E-2</v>
      </c>
      <c r="CX191" s="44">
        <v>0.18</v>
      </c>
    </row>
    <row r="192" spans="1:102" s="27" customFormat="1" x14ac:dyDescent="0.25">
      <c r="A192" s="31">
        <v>178</v>
      </c>
      <c r="B192" s="84" t="s">
        <v>91</v>
      </c>
      <c r="C192" s="19">
        <v>60</v>
      </c>
      <c r="D192" s="31" t="s">
        <v>26</v>
      </c>
      <c r="E192" s="31" t="s">
        <v>99</v>
      </c>
      <c r="F192" s="31" t="s">
        <v>71</v>
      </c>
      <c r="G192" s="31" t="str">
        <f t="shared" si="139"/>
        <v>Statlig 60 - 4L Cm</v>
      </c>
      <c r="H192" s="48">
        <f t="shared" si="105"/>
        <v>0.20256896935193022</v>
      </c>
      <c r="I192" s="40">
        <f t="shared" si="106"/>
        <v>0.2775216260154233</v>
      </c>
      <c r="J192" s="99">
        <f t="shared" si="107"/>
        <v>6.7043552324549619E-3</v>
      </c>
      <c r="K192" s="48">
        <f t="shared" si="108"/>
        <v>7.7276944435124242E-2</v>
      </c>
      <c r="L192" s="48">
        <f t="shared" si="109"/>
        <v>0.19354032634784413</v>
      </c>
      <c r="M192" s="48">
        <f t="shared" si="140"/>
        <v>0.33047751317407914</v>
      </c>
      <c r="N192" s="99">
        <f t="shared" si="110"/>
        <v>1.0160145889699495E-2</v>
      </c>
      <c r="O192" s="48">
        <f t="shared" si="111"/>
        <v>5.2690349677717997E-2</v>
      </c>
      <c r="P192" s="48">
        <f t="shared" si="112"/>
        <v>0.13137080553971123</v>
      </c>
      <c r="Q192" s="48">
        <f t="shared" si="113"/>
        <v>0.32901855479133496</v>
      </c>
      <c r="R192" s="40">
        <f t="shared" si="141"/>
        <v>2.3133425922185538</v>
      </c>
      <c r="S192" s="99">
        <f t="shared" si="114"/>
        <v>1.7272248012489146E-2</v>
      </c>
      <c r="T192" s="48">
        <f t="shared" si="115"/>
        <v>8.9573594452120583E-2</v>
      </c>
      <c r="U192" s="44">
        <v>16.17466752</v>
      </c>
      <c r="V192" s="19">
        <v>1.25</v>
      </c>
      <c r="W192" s="19">
        <v>0.55000000000000004</v>
      </c>
      <c r="X192" s="44">
        <v>1.4209876993392703</v>
      </c>
      <c r="Y192" s="46">
        <v>2.2651899581822112</v>
      </c>
      <c r="Z192" s="46">
        <v>28.318798250263118</v>
      </c>
      <c r="AA192" s="46">
        <v>69.416011791554681</v>
      </c>
      <c r="AB192" s="46">
        <v>1.3062730627306274</v>
      </c>
      <c r="AC192" s="125">
        <v>1</v>
      </c>
      <c r="AD192" s="94">
        <f t="shared" si="142"/>
        <v>0.1780400158511268</v>
      </c>
      <c r="AE192" s="94">
        <f t="shared" si="143"/>
        <v>0.25299267251461988</v>
      </c>
      <c r="AF192" s="96">
        <f t="shared" si="116"/>
        <v>5.730764612737976E-3</v>
      </c>
      <c r="AG192" s="95">
        <f t="shared" si="156"/>
        <v>7.1644484517364077E-2</v>
      </c>
      <c r="AH192" s="94">
        <f t="shared" si="144"/>
        <v>0.17561742338451786</v>
      </c>
      <c r="AI192" s="94">
        <f t="shared" si="145"/>
        <v>0.33047751317407914</v>
      </c>
      <c r="AJ192" s="96">
        <f t="shared" si="117"/>
        <v>9.4334998040995696E-3</v>
      </c>
      <c r="AK192" s="95">
        <f t="shared" si="118"/>
        <v>4.790583462106475E-2</v>
      </c>
      <c r="AL192" s="95">
        <f t="shared" si="119"/>
        <v>0.12179562367951893</v>
      </c>
      <c r="AM192" s="94">
        <f t="shared" si="120"/>
        <v>0.29854961975368033</v>
      </c>
      <c r="AN192" s="93">
        <f t="shared" si="121"/>
        <v>2.3133425922185538</v>
      </c>
      <c r="AO192" s="96">
        <f t="shared" si="122"/>
        <v>1.603694966696927E-2</v>
      </c>
      <c r="AP192" s="95">
        <f t="shared" si="123"/>
        <v>8.1439918855810062E-2</v>
      </c>
      <c r="AQ192" s="93">
        <f t="shared" si="124"/>
        <v>0.30583988208445329</v>
      </c>
      <c r="AR192" s="31">
        <v>1.7</v>
      </c>
      <c r="AS192" s="31">
        <v>1.7</v>
      </c>
      <c r="AT192" s="31">
        <v>7</v>
      </c>
      <c r="AU192" s="43">
        <v>0.09</v>
      </c>
      <c r="AV192" s="44">
        <v>0.35</v>
      </c>
      <c r="AW192" s="19">
        <v>1.7000000000000001E-2</v>
      </c>
      <c r="AX192" s="44">
        <v>0.13</v>
      </c>
      <c r="AY192" s="44">
        <v>5.8652742893442671</v>
      </c>
      <c r="AZ192" s="46">
        <v>0.5</v>
      </c>
      <c r="BA192" s="44">
        <v>0.72</v>
      </c>
      <c r="BB192" s="47">
        <v>1</v>
      </c>
      <c r="BC192" s="46">
        <v>10.143816871206573</v>
      </c>
      <c r="BD192" s="47">
        <v>46.469351153680115</v>
      </c>
      <c r="BE192" s="47">
        <v>43.386831975113303</v>
      </c>
      <c r="BF192" s="125">
        <v>1</v>
      </c>
      <c r="BG192" s="48">
        <f t="shared" si="146"/>
        <v>3.40123140509102E-3</v>
      </c>
      <c r="BH192" s="48">
        <f t="shared" si="147"/>
        <v>3.40123140509102E-3</v>
      </c>
      <c r="BI192" s="99">
        <f t="shared" si="148"/>
        <v>3.4501468509839928E-4</v>
      </c>
      <c r="BJ192" s="99">
        <f t="shared" si="149"/>
        <v>1.5805301651809942E-3</v>
      </c>
      <c r="BK192" s="48">
        <f t="shared" si="150"/>
        <v>1.475686554811626E-3</v>
      </c>
      <c r="BL192" s="99">
        <f t="shared" si="125"/>
        <v>2.1917735091795182E-4</v>
      </c>
      <c r="BM192" s="48">
        <f t="shared" si="126"/>
        <v>9.3259155755319131E-4</v>
      </c>
      <c r="BN192" s="48">
        <f t="shared" si="127"/>
        <v>2.6869012808076903E-3</v>
      </c>
      <c r="BO192" s="48">
        <f t="shared" si="128"/>
        <v>2.5086671431797641E-3</v>
      </c>
      <c r="BP192" s="99">
        <f t="shared" si="129"/>
        <v>3.7260149656051809E-4</v>
      </c>
      <c r="BQ192" s="48">
        <f t="shared" si="130"/>
        <v>1.5854056478404252E-3</v>
      </c>
      <c r="BR192" s="40">
        <f t="shared" si="131"/>
        <v>0.56613168024886684</v>
      </c>
      <c r="BS192" s="31">
        <v>1.7</v>
      </c>
      <c r="BT192" s="31">
        <v>1.7</v>
      </c>
      <c r="BU192" s="43">
        <v>0.12</v>
      </c>
      <c r="BV192" s="44">
        <v>0.45</v>
      </c>
      <c r="BW192" s="19">
        <v>0.02</v>
      </c>
      <c r="BX192" s="44">
        <v>0.15</v>
      </c>
      <c r="BY192" s="44">
        <v>16.083936408780207</v>
      </c>
      <c r="BZ192" s="44">
        <v>0.52</v>
      </c>
      <c r="CA192" s="44">
        <v>0.65</v>
      </c>
      <c r="CB192" s="47">
        <v>1</v>
      </c>
      <c r="CC192" s="46">
        <v>2.975124018439018</v>
      </c>
      <c r="CD192" s="46">
        <v>19.178261311007411</v>
      </c>
      <c r="CE192" s="46">
        <v>77.846614670553578</v>
      </c>
      <c r="CF192" s="125">
        <v>1</v>
      </c>
      <c r="CG192" s="40">
        <f t="shared" si="151"/>
        <v>2.1127722095712398E-2</v>
      </c>
      <c r="CH192" s="40">
        <f t="shared" si="152"/>
        <v>2.1127722095712398E-2</v>
      </c>
      <c r="CI192" s="99">
        <f t="shared" si="153"/>
        <v>6.2857593461858698E-4</v>
      </c>
      <c r="CJ192" s="100">
        <f t="shared" si="154"/>
        <v>4.0519297525791753E-3</v>
      </c>
      <c r="CK192" s="100">
        <f t="shared" si="155"/>
        <v>1.6447216408514639E-2</v>
      </c>
      <c r="CL192" s="101">
        <f t="shared" si="132"/>
        <v>5.074687346819745E-4</v>
      </c>
      <c r="CM192" s="100">
        <f t="shared" si="133"/>
        <v>3.8519234991000535E-3</v>
      </c>
      <c r="CN192" s="100">
        <f t="shared" si="134"/>
        <v>6.8882805793845977E-3</v>
      </c>
      <c r="CO192" s="100">
        <f t="shared" si="135"/>
        <v>2.7960267894474887E-2</v>
      </c>
      <c r="CP192" s="101">
        <f t="shared" si="136"/>
        <v>8.6269684895935663E-4</v>
      </c>
      <c r="CQ192" s="100">
        <f t="shared" si="137"/>
        <v>6.5482699484700913E-3</v>
      </c>
      <c r="CR192" s="99">
        <f t="shared" si="138"/>
        <v>0.22153385329446429</v>
      </c>
      <c r="CS192" s="31">
        <v>1.7</v>
      </c>
      <c r="CT192" s="31">
        <v>1.7</v>
      </c>
      <c r="CU192" s="43">
        <v>0.04</v>
      </c>
      <c r="CV192" s="44">
        <v>0.22</v>
      </c>
      <c r="CW192" s="19">
        <v>2.1000000000000001E-2</v>
      </c>
      <c r="CX192" s="44">
        <v>0.18</v>
      </c>
    </row>
    <row r="193" spans="1:102" s="27" customFormat="1" x14ac:dyDescent="0.25">
      <c r="A193" s="31">
        <v>179</v>
      </c>
      <c r="B193" s="84" t="s">
        <v>91</v>
      </c>
      <c r="C193" s="19">
        <v>60</v>
      </c>
      <c r="D193" s="31" t="s">
        <v>26</v>
      </c>
      <c r="E193" s="31" t="s">
        <v>99</v>
      </c>
      <c r="F193" s="19" t="s">
        <v>0</v>
      </c>
      <c r="G193" s="31" t="str">
        <f t="shared" si="139"/>
        <v>Statlig 60 - 4L D</v>
      </c>
      <c r="H193" s="48">
        <f t="shared" si="105"/>
        <v>7.1604511331317525E-2</v>
      </c>
      <c r="I193" s="40">
        <f t="shared" si="106"/>
        <v>0.10865231334306766</v>
      </c>
      <c r="J193" s="99">
        <f t="shared" si="107"/>
        <v>9.7359061971698626E-4</v>
      </c>
      <c r="K193" s="48">
        <f t="shared" si="108"/>
        <v>2.0069167223515341E-2</v>
      </c>
      <c r="L193" s="48">
        <f t="shared" si="109"/>
        <v>8.7609555499835332E-2</v>
      </c>
      <c r="M193" s="48">
        <f t="shared" si="140"/>
        <v>0.32986955276730379</v>
      </c>
      <c r="N193" s="99">
        <f t="shared" si="110"/>
        <v>3.2106228362385461E-3</v>
      </c>
      <c r="O193" s="48">
        <f t="shared" si="111"/>
        <v>1.8896627443413732E-2</v>
      </c>
      <c r="P193" s="48">
        <f t="shared" si="112"/>
        <v>3.4117584279976076E-2</v>
      </c>
      <c r="Q193" s="48">
        <f t="shared" si="113"/>
        <v>0.14893624434972005</v>
      </c>
      <c r="R193" s="40">
        <f t="shared" si="141"/>
        <v>2.3090868693711264</v>
      </c>
      <c r="S193" s="99">
        <f t="shared" si="114"/>
        <v>5.4580588216055267E-3</v>
      </c>
      <c r="T193" s="48">
        <f t="shared" si="115"/>
        <v>3.2124266653803343E-2</v>
      </c>
      <c r="U193" s="44">
        <v>1.9450933920000009</v>
      </c>
      <c r="V193" s="44">
        <v>1.2</v>
      </c>
      <c r="W193" s="19">
        <v>0</v>
      </c>
      <c r="X193" s="44">
        <v>1.786985937482316</v>
      </c>
      <c r="Y193" s="46">
        <v>0</v>
      </c>
      <c r="Z193" s="46">
        <v>17.161353674918313</v>
      </c>
      <c r="AA193" s="46">
        <v>82.838646325081683</v>
      </c>
      <c r="AB193" s="46">
        <v>3.9212598425196843</v>
      </c>
      <c r="AC193" s="125">
        <v>1</v>
      </c>
      <c r="AD193" s="94">
        <f t="shared" si="142"/>
        <v>4.7075557830514106E-2</v>
      </c>
      <c r="AE193" s="94">
        <f t="shared" si="143"/>
        <v>8.4123359842264239E-2</v>
      </c>
      <c r="AF193" s="96">
        <f t="shared" si="116"/>
        <v>0</v>
      </c>
      <c r="AG193" s="95">
        <f t="shared" si="156"/>
        <v>1.4436707305755169E-2</v>
      </c>
      <c r="AH193" s="94">
        <f t="shared" si="144"/>
        <v>6.9686652536509061E-2</v>
      </c>
      <c r="AI193" s="94">
        <f t="shared" si="145"/>
        <v>0.32986955276730379</v>
      </c>
      <c r="AJ193" s="96">
        <f t="shared" si="117"/>
        <v>2.4839767506386196E-3</v>
      </c>
      <c r="AK193" s="95">
        <f t="shared" si="118"/>
        <v>1.4112112386760488E-2</v>
      </c>
      <c r="AL193" s="95">
        <f t="shared" si="119"/>
        <v>2.4542402419783789E-2</v>
      </c>
      <c r="AM193" s="94">
        <f t="shared" si="120"/>
        <v>0.11846730931206539</v>
      </c>
      <c r="AN193" s="93">
        <f t="shared" si="121"/>
        <v>2.3090868693711264</v>
      </c>
      <c r="AO193" s="96">
        <f t="shared" si="122"/>
        <v>4.2227604760856526E-3</v>
      </c>
      <c r="AP193" s="95">
        <f t="shared" si="123"/>
        <v>2.3990591057492829E-2</v>
      </c>
      <c r="AQ193" s="93">
        <f t="shared" si="124"/>
        <v>0.17161353674918312</v>
      </c>
      <c r="AR193" s="31">
        <v>1.7</v>
      </c>
      <c r="AS193" s="31">
        <v>1.7</v>
      </c>
      <c r="AT193" s="31">
        <v>7</v>
      </c>
      <c r="AU193" s="43">
        <v>0.09</v>
      </c>
      <c r="AV193" s="44">
        <v>0.35</v>
      </c>
      <c r="AW193" s="19">
        <v>1.7000000000000001E-2</v>
      </c>
      <c r="AX193" s="44">
        <v>0.13</v>
      </c>
      <c r="AY193" s="44">
        <v>5.8652742893442671</v>
      </c>
      <c r="AZ193" s="46">
        <v>0.5</v>
      </c>
      <c r="BA193" s="44">
        <v>0.72</v>
      </c>
      <c r="BB193" s="47">
        <v>1</v>
      </c>
      <c r="BC193" s="46">
        <v>10.143816871206573</v>
      </c>
      <c r="BD193" s="47">
        <v>46.469351153680115</v>
      </c>
      <c r="BE193" s="47">
        <v>43.386831975113303</v>
      </c>
      <c r="BF193" s="125">
        <v>1</v>
      </c>
      <c r="BG193" s="48">
        <f t="shared" si="146"/>
        <v>3.40123140509102E-3</v>
      </c>
      <c r="BH193" s="48">
        <f t="shared" si="147"/>
        <v>3.40123140509102E-3</v>
      </c>
      <c r="BI193" s="99">
        <f t="shared" si="148"/>
        <v>3.4501468509839928E-4</v>
      </c>
      <c r="BJ193" s="99">
        <f t="shared" si="149"/>
        <v>1.5805301651809942E-3</v>
      </c>
      <c r="BK193" s="48">
        <f t="shared" si="150"/>
        <v>1.475686554811626E-3</v>
      </c>
      <c r="BL193" s="99">
        <f t="shared" si="125"/>
        <v>2.1917735091795182E-4</v>
      </c>
      <c r="BM193" s="48">
        <f t="shared" si="126"/>
        <v>9.3259155755319131E-4</v>
      </c>
      <c r="BN193" s="48">
        <f t="shared" si="127"/>
        <v>2.6869012808076903E-3</v>
      </c>
      <c r="BO193" s="48">
        <f t="shared" si="128"/>
        <v>2.5086671431797641E-3</v>
      </c>
      <c r="BP193" s="99">
        <f t="shared" si="129"/>
        <v>3.7260149656051809E-4</v>
      </c>
      <c r="BQ193" s="48">
        <f t="shared" si="130"/>
        <v>1.5854056478404252E-3</v>
      </c>
      <c r="BR193" s="40">
        <f t="shared" si="131"/>
        <v>0.56613168024886684</v>
      </c>
      <c r="BS193" s="31">
        <v>1.7</v>
      </c>
      <c r="BT193" s="31">
        <v>1.7</v>
      </c>
      <c r="BU193" s="43">
        <v>0.12</v>
      </c>
      <c r="BV193" s="44">
        <v>0.45</v>
      </c>
      <c r="BW193" s="19">
        <v>0.02</v>
      </c>
      <c r="BX193" s="44">
        <v>0.15</v>
      </c>
      <c r="BY193" s="44">
        <v>16.083936408780207</v>
      </c>
      <c r="BZ193" s="44">
        <v>0.52</v>
      </c>
      <c r="CA193" s="44">
        <v>0.65</v>
      </c>
      <c r="CB193" s="47">
        <v>1</v>
      </c>
      <c r="CC193" s="46">
        <v>2.975124018439018</v>
      </c>
      <c r="CD193" s="46">
        <v>19.178261311007411</v>
      </c>
      <c r="CE193" s="46">
        <v>77.846614670553578</v>
      </c>
      <c r="CF193" s="125">
        <v>1</v>
      </c>
      <c r="CG193" s="40">
        <f t="shared" si="151"/>
        <v>2.1127722095712398E-2</v>
      </c>
      <c r="CH193" s="40">
        <f t="shared" si="152"/>
        <v>2.1127722095712398E-2</v>
      </c>
      <c r="CI193" s="99">
        <f t="shared" si="153"/>
        <v>6.2857593461858698E-4</v>
      </c>
      <c r="CJ193" s="100">
        <f t="shared" si="154"/>
        <v>4.0519297525791753E-3</v>
      </c>
      <c r="CK193" s="100">
        <f t="shared" si="155"/>
        <v>1.6447216408514639E-2</v>
      </c>
      <c r="CL193" s="101">
        <f t="shared" si="132"/>
        <v>5.074687346819745E-4</v>
      </c>
      <c r="CM193" s="100">
        <f t="shared" si="133"/>
        <v>3.8519234991000535E-3</v>
      </c>
      <c r="CN193" s="100">
        <f t="shared" si="134"/>
        <v>6.8882805793845977E-3</v>
      </c>
      <c r="CO193" s="100">
        <f t="shared" si="135"/>
        <v>2.7960267894474887E-2</v>
      </c>
      <c r="CP193" s="101">
        <f t="shared" si="136"/>
        <v>8.6269684895935663E-4</v>
      </c>
      <c r="CQ193" s="100">
        <f t="shared" si="137"/>
        <v>6.5482699484700913E-3</v>
      </c>
      <c r="CR193" s="99">
        <f t="shared" si="138"/>
        <v>0.22153385329446429</v>
      </c>
      <c r="CS193" s="31">
        <v>1.7</v>
      </c>
      <c r="CT193" s="31">
        <v>1.7</v>
      </c>
      <c r="CU193" s="43">
        <v>0.04</v>
      </c>
      <c r="CV193" s="44">
        <v>0.22</v>
      </c>
      <c r="CW193" s="19">
        <v>2.1000000000000001E-2</v>
      </c>
      <c r="CX193" s="44">
        <v>0.18</v>
      </c>
    </row>
    <row r="194" spans="1:102" s="27" customFormat="1" x14ac:dyDescent="0.25">
      <c r="A194" s="31">
        <v>180</v>
      </c>
      <c r="B194" s="84" t="s">
        <v>91</v>
      </c>
      <c r="C194" s="19">
        <v>60</v>
      </c>
      <c r="D194" s="31" t="s">
        <v>26</v>
      </c>
      <c r="E194" s="31" t="s">
        <v>99</v>
      </c>
      <c r="F194" s="19" t="s">
        <v>63</v>
      </c>
      <c r="G194" s="31" t="str">
        <f t="shared" si="139"/>
        <v>Statlig 60 - 4L ES</v>
      </c>
      <c r="H194" s="48">
        <f t="shared" si="105"/>
        <v>0.19805552252249767</v>
      </c>
      <c r="I194" s="40">
        <f t="shared" si="106"/>
        <v>0.28872086788120455</v>
      </c>
      <c r="J194" s="99">
        <f t="shared" si="107"/>
        <v>6.9580393345911803E-3</v>
      </c>
      <c r="K194" s="48">
        <f t="shared" si="108"/>
        <v>8.0448435144653843E-2</v>
      </c>
      <c r="L194" s="48">
        <f t="shared" si="109"/>
        <v>0.20131439340195956</v>
      </c>
      <c r="M194" s="48">
        <f t="shared" si="140"/>
        <v>0.34510678114635429</v>
      </c>
      <c r="N194" s="99">
        <f t="shared" si="110"/>
        <v>1.0577739193477122E-2</v>
      </c>
      <c r="O194" s="48">
        <f t="shared" si="111"/>
        <v>5.4811000143088366E-2</v>
      </c>
      <c r="P194" s="48">
        <f t="shared" si="112"/>
        <v>0.13676233974591154</v>
      </c>
      <c r="Q194" s="48">
        <f t="shared" si="113"/>
        <v>0.34223446878333119</v>
      </c>
      <c r="R194" s="40">
        <f t="shared" si="141"/>
        <v>2.4157474680244801</v>
      </c>
      <c r="S194" s="99">
        <f t="shared" si="114"/>
        <v>1.798215662891111E-2</v>
      </c>
      <c r="T194" s="48">
        <f t="shared" si="115"/>
        <v>9.3178700243250215E-2</v>
      </c>
      <c r="U194" s="44">
        <v>11.126522880000003</v>
      </c>
      <c r="V194" s="44">
        <v>1.2</v>
      </c>
      <c r="W194" s="19">
        <v>0.2</v>
      </c>
      <c r="X194" s="44">
        <v>1.5224868207206468</v>
      </c>
      <c r="Y194" s="46">
        <v>2.2651899581822121</v>
      </c>
      <c r="Z194" s="46">
        <v>28.318798250263121</v>
      </c>
      <c r="AA194" s="46">
        <v>69.416011791554681</v>
      </c>
      <c r="AB194" s="46">
        <v>1.3062730627306276</v>
      </c>
      <c r="AC194" s="125">
        <v>1</v>
      </c>
      <c r="AD194" s="94">
        <f t="shared" si="142"/>
        <v>0.17352656902169425</v>
      </c>
      <c r="AE194" s="94">
        <f t="shared" si="143"/>
        <v>0.26419191438040113</v>
      </c>
      <c r="AF194" s="96">
        <f t="shared" si="116"/>
        <v>5.9844487148741944E-3</v>
      </c>
      <c r="AG194" s="95">
        <f t="shared" si="156"/>
        <v>7.4815975226893677E-2</v>
      </c>
      <c r="AH194" s="94">
        <f t="shared" si="144"/>
        <v>0.18339149043863329</v>
      </c>
      <c r="AI194" s="94">
        <f t="shared" si="145"/>
        <v>0.34510678114635429</v>
      </c>
      <c r="AJ194" s="96">
        <f t="shared" si="117"/>
        <v>9.8510931078771968E-3</v>
      </c>
      <c r="AK194" s="95">
        <f t="shared" si="118"/>
        <v>5.0026485086435118E-2</v>
      </c>
      <c r="AL194" s="95">
        <f t="shared" si="119"/>
        <v>0.12718715788571924</v>
      </c>
      <c r="AM194" s="94">
        <f t="shared" si="120"/>
        <v>0.31176553374567656</v>
      </c>
      <c r="AN194" s="93">
        <f t="shared" si="121"/>
        <v>2.4157474680244801</v>
      </c>
      <c r="AO194" s="96">
        <f t="shared" si="122"/>
        <v>1.6746858283391234E-2</v>
      </c>
      <c r="AP194" s="95">
        <f t="shared" si="123"/>
        <v>8.5045024646939693E-2</v>
      </c>
      <c r="AQ194" s="93">
        <f t="shared" si="124"/>
        <v>0.30583988208445334</v>
      </c>
      <c r="AR194" s="31">
        <v>1.7</v>
      </c>
      <c r="AS194" s="31">
        <v>1.7</v>
      </c>
      <c r="AT194" s="31">
        <v>7</v>
      </c>
      <c r="AU194" s="43">
        <v>0.09</v>
      </c>
      <c r="AV194" s="44">
        <v>0.35</v>
      </c>
      <c r="AW194" s="19">
        <v>1.7000000000000001E-2</v>
      </c>
      <c r="AX194" s="44">
        <v>0.13</v>
      </c>
      <c r="AY194" s="44">
        <v>5.8652742893442671</v>
      </c>
      <c r="AZ194" s="46">
        <v>0.5</v>
      </c>
      <c r="BA194" s="44">
        <v>0.72</v>
      </c>
      <c r="BB194" s="47">
        <v>1</v>
      </c>
      <c r="BC194" s="46">
        <v>10.143816871206573</v>
      </c>
      <c r="BD194" s="47">
        <v>46.469351153680115</v>
      </c>
      <c r="BE194" s="47">
        <v>43.386831975113303</v>
      </c>
      <c r="BF194" s="125">
        <v>1</v>
      </c>
      <c r="BG194" s="48">
        <f t="shared" si="146"/>
        <v>3.40123140509102E-3</v>
      </c>
      <c r="BH194" s="48">
        <f t="shared" si="147"/>
        <v>3.40123140509102E-3</v>
      </c>
      <c r="BI194" s="99">
        <f t="shared" si="148"/>
        <v>3.4501468509839928E-4</v>
      </c>
      <c r="BJ194" s="99">
        <f t="shared" si="149"/>
        <v>1.5805301651809942E-3</v>
      </c>
      <c r="BK194" s="48">
        <f t="shared" si="150"/>
        <v>1.475686554811626E-3</v>
      </c>
      <c r="BL194" s="99">
        <f t="shared" si="125"/>
        <v>2.1917735091795182E-4</v>
      </c>
      <c r="BM194" s="48">
        <f t="shared" si="126"/>
        <v>9.3259155755319131E-4</v>
      </c>
      <c r="BN194" s="48">
        <f t="shared" si="127"/>
        <v>2.6869012808076903E-3</v>
      </c>
      <c r="BO194" s="48">
        <f t="shared" si="128"/>
        <v>2.5086671431797641E-3</v>
      </c>
      <c r="BP194" s="99">
        <f t="shared" si="129"/>
        <v>3.7260149656051809E-4</v>
      </c>
      <c r="BQ194" s="48">
        <f t="shared" si="130"/>
        <v>1.5854056478404252E-3</v>
      </c>
      <c r="BR194" s="40">
        <f t="shared" si="131"/>
        <v>0.56613168024886684</v>
      </c>
      <c r="BS194" s="31">
        <v>1.7</v>
      </c>
      <c r="BT194" s="31">
        <v>1.7</v>
      </c>
      <c r="BU194" s="43">
        <v>0.12</v>
      </c>
      <c r="BV194" s="44">
        <v>0.45</v>
      </c>
      <c r="BW194" s="19">
        <v>0.02</v>
      </c>
      <c r="BX194" s="44">
        <v>0.15</v>
      </c>
      <c r="BY194" s="44">
        <v>16.083936408780207</v>
      </c>
      <c r="BZ194" s="44">
        <v>0.52</v>
      </c>
      <c r="CA194" s="44">
        <v>0.65</v>
      </c>
      <c r="CB194" s="47">
        <v>1</v>
      </c>
      <c r="CC194" s="46">
        <v>2.975124018439018</v>
      </c>
      <c r="CD194" s="46">
        <v>19.178261311007411</v>
      </c>
      <c r="CE194" s="46">
        <v>77.846614670553578</v>
      </c>
      <c r="CF194" s="125">
        <v>1</v>
      </c>
      <c r="CG194" s="40">
        <f t="shared" si="151"/>
        <v>2.1127722095712398E-2</v>
      </c>
      <c r="CH194" s="40">
        <f t="shared" si="152"/>
        <v>2.1127722095712398E-2</v>
      </c>
      <c r="CI194" s="99">
        <f t="shared" si="153"/>
        <v>6.2857593461858698E-4</v>
      </c>
      <c r="CJ194" s="100">
        <f t="shared" si="154"/>
        <v>4.0519297525791753E-3</v>
      </c>
      <c r="CK194" s="100">
        <f t="shared" si="155"/>
        <v>1.6447216408514639E-2</v>
      </c>
      <c r="CL194" s="101">
        <f t="shared" si="132"/>
        <v>5.074687346819745E-4</v>
      </c>
      <c r="CM194" s="100">
        <f t="shared" si="133"/>
        <v>3.8519234991000535E-3</v>
      </c>
      <c r="CN194" s="100">
        <f t="shared" si="134"/>
        <v>6.8882805793845977E-3</v>
      </c>
      <c r="CO194" s="100">
        <f t="shared" si="135"/>
        <v>2.7960267894474887E-2</v>
      </c>
      <c r="CP194" s="101">
        <f t="shared" si="136"/>
        <v>8.6269684895935663E-4</v>
      </c>
      <c r="CQ194" s="100">
        <f t="shared" si="137"/>
        <v>6.5482699484700913E-3</v>
      </c>
      <c r="CR194" s="99">
        <f t="shared" si="138"/>
        <v>0.22153385329446429</v>
      </c>
      <c r="CS194" s="31">
        <v>1.7</v>
      </c>
      <c r="CT194" s="31">
        <v>1.7</v>
      </c>
      <c r="CU194" s="43">
        <v>0.04</v>
      </c>
      <c r="CV194" s="44">
        <v>0.22</v>
      </c>
      <c r="CW194" s="19">
        <v>2.1000000000000001E-2</v>
      </c>
      <c r="CX194" s="44">
        <v>0.18</v>
      </c>
    </row>
    <row r="195" spans="1:102" s="27" customFormat="1" x14ac:dyDescent="0.25">
      <c r="A195" s="31">
        <v>181</v>
      </c>
      <c r="B195" s="84" t="s">
        <v>91</v>
      </c>
      <c r="C195" s="19">
        <v>60</v>
      </c>
      <c r="D195" s="31" t="s">
        <v>26</v>
      </c>
      <c r="E195" s="31" t="s">
        <v>99</v>
      </c>
      <c r="F195" s="19" t="s">
        <v>64</v>
      </c>
      <c r="G195" s="31" t="str">
        <f t="shared" si="139"/>
        <v>Statlig 60 - 4L F</v>
      </c>
      <c r="H195" s="48">
        <f t="shared" si="105"/>
        <v>5.640101868556039E-2</v>
      </c>
      <c r="I195" s="40">
        <f t="shared" si="106"/>
        <v>6.812305860388948E-2</v>
      </c>
      <c r="J195" s="99">
        <f t="shared" si="107"/>
        <v>1.293152663027776E-3</v>
      </c>
      <c r="K195" s="48">
        <f t="shared" si="108"/>
        <v>1.2748694543793911E-2</v>
      </c>
      <c r="L195" s="48">
        <f t="shared" si="109"/>
        <v>5.4081211397067792E-2</v>
      </c>
      <c r="M195" s="48">
        <f t="shared" si="140"/>
        <v>0.14431152034125042</v>
      </c>
      <c r="N195" s="99">
        <f t="shared" si="110"/>
        <v>1.9817984453165687E-3</v>
      </c>
      <c r="O195" s="48">
        <f t="shared" si="111"/>
        <v>1.1975777272151452E-2</v>
      </c>
      <c r="P195" s="48">
        <f t="shared" si="112"/>
        <v>2.1672780724449649E-2</v>
      </c>
      <c r="Q195" s="48">
        <f t="shared" si="113"/>
        <v>9.1938059375015257E-2</v>
      </c>
      <c r="R195" s="40">
        <f t="shared" si="141"/>
        <v>1.0101806423887529</v>
      </c>
      <c r="S195" s="99">
        <f t="shared" si="114"/>
        <v>3.3690573570381672E-3</v>
      </c>
      <c r="T195" s="48">
        <f t="shared" si="115"/>
        <v>2.0358821362657473E-2</v>
      </c>
      <c r="U195" s="44">
        <v>2.3243616</v>
      </c>
      <c r="V195" s="19">
        <v>1.25</v>
      </c>
      <c r="W195" s="19">
        <v>0.45</v>
      </c>
      <c r="X195" s="44">
        <v>1.3677841348020094</v>
      </c>
      <c r="Y195" s="46">
        <v>0.73303957623428273</v>
      </c>
      <c r="Z195" s="46">
        <v>16.323846100765532</v>
      </c>
      <c r="AA195" s="46">
        <v>82.943114323000174</v>
      </c>
      <c r="AB195" s="46">
        <v>3.3103448275862073</v>
      </c>
      <c r="AC195" s="125">
        <v>1</v>
      </c>
      <c r="AD195" s="94">
        <f t="shared" si="142"/>
        <v>3.1872065184756972E-2</v>
      </c>
      <c r="AE195" s="94">
        <f t="shared" si="143"/>
        <v>4.3594105103086062E-2</v>
      </c>
      <c r="AF195" s="96">
        <f t="shared" si="116"/>
        <v>3.1956204331078986E-4</v>
      </c>
      <c r="AG195" s="95">
        <f t="shared" si="156"/>
        <v>7.1162346260337413E-3</v>
      </c>
      <c r="AH195" s="94">
        <f t="shared" si="144"/>
        <v>3.6158308433741529E-2</v>
      </c>
      <c r="AI195" s="94">
        <f t="shared" si="145"/>
        <v>0.14431152034125042</v>
      </c>
      <c r="AJ195" s="96">
        <f t="shared" si="117"/>
        <v>1.2551523597166426E-3</v>
      </c>
      <c r="AK195" s="95">
        <f t="shared" si="118"/>
        <v>7.1912622154982082E-3</v>
      </c>
      <c r="AL195" s="95">
        <f t="shared" si="119"/>
        <v>1.2097598864257359E-2</v>
      </c>
      <c r="AM195" s="94">
        <f t="shared" si="120"/>
        <v>6.1469124337360598E-2</v>
      </c>
      <c r="AN195" s="93">
        <f t="shared" si="121"/>
        <v>1.0101806423887529</v>
      </c>
      <c r="AO195" s="96">
        <f t="shared" si="122"/>
        <v>2.1337590115182927E-3</v>
      </c>
      <c r="AP195" s="95">
        <f t="shared" si="123"/>
        <v>1.2225145766346954E-2</v>
      </c>
      <c r="AQ195" s="93">
        <f t="shared" si="124"/>
        <v>0.17056885676999814</v>
      </c>
      <c r="AR195" s="31">
        <v>1.7</v>
      </c>
      <c r="AS195" s="31">
        <v>1.7</v>
      </c>
      <c r="AT195" s="31">
        <v>7</v>
      </c>
      <c r="AU195" s="43">
        <v>0.09</v>
      </c>
      <c r="AV195" s="44">
        <v>0.35</v>
      </c>
      <c r="AW195" s="19">
        <v>1.7000000000000001E-2</v>
      </c>
      <c r="AX195" s="44">
        <v>0.13</v>
      </c>
      <c r="AY195" s="44">
        <v>5.8652742893442653</v>
      </c>
      <c r="AZ195" s="46">
        <v>0.5</v>
      </c>
      <c r="BA195" s="44">
        <v>0.72</v>
      </c>
      <c r="BB195" s="47">
        <v>1</v>
      </c>
      <c r="BC195" s="46">
        <v>10.143816871206575</v>
      </c>
      <c r="BD195" s="47">
        <v>46.469351153680115</v>
      </c>
      <c r="BE195" s="47">
        <v>43.38683197511331</v>
      </c>
      <c r="BF195" s="125">
        <v>1</v>
      </c>
      <c r="BG195" s="48">
        <f t="shared" si="146"/>
        <v>3.4012314050910187E-3</v>
      </c>
      <c r="BH195" s="48">
        <f t="shared" si="147"/>
        <v>3.4012314050910187E-3</v>
      </c>
      <c r="BI195" s="99">
        <f t="shared" si="148"/>
        <v>3.4501468509839922E-4</v>
      </c>
      <c r="BJ195" s="99">
        <f t="shared" si="149"/>
        <v>1.5805301651809936E-3</v>
      </c>
      <c r="BK195" s="48">
        <f t="shared" si="150"/>
        <v>1.4756865548116258E-3</v>
      </c>
      <c r="BL195" s="99">
        <f t="shared" si="125"/>
        <v>2.1917735091795174E-4</v>
      </c>
      <c r="BM195" s="48">
        <f t="shared" si="126"/>
        <v>9.3259155755319098E-4</v>
      </c>
      <c r="BN195" s="48">
        <f t="shared" si="127"/>
        <v>2.686901280807689E-3</v>
      </c>
      <c r="BO195" s="48">
        <f t="shared" si="128"/>
        <v>2.5086671431797636E-3</v>
      </c>
      <c r="BP195" s="99">
        <f t="shared" si="129"/>
        <v>3.7260149656051793E-4</v>
      </c>
      <c r="BQ195" s="48">
        <f t="shared" si="130"/>
        <v>1.5854056478404246E-3</v>
      </c>
      <c r="BR195" s="40">
        <f t="shared" si="131"/>
        <v>0.56613168024886684</v>
      </c>
      <c r="BS195" s="31">
        <v>1.7</v>
      </c>
      <c r="BT195" s="31">
        <v>1.7</v>
      </c>
      <c r="BU195" s="43">
        <v>0.12</v>
      </c>
      <c r="BV195" s="44">
        <v>0.45</v>
      </c>
      <c r="BW195" s="19">
        <v>0.02</v>
      </c>
      <c r="BX195" s="44">
        <v>0.15</v>
      </c>
      <c r="BY195" s="44">
        <v>16.083936408780207</v>
      </c>
      <c r="BZ195" s="44">
        <v>0.52</v>
      </c>
      <c r="CA195" s="44">
        <v>0.65</v>
      </c>
      <c r="CB195" s="47">
        <v>1</v>
      </c>
      <c r="CC195" s="46">
        <v>2.9751240184390171</v>
      </c>
      <c r="CD195" s="46">
        <v>19.178261311007414</v>
      </c>
      <c r="CE195" s="46">
        <v>77.846614670553578</v>
      </c>
      <c r="CF195" s="125">
        <v>1</v>
      </c>
      <c r="CG195" s="40">
        <f t="shared" si="151"/>
        <v>2.1127722095712398E-2</v>
      </c>
      <c r="CH195" s="40">
        <f t="shared" si="152"/>
        <v>2.1127722095712398E-2</v>
      </c>
      <c r="CI195" s="99">
        <f t="shared" si="153"/>
        <v>6.2857593461858687E-4</v>
      </c>
      <c r="CJ195" s="100">
        <f t="shared" si="154"/>
        <v>4.0519297525791753E-3</v>
      </c>
      <c r="CK195" s="100">
        <f t="shared" si="155"/>
        <v>1.6447216408514639E-2</v>
      </c>
      <c r="CL195" s="101">
        <f t="shared" si="132"/>
        <v>5.074687346819745E-4</v>
      </c>
      <c r="CM195" s="100">
        <f t="shared" si="133"/>
        <v>3.8519234991000535E-3</v>
      </c>
      <c r="CN195" s="100">
        <f t="shared" si="134"/>
        <v>6.8882805793845977E-3</v>
      </c>
      <c r="CO195" s="100">
        <f t="shared" si="135"/>
        <v>2.7960267894474887E-2</v>
      </c>
      <c r="CP195" s="101">
        <f t="shared" si="136"/>
        <v>8.6269684895935663E-4</v>
      </c>
      <c r="CQ195" s="100">
        <f t="shared" si="137"/>
        <v>6.5482699484700913E-3</v>
      </c>
      <c r="CR195" s="99">
        <f t="shared" si="138"/>
        <v>0.22153385329446429</v>
      </c>
      <c r="CS195" s="31">
        <v>1.7</v>
      </c>
      <c r="CT195" s="31">
        <v>1.7</v>
      </c>
      <c r="CU195" s="43">
        <v>0.04</v>
      </c>
      <c r="CV195" s="44">
        <v>0.22</v>
      </c>
      <c r="CW195" s="19">
        <v>2.1000000000000001E-2</v>
      </c>
      <c r="CX195" s="44">
        <v>0.18</v>
      </c>
    </row>
    <row r="196" spans="1:102" s="27" customFormat="1" x14ac:dyDescent="0.25">
      <c r="A196" s="31">
        <v>182</v>
      </c>
      <c r="B196" s="84" t="s">
        <v>91</v>
      </c>
      <c r="C196" s="19">
        <v>70</v>
      </c>
      <c r="D196" s="31" t="s">
        <v>36</v>
      </c>
      <c r="E196" s="31" t="s">
        <v>5</v>
      </c>
      <c r="F196" s="19" t="s">
        <v>12</v>
      </c>
      <c r="G196" s="31" t="str">
        <f t="shared" si="139"/>
        <v>Kommunal 70 M 4L A</v>
      </c>
      <c r="H196" s="48">
        <f t="shared" si="105"/>
        <v>0.16945428326328432</v>
      </c>
      <c r="I196" s="40">
        <f t="shared" si="106"/>
        <v>0.23419274248916022</v>
      </c>
      <c r="J196" s="99">
        <f t="shared" si="107"/>
        <v>4.6541259621228903E-3</v>
      </c>
      <c r="K196" s="48">
        <f t="shared" si="108"/>
        <v>7.0244356611167472E-2</v>
      </c>
      <c r="L196" s="48">
        <f t="shared" si="109"/>
        <v>0.15929425991586987</v>
      </c>
      <c r="M196" s="48">
        <f t="shared" si="140"/>
        <v>0.29838620783768188</v>
      </c>
      <c r="N196" s="99">
        <f t="shared" si="110"/>
        <v>9.009227231520615E-3</v>
      </c>
      <c r="O196" s="48">
        <f t="shared" si="111"/>
        <v>4.4336341788078673E-2</v>
      </c>
      <c r="P196" s="48">
        <f t="shared" si="112"/>
        <v>0.1053665349167512</v>
      </c>
      <c r="Q196" s="48">
        <f t="shared" si="113"/>
        <v>0.23894138987380481</v>
      </c>
      <c r="R196" s="40">
        <f t="shared" si="141"/>
        <v>2.0887034548637731</v>
      </c>
      <c r="S196" s="99">
        <f t="shared" si="114"/>
        <v>1.3513840847280922E-2</v>
      </c>
      <c r="T196" s="48">
        <f t="shared" si="115"/>
        <v>6.6504512682118017E-2</v>
      </c>
      <c r="U196" s="44">
        <v>12.956328000000001</v>
      </c>
      <c r="V196" s="19">
        <v>1.25</v>
      </c>
      <c r="W196" s="19">
        <v>0.55000000000000004</v>
      </c>
      <c r="X196" s="44">
        <v>1.4539396965137334</v>
      </c>
      <c r="Y196" s="46">
        <v>1.6656289741598842</v>
      </c>
      <c r="Z196" s="46">
        <v>30.729997087556342</v>
      </c>
      <c r="AA196" s="46">
        <v>67.604373938283771</v>
      </c>
      <c r="AB196" s="46">
        <v>1.4390243902439024</v>
      </c>
      <c r="AC196" s="125">
        <v>1</v>
      </c>
      <c r="AD196" s="94">
        <f t="shared" si="142"/>
        <v>0.14261466825454711</v>
      </c>
      <c r="AE196" s="94">
        <f t="shared" si="143"/>
        <v>0.20735312748042301</v>
      </c>
      <c r="AF196" s="96">
        <f t="shared" si="116"/>
        <v>3.4537337701406067E-3</v>
      </c>
      <c r="AG196" s="95">
        <f t="shared" si="156"/>
        <v>6.3719610035690974E-2</v>
      </c>
      <c r="AH196" s="94">
        <f t="shared" si="144"/>
        <v>0.14017978367459141</v>
      </c>
      <c r="AI196" s="94">
        <f t="shared" si="145"/>
        <v>0.29838620783768188</v>
      </c>
      <c r="AJ196" s="96">
        <f t="shared" si="117"/>
        <v>7.7609846926725151E-3</v>
      </c>
      <c r="AK196" s="95">
        <f t="shared" si="118"/>
        <v>3.8741052725150091E-2</v>
      </c>
      <c r="AL196" s="95">
        <f t="shared" si="119"/>
        <v>9.5579415053536454E-2</v>
      </c>
      <c r="AM196" s="94">
        <f t="shared" si="120"/>
        <v>0.21026967551188713</v>
      </c>
      <c r="AN196" s="93">
        <f t="shared" si="121"/>
        <v>2.0887034548637731</v>
      </c>
      <c r="AO196" s="96">
        <f t="shared" si="122"/>
        <v>1.1641477039008773E-2</v>
      </c>
      <c r="AP196" s="95">
        <f t="shared" si="123"/>
        <v>5.8111579087725136E-2</v>
      </c>
      <c r="AQ196" s="93">
        <f t="shared" si="124"/>
        <v>0.32395626061716221</v>
      </c>
      <c r="AR196" s="31">
        <v>1.5</v>
      </c>
      <c r="AS196" s="31">
        <v>1.5</v>
      </c>
      <c r="AT196" s="31">
        <v>7</v>
      </c>
      <c r="AU196" s="43">
        <v>0.08</v>
      </c>
      <c r="AV196" s="44">
        <v>0.3</v>
      </c>
      <c r="AW196" s="43">
        <v>1.9E-2</v>
      </c>
      <c r="AX196" s="44">
        <v>0.14000000000000001</v>
      </c>
      <c r="AY196" s="44">
        <v>6.773431420152356</v>
      </c>
      <c r="AZ196" s="46">
        <v>0.5</v>
      </c>
      <c r="BA196" s="44">
        <v>0.72</v>
      </c>
      <c r="BB196" s="47">
        <v>1</v>
      </c>
      <c r="BC196" s="46">
        <v>11.280218363357534</v>
      </c>
      <c r="BD196" s="47">
        <v>47.541244098024215</v>
      </c>
      <c r="BE196" s="47">
        <v>41.178537538618251</v>
      </c>
      <c r="BF196" s="125">
        <v>1</v>
      </c>
      <c r="BG196" s="48">
        <f t="shared" si="146"/>
        <v>3.9278653529139715E-3</v>
      </c>
      <c r="BH196" s="48">
        <f t="shared" si="147"/>
        <v>3.9278653529139715E-3</v>
      </c>
      <c r="BI196" s="99">
        <f t="shared" si="148"/>
        <v>4.4307178882736005E-4</v>
      </c>
      <c r="BJ196" s="99">
        <f t="shared" si="149"/>
        <v>1.8673560552705515E-3</v>
      </c>
      <c r="BK196" s="48">
        <f t="shared" si="150"/>
        <v>1.61743750881606E-3</v>
      </c>
      <c r="BL196" s="99">
        <f t="shared" si="125"/>
        <v>2.9863091044064663E-4</v>
      </c>
      <c r="BM196" s="48">
        <f t="shared" si="126"/>
        <v>1.1077770449768438E-3</v>
      </c>
      <c r="BN196" s="48">
        <f t="shared" si="127"/>
        <v>2.8010340829058272E-3</v>
      </c>
      <c r="BO196" s="48">
        <f t="shared" si="128"/>
        <v>2.4261562632240902E-3</v>
      </c>
      <c r="BP196" s="99">
        <f t="shared" si="129"/>
        <v>4.4794636566096994E-4</v>
      </c>
      <c r="BQ196" s="48">
        <f t="shared" si="130"/>
        <v>1.6616655674652654E-3</v>
      </c>
      <c r="BR196" s="40">
        <f t="shared" si="131"/>
        <v>0.58821462461381757</v>
      </c>
      <c r="BS196" s="31">
        <v>1.5</v>
      </c>
      <c r="BT196" s="31">
        <v>1.5</v>
      </c>
      <c r="BU196" s="43">
        <v>0.14000000000000001</v>
      </c>
      <c r="BV196" s="44">
        <v>0.42</v>
      </c>
      <c r="BW196" s="43">
        <v>2.3E-2</v>
      </c>
      <c r="BX196" s="44">
        <v>0.2</v>
      </c>
      <c r="BY196" s="44">
        <v>17.442066059404368</v>
      </c>
      <c r="BZ196" s="44">
        <v>0.52</v>
      </c>
      <c r="CA196" s="44">
        <v>0.65</v>
      </c>
      <c r="CB196" s="47">
        <v>1</v>
      </c>
      <c r="CC196" s="46">
        <v>3.3053800540389702</v>
      </c>
      <c r="CD196" s="46">
        <v>20.327520115960358</v>
      </c>
      <c r="CE196" s="46">
        <v>76.367099830000683</v>
      </c>
      <c r="CF196" s="125">
        <v>1</v>
      </c>
      <c r="CG196" s="40">
        <f t="shared" si="151"/>
        <v>2.2911749655823248E-2</v>
      </c>
      <c r="CH196" s="40">
        <f t="shared" si="152"/>
        <v>2.2911749655823248E-2</v>
      </c>
      <c r="CI196" s="99">
        <f t="shared" si="153"/>
        <v>7.5732040315492396E-4</v>
      </c>
      <c r="CJ196" s="100">
        <f t="shared" si="154"/>
        <v>4.6573905202059486E-3</v>
      </c>
      <c r="CK196" s="100">
        <f t="shared" si="155"/>
        <v>1.7497038732462378E-2</v>
      </c>
      <c r="CL196" s="101">
        <f t="shared" si="132"/>
        <v>9.4961162840745362E-4</v>
      </c>
      <c r="CM196" s="100">
        <f t="shared" si="133"/>
        <v>4.4875120179517364E-3</v>
      </c>
      <c r="CN196" s="100">
        <f t="shared" si="134"/>
        <v>6.9860857803089229E-3</v>
      </c>
      <c r="CO196" s="100">
        <f t="shared" si="135"/>
        <v>2.6245558098693569E-2</v>
      </c>
      <c r="CP196" s="101">
        <f t="shared" si="136"/>
        <v>1.4244174426111802E-3</v>
      </c>
      <c r="CQ196" s="100">
        <f t="shared" si="137"/>
        <v>6.7312680269276046E-3</v>
      </c>
      <c r="CR196" s="99">
        <f t="shared" si="138"/>
        <v>0.23632900169999327</v>
      </c>
      <c r="CS196" s="31">
        <v>1.5</v>
      </c>
      <c r="CT196" s="31">
        <v>1.5</v>
      </c>
      <c r="CU196" s="43">
        <v>0.125</v>
      </c>
      <c r="CV196" s="44">
        <v>0.4</v>
      </c>
      <c r="CW196" s="43">
        <v>2.1000000000000001E-2</v>
      </c>
      <c r="CX196" s="44">
        <v>0.15</v>
      </c>
    </row>
    <row r="197" spans="1:102" s="27" customFormat="1" x14ac:dyDescent="0.25">
      <c r="A197" s="31">
        <v>183</v>
      </c>
      <c r="B197" s="84" t="s">
        <v>91</v>
      </c>
      <c r="C197" s="19">
        <v>70</v>
      </c>
      <c r="D197" s="31" t="s">
        <v>36</v>
      </c>
      <c r="E197" s="31" t="s">
        <v>5</v>
      </c>
      <c r="F197" s="19" t="s">
        <v>13</v>
      </c>
      <c r="G197" s="31" t="str">
        <f t="shared" si="139"/>
        <v>Kommunal 70 M 4L B</v>
      </c>
      <c r="H197" s="48">
        <f t="shared" si="105"/>
        <v>0.16232354985055694</v>
      </c>
      <c r="I197" s="40">
        <f t="shared" si="106"/>
        <v>0.22382508611513902</v>
      </c>
      <c r="J197" s="99">
        <f t="shared" si="107"/>
        <v>4.4814392736158594E-3</v>
      </c>
      <c r="K197" s="48">
        <f t="shared" si="108"/>
        <v>6.7058376109382908E-2</v>
      </c>
      <c r="L197" s="48">
        <f t="shared" si="109"/>
        <v>0.15228527073214027</v>
      </c>
      <c r="M197" s="48">
        <f t="shared" si="140"/>
        <v>0.28346689744579767</v>
      </c>
      <c r="N197" s="99">
        <f t="shared" si="110"/>
        <v>8.6211779968869869E-3</v>
      </c>
      <c r="O197" s="48">
        <f t="shared" si="111"/>
        <v>4.239928915182116E-2</v>
      </c>
      <c r="P197" s="48">
        <f t="shared" si="112"/>
        <v>0.10058756416407437</v>
      </c>
      <c r="Q197" s="48">
        <f t="shared" si="113"/>
        <v>0.2284279060982104</v>
      </c>
      <c r="R197" s="40">
        <f t="shared" si="141"/>
        <v>1.9842682821205837</v>
      </c>
      <c r="S197" s="99">
        <f t="shared" si="114"/>
        <v>1.2931766995330482E-2</v>
      </c>
      <c r="T197" s="48">
        <f t="shared" si="115"/>
        <v>6.3598933727731732E-2</v>
      </c>
      <c r="U197" s="44">
        <v>12.308511600000001</v>
      </c>
      <c r="V197" s="19">
        <v>1.25</v>
      </c>
      <c r="W197" s="19">
        <v>0.55000000000000004</v>
      </c>
      <c r="X197" s="44">
        <v>1.4539396965137334</v>
      </c>
      <c r="Y197" s="46">
        <v>1.6656289741598842</v>
      </c>
      <c r="Z197" s="46">
        <v>30.729997087556342</v>
      </c>
      <c r="AA197" s="46">
        <v>67.604373938283771</v>
      </c>
      <c r="AB197" s="46">
        <v>1.4390243902439022</v>
      </c>
      <c r="AC197" s="125">
        <v>1</v>
      </c>
      <c r="AD197" s="94">
        <f t="shared" si="142"/>
        <v>0.13548393484181973</v>
      </c>
      <c r="AE197" s="94">
        <f t="shared" si="143"/>
        <v>0.1969854711064018</v>
      </c>
      <c r="AF197" s="96">
        <f t="shared" si="116"/>
        <v>3.2810470816335754E-3</v>
      </c>
      <c r="AG197" s="95">
        <f t="shared" si="156"/>
        <v>6.0533629533906411E-2</v>
      </c>
      <c r="AH197" s="94">
        <f t="shared" si="144"/>
        <v>0.1331707944908618</v>
      </c>
      <c r="AI197" s="94">
        <f t="shared" si="145"/>
        <v>0.28346689744579767</v>
      </c>
      <c r="AJ197" s="96">
        <f t="shared" si="117"/>
        <v>7.3729354580388869E-3</v>
      </c>
      <c r="AK197" s="95">
        <f t="shared" si="118"/>
        <v>3.6804000088892577E-2</v>
      </c>
      <c r="AL197" s="95">
        <f t="shared" si="119"/>
        <v>9.0800444300859623E-2</v>
      </c>
      <c r="AM197" s="94">
        <f t="shared" si="120"/>
        <v>0.19975619173629272</v>
      </c>
      <c r="AN197" s="93">
        <f t="shared" si="121"/>
        <v>1.9842682821205837</v>
      </c>
      <c r="AO197" s="96">
        <f t="shared" si="122"/>
        <v>1.1059403187058333E-2</v>
      </c>
      <c r="AP197" s="95">
        <f t="shared" si="123"/>
        <v>5.5206000133338873E-2</v>
      </c>
      <c r="AQ197" s="93">
        <f t="shared" si="124"/>
        <v>0.32395626061716221</v>
      </c>
      <c r="AR197" s="31">
        <v>1.5</v>
      </c>
      <c r="AS197" s="31">
        <v>1.5</v>
      </c>
      <c r="AT197" s="31">
        <v>7</v>
      </c>
      <c r="AU197" s="43">
        <v>0.08</v>
      </c>
      <c r="AV197" s="44">
        <v>0.3</v>
      </c>
      <c r="AW197" s="43">
        <v>1.9E-2</v>
      </c>
      <c r="AX197" s="44">
        <v>0.14000000000000001</v>
      </c>
      <c r="AY197" s="44">
        <v>6.773431420152356</v>
      </c>
      <c r="AZ197" s="46">
        <v>0.5</v>
      </c>
      <c r="BA197" s="44">
        <v>0.72</v>
      </c>
      <c r="BB197" s="47">
        <v>1</v>
      </c>
      <c r="BC197" s="46">
        <v>11.280218363357534</v>
      </c>
      <c r="BD197" s="47">
        <v>47.541244098024215</v>
      </c>
      <c r="BE197" s="47">
        <v>41.178537538618251</v>
      </c>
      <c r="BF197" s="125">
        <v>1</v>
      </c>
      <c r="BG197" s="48">
        <f t="shared" si="146"/>
        <v>3.9278653529139715E-3</v>
      </c>
      <c r="BH197" s="48">
        <f t="shared" si="147"/>
        <v>3.9278653529139715E-3</v>
      </c>
      <c r="BI197" s="99">
        <f t="shared" si="148"/>
        <v>4.4307178882736005E-4</v>
      </c>
      <c r="BJ197" s="99">
        <f t="shared" si="149"/>
        <v>1.8673560552705515E-3</v>
      </c>
      <c r="BK197" s="48">
        <f t="shared" si="150"/>
        <v>1.61743750881606E-3</v>
      </c>
      <c r="BL197" s="99">
        <f t="shared" si="125"/>
        <v>2.9863091044064663E-4</v>
      </c>
      <c r="BM197" s="48">
        <f t="shared" si="126"/>
        <v>1.1077770449768438E-3</v>
      </c>
      <c r="BN197" s="48">
        <f t="shared" si="127"/>
        <v>2.8010340829058272E-3</v>
      </c>
      <c r="BO197" s="48">
        <f t="shared" si="128"/>
        <v>2.4261562632240902E-3</v>
      </c>
      <c r="BP197" s="99">
        <f t="shared" si="129"/>
        <v>4.4794636566096994E-4</v>
      </c>
      <c r="BQ197" s="48">
        <f t="shared" si="130"/>
        <v>1.6616655674652654E-3</v>
      </c>
      <c r="BR197" s="40">
        <f t="shared" si="131"/>
        <v>0.58821462461381757</v>
      </c>
      <c r="BS197" s="31">
        <v>1.5</v>
      </c>
      <c r="BT197" s="31">
        <v>1.5</v>
      </c>
      <c r="BU197" s="43">
        <v>0.14000000000000001</v>
      </c>
      <c r="BV197" s="44">
        <v>0.42</v>
      </c>
      <c r="BW197" s="43">
        <v>2.3E-2</v>
      </c>
      <c r="BX197" s="44">
        <v>0.2</v>
      </c>
      <c r="BY197" s="44">
        <v>17.442066059404368</v>
      </c>
      <c r="BZ197" s="44">
        <v>0.52</v>
      </c>
      <c r="CA197" s="44">
        <v>0.65</v>
      </c>
      <c r="CB197" s="47">
        <v>1</v>
      </c>
      <c r="CC197" s="46">
        <v>3.3053800540389702</v>
      </c>
      <c r="CD197" s="46">
        <v>20.327520115960358</v>
      </c>
      <c r="CE197" s="46">
        <v>76.367099830000683</v>
      </c>
      <c r="CF197" s="125">
        <v>1</v>
      </c>
      <c r="CG197" s="40">
        <f t="shared" si="151"/>
        <v>2.2911749655823248E-2</v>
      </c>
      <c r="CH197" s="40">
        <f t="shared" si="152"/>
        <v>2.2911749655823248E-2</v>
      </c>
      <c r="CI197" s="99">
        <f t="shared" si="153"/>
        <v>7.5732040315492396E-4</v>
      </c>
      <c r="CJ197" s="100">
        <f t="shared" si="154"/>
        <v>4.6573905202059486E-3</v>
      </c>
      <c r="CK197" s="100">
        <f t="shared" si="155"/>
        <v>1.7497038732462378E-2</v>
      </c>
      <c r="CL197" s="101">
        <f t="shared" si="132"/>
        <v>9.4961162840745362E-4</v>
      </c>
      <c r="CM197" s="100">
        <f t="shared" si="133"/>
        <v>4.4875120179517364E-3</v>
      </c>
      <c r="CN197" s="100">
        <f t="shared" si="134"/>
        <v>6.9860857803089229E-3</v>
      </c>
      <c r="CO197" s="100">
        <f t="shared" si="135"/>
        <v>2.6245558098693569E-2</v>
      </c>
      <c r="CP197" s="101">
        <f t="shared" si="136"/>
        <v>1.4244174426111802E-3</v>
      </c>
      <c r="CQ197" s="100">
        <f t="shared" si="137"/>
        <v>6.7312680269276046E-3</v>
      </c>
      <c r="CR197" s="99">
        <f t="shared" si="138"/>
        <v>0.23632900169999327</v>
      </c>
      <c r="CS197" s="31">
        <v>1.5</v>
      </c>
      <c r="CT197" s="31">
        <v>1.5</v>
      </c>
      <c r="CU197" s="43">
        <v>0.125</v>
      </c>
      <c r="CV197" s="44">
        <v>0.4</v>
      </c>
      <c r="CW197" s="43">
        <v>2.1000000000000001E-2</v>
      </c>
      <c r="CX197" s="44">
        <v>0.15</v>
      </c>
    </row>
    <row r="198" spans="1:102" s="27" customFormat="1" x14ac:dyDescent="0.25">
      <c r="A198" s="31">
        <v>184</v>
      </c>
      <c r="B198" s="84" t="s">
        <v>91</v>
      </c>
      <c r="C198" s="19">
        <v>70</v>
      </c>
      <c r="D198" s="31" t="s">
        <v>36</v>
      </c>
      <c r="E198" s="31" t="s">
        <v>5</v>
      </c>
      <c r="F198" s="19" t="s">
        <v>70</v>
      </c>
      <c r="G198" s="31" t="str">
        <f t="shared" si="139"/>
        <v>Kommunal 70 M 4L Ck</v>
      </c>
      <c r="H198" s="48">
        <f t="shared" si="105"/>
        <v>0.15519281643782962</v>
      </c>
      <c r="I198" s="40">
        <f t="shared" si="106"/>
        <v>0.21345742974111792</v>
      </c>
      <c r="J198" s="99">
        <f t="shared" si="107"/>
        <v>4.3087525851088293E-3</v>
      </c>
      <c r="K198" s="48">
        <f t="shared" si="108"/>
        <v>6.3872395607598387E-2</v>
      </c>
      <c r="L198" s="48">
        <f t="shared" si="109"/>
        <v>0.14527628154841074</v>
      </c>
      <c r="M198" s="48">
        <f t="shared" si="140"/>
        <v>0.26854758705391368</v>
      </c>
      <c r="N198" s="99">
        <f t="shared" si="110"/>
        <v>8.2331287622533639E-3</v>
      </c>
      <c r="O198" s="48">
        <f t="shared" si="111"/>
        <v>4.0462236515563667E-2</v>
      </c>
      <c r="P198" s="48">
        <f t="shared" si="112"/>
        <v>9.5808593411397566E-2</v>
      </c>
      <c r="Q198" s="48">
        <f t="shared" si="113"/>
        <v>0.2179144223226161</v>
      </c>
      <c r="R198" s="40">
        <f t="shared" si="141"/>
        <v>1.8798331093773957</v>
      </c>
      <c r="S198" s="99">
        <f t="shared" si="114"/>
        <v>1.2349693143380046E-2</v>
      </c>
      <c r="T198" s="48">
        <f t="shared" si="115"/>
        <v>6.0693354773345497E-2</v>
      </c>
      <c r="U198" s="44">
        <v>11.660695200000001</v>
      </c>
      <c r="V198" s="19">
        <v>1.25</v>
      </c>
      <c r="W198" s="19">
        <v>0.55000000000000004</v>
      </c>
      <c r="X198" s="44">
        <v>1.4539396965137334</v>
      </c>
      <c r="Y198" s="46">
        <v>1.6656289741598842</v>
      </c>
      <c r="Z198" s="46">
        <v>30.729997087556342</v>
      </c>
      <c r="AA198" s="46">
        <v>67.604373938283771</v>
      </c>
      <c r="AB198" s="46">
        <v>1.4390243902439024</v>
      </c>
      <c r="AC198" s="125">
        <v>1</v>
      </c>
      <c r="AD198" s="94">
        <f t="shared" si="142"/>
        <v>0.1283532014290924</v>
      </c>
      <c r="AE198" s="94">
        <f t="shared" si="143"/>
        <v>0.1866178147323807</v>
      </c>
      <c r="AF198" s="96">
        <f t="shared" si="116"/>
        <v>3.1083603931265458E-3</v>
      </c>
      <c r="AG198" s="95">
        <f t="shared" si="156"/>
        <v>5.7347649032121882E-2</v>
      </c>
      <c r="AH198" s="94">
        <f t="shared" si="144"/>
        <v>0.12616180530713228</v>
      </c>
      <c r="AI198" s="94">
        <f t="shared" si="145"/>
        <v>0.26854758705391368</v>
      </c>
      <c r="AJ198" s="96">
        <f t="shared" si="117"/>
        <v>6.984886223405264E-3</v>
      </c>
      <c r="AK198" s="95">
        <f t="shared" si="118"/>
        <v>3.4866947452635084E-2</v>
      </c>
      <c r="AL198" s="95">
        <f t="shared" si="119"/>
        <v>8.602147354818282E-2</v>
      </c>
      <c r="AM198" s="94">
        <f t="shared" si="120"/>
        <v>0.18924270796069842</v>
      </c>
      <c r="AN198" s="93">
        <f t="shared" si="121"/>
        <v>1.8798331093773957</v>
      </c>
      <c r="AO198" s="96">
        <f t="shared" si="122"/>
        <v>1.0477329335107895E-2</v>
      </c>
      <c r="AP198" s="95">
        <f t="shared" si="123"/>
        <v>5.230042117895263E-2</v>
      </c>
      <c r="AQ198" s="93">
        <f t="shared" si="124"/>
        <v>0.32395626061716226</v>
      </c>
      <c r="AR198" s="31">
        <v>1.5</v>
      </c>
      <c r="AS198" s="31">
        <v>1.5</v>
      </c>
      <c r="AT198" s="31">
        <v>7</v>
      </c>
      <c r="AU198" s="43">
        <v>0.08</v>
      </c>
      <c r="AV198" s="44">
        <v>0.3</v>
      </c>
      <c r="AW198" s="43">
        <v>1.9E-2</v>
      </c>
      <c r="AX198" s="44">
        <v>0.14000000000000001</v>
      </c>
      <c r="AY198" s="44">
        <v>6.773431420152356</v>
      </c>
      <c r="AZ198" s="46">
        <v>0.5</v>
      </c>
      <c r="BA198" s="44">
        <v>0.72</v>
      </c>
      <c r="BB198" s="47">
        <v>1</v>
      </c>
      <c r="BC198" s="46">
        <v>11.280218363357534</v>
      </c>
      <c r="BD198" s="47">
        <v>47.541244098024215</v>
      </c>
      <c r="BE198" s="47">
        <v>41.178537538618251</v>
      </c>
      <c r="BF198" s="125">
        <v>1</v>
      </c>
      <c r="BG198" s="48">
        <f t="shared" si="146"/>
        <v>3.9278653529139715E-3</v>
      </c>
      <c r="BH198" s="48">
        <f t="shared" si="147"/>
        <v>3.9278653529139715E-3</v>
      </c>
      <c r="BI198" s="99">
        <f t="shared" si="148"/>
        <v>4.4307178882736005E-4</v>
      </c>
      <c r="BJ198" s="99">
        <f t="shared" si="149"/>
        <v>1.8673560552705515E-3</v>
      </c>
      <c r="BK198" s="48">
        <f t="shared" si="150"/>
        <v>1.61743750881606E-3</v>
      </c>
      <c r="BL198" s="99">
        <f t="shared" si="125"/>
        <v>2.9863091044064663E-4</v>
      </c>
      <c r="BM198" s="48">
        <f t="shared" si="126"/>
        <v>1.1077770449768438E-3</v>
      </c>
      <c r="BN198" s="48">
        <f t="shared" si="127"/>
        <v>2.8010340829058272E-3</v>
      </c>
      <c r="BO198" s="48">
        <f t="shared" si="128"/>
        <v>2.4261562632240902E-3</v>
      </c>
      <c r="BP198" s="99">
        <f t="shared" si="129"/>
        <v>4.4794636566096994E-4</v>
      </c>
      <c r="BQ198" s="48">
        <f t="shared" si="130"/>
        <v>1.6616655674652654E-3</v>
      </c>
      <c r="BR198" s="40">
        <f t="shared" si="131"/>
        <v>0.58821462461381757</v>
      </c>
      <c r="BS198" s="31">
        <v>1.5</v>
      </c>
      <c r="BT198" s="31">
        <v>1.5</v>
      </c>
      <c r="BU198" s="43">
        <v>0.14000000000000001</v>
      </c>
      <c r="BV198" s="44">
        <v>0.42</v>
      </c>
      <c r="BW198" s="43">
        <v>2.3E-2</v>
      </c>
      <c r="BX198" s="44">
        <v>0.2</v>
      </c>
      <c r="BY198" s="44">
        <v>17.442066059404368</v>
      </c>
      <c r="BZ198" s="44">
        <v>0.52</v>
      </c>
      <c r="CA198" s="44">
        <v>0.65</v>
      </c>
      <c r="CB198" s="47">
        <v>1</v>
      </c>
      <c r="CC198" s="46">
        <v>3.3053800540389702</v>
      </c>
      <c r="CD198" s="46">
        <v>20.327520115960358</v>
      </c>
      <c r="CE198" s="46">
        <v>76.367099830000683</v>
      </c>
      <c r="CF198" s="125">
        <v>1</v>
      </c>
      <c r="CG198" s="40">
        <f t="shared" si="151"/>
        <v>2.2911749655823248E-2</v>
      </c>
      <c r="CH198" s="40">
        <f t="shared" si="152"/>
        <v>2.2911749655823248E-2</v>
      </c>
      <c r="CI198" s="99">
        <f t="shared" si="153"/>
        <v>7.5732040315492396E-4</v>
      </c>
      <c r="CJ198" s="100">
        <f t="shared" si="154"/>
        <v>4.6573905202059486E-3</v>
      </c>
      <c r="CK198" s="100">
        <f t="shared" si="155"/>
        <v>1.7497038732462378E-2</v>
      </c>
      <c r="CL198" s="101">
        <f t="shared" si="132"/>
        <v>9.4961162840745362E-4</v>
      </c>
      <c r="CM198" s="100">
        <f t="shared" si="133"/>
        <v>4.4875120179517364E-3</v>
      </c>
      <c r="CN198" s="100">
        <f t="shared" si="134"/>
        <v>6.9860857803089229E-3</v>
      </c>
      <c r="CO198" s="100">
        <f t="shared" si="135"/>
        <v>2.6245558098693569E-2</v>
      </c>
      <c r="CP198" s="101">
        <f t="shared" si="136"/>
        <v>1.4244174426111802E-3</v>
      </c>
      <c r="CQ198" s="100">
        <f t="shared" si="137"/>
        <v>6.7312680269276046E-3</v>
      </c>
      <c r="CR198" s="99">
        <f t="shared" si="138"/>
        <v>0.23632900169999327</v>
      </c>
      <c r="CS198" s="31">
        <v>1.5</v>
      </c>
      <c r="CT198" s="31">
        <v>1.5</v>
      </c>
      <c r="CU198" s="43">
        <v>0.125</v>
      </c>
      <c r="CV198" s="44">
        <v>0.4</v>
      </c>
      <c r="CW198" s="43">
        <v>2.1000000000000001E-2</v>
      </c>
      <c r="CX198" s="44">
        <v>0.15</v>
      </c>
    </row>
    <row r="199" spans="1:102" s="27" customFormat="1" x14ac:dyDescent="0.25">
      <c r="A199" s="31">
        <v>185</v>
      </c>
      <c r="B199" s="84" t="s">
        <v>91</v>
      </c>
      <c r="C199" s="19">
        <v>70</v>
      </c>
      <c r="D199" s="31" t="s">
        <v>36</v>
      </c>
      <c r="E199" s="31" t="s">
        <v>5</v>
      </c>
      <c r="F199" s="31" t="s">
        <v>71</v>
      </c>
      <c r="G199" s="31" t="str">
        <f t="shared" si="139"/>
        <v>Kommunal 70 M 4L Cm</v>
      </c>
      <c r="H199" s="48">
        <f t="shared" si="105"/>
        <v>0.15519281643782962</v>
      </c>
      <c r="I199" s="40">
        <f t="shared" si="106"/>
        <v>0.21345742974111792</v>
      </c>
      <c r="J199" s="99">
        <f t="shared" si="107"/>
        <v>4.3087525851088293E-3</v>
      </c>
      <c r="K199" s="48">
        <f t="shared" si="108"/>
        <v>6.3872395607598387E-2</v>
      </c>
      <c r="L199" s="48">
        <f t="shared" si="109"/>
        <v>0.14527628154841074</v>
      </c>
      <c r="M199" s="48">
        <f t="shared" si="140"/>
        <v>0.26854758705391368</v>
      </c>
      <c r="N199" s="99">
        <f t="shared" si="110"/>
        <v>8.2331287622533639E-3</v>
      </c>
      <c r="O199" s="48">
        <f t="shared" si="111"/>
        <v>4.0462236515563667E-2</v>
      </c>
      <c r="P199" s="48">
        <f t="shared" si="112"/>
        <v>9.5808593411397566E-2</v>
      </c>
      <c r="Q199" s="48">
        <f t="shared" si="113"/>
        <v>0.2179144223226161</v>
      </c>
      <c r="R199" s="40">
        <f t="shared" si="141"/>
        <v>1.8798331093773957</v>
      </c>
      <c r="S199" s="99">
        <f t="shared" si="114"/>
        <v>1.2349693143380046E-2</v>
      </c>
      <c r="T199" s="48">
        <f t="shared" si="115"/>
        <v>6.0693354773345497E-2</v>
      </c>
      <c r="U199" s="44">
        <v>11.660695200000001</v>
      </c>
      <c r="V199" s="19">
        <v>1.25</v>
      </c>
      <c r="W199" s="19">
        <v>0.55000000000000004</v>
      </c>
      <c r="X199" s="44">
        <v>1.4539396965137334</v>
      </c>
      <c r="Y199" s="46">
        <v>1.6656289741598842</v>
      </c>
      <c r="Z199" s="46">
        <v>30.729997087556342</v>
      </c>
      <c r="AA199" s="46">
        <v>67.604373938283771</v>
      </c>
      <c r="AB199" s="46">
        <v>1.4390243902439024</v>
      </c>
      <c r="AC199" s="125">
        <v>1</v>
      </c>
      <c r="AD199" s="94">
        <f t="shared" si="142"/>
        <v>0.1283532014290924</v>
      </c>
      <c r="AE199" s="94">
        <f t="shared" si="143"/>
        <v>0.1866178147323807</v>
      </c>
      <c r="AF199" s="96">
        <f t="shared" si="116"/>
        <v>3.1083603931265458E-3</v>
      </c>
      <c r="AG199" s="95">
        <f t="shared" si="156"/>
        <v>5.7347649032121882E-2</v>
      </c>
      <c r="AH199" s="94">
        <f t="shared" si="144"/>
        <v>0.12616180530713228</v>
      </c>
      <c r="AI199" s="94">
        <f t="shared" si="145"/>
        <v>0.26854758705391368</v>
      </c>
      <c r="AJ199" s="96">
        <f t="shared" si="117"/>
        <v>6.984886223405264E-3</v>
      </c>
      <c r="AK199" s="95">
        <f t="shared" si="118"/>
        <v>3.4866947452635084E-2</v>
      </c>
      <c r="AL199" s="95">
        <f t="shared" si="119"/>
        <v>8.602147354818282E-2</v>
      </c>
      <c r="AM199" s="94">
        <f t="shared" si="120"/>
        <v>0.18924270796069842</v>
      </c>
      <c r="AN199" s="93">
        <f t="shared" si="121"/>
        <v>1.8798331093773957</v>
      </c>
      <c r="AO199" s="96">
        <f t="shared" si="122"/>
        <v>1.0477329335107895E-2</v>
      </c>
      <c r="AP199" s="95">
        <f t="shared" si="123"/>
        <v>5.230042117895263E-2</v>
      </c>
      <c r="AQ199" s="93">
        <f t="shared" si="124"/>
        <v>0.32395626061716226</v>
      </c>
      <c r="AR199" s="31">
        <v>1.5</v>
      </c>
      <c r="AS199" s="31">
        <v>1.5</v>
      </c>
      <c r="AT199" s="31">
        <v>7</v>
      </c>
      <c r="AU199" s="43">
        <v>0.08</v>
      </c>
      <c r="AV199" s="44">
        <v>0.3</v>
      </c>
      <c r="AW199" s="43">
        <v>1.9E-2</v>
      </c>
      <c r="AX199" s="44">
        <v>0.14000000000000001</v>
      </c>
      <c r="AY199" s="44">
        <v>6.773431420152356</v>
      </c>
      <c r="AZ199" s="46">
        <v>0.5</v>
      </c>
      <c r="BA199" s="44">
        <v>0.72</v>
      </c>
      <c r="BB199" s="47">
        <v>1</v>
      </c>
      <c r="BC199" s="46">
        <v>11.280218363357534</v>
      </c>
      <c r="BD199" s="47">
        <v>47.541244098024215</v>
      </c>
      <c r="BE199" s="47">
        <v>41.178537538618251</v>
      </c>
      <c r="BF199" s="125">
        <v>1</v>
      </c>
      <c r="BG199" s="48">
        <f t="shared" si="146"/>
        <v>3.9278653529139715E-3</v>
      </c>
      <c r="BH199" s="48">
        <f t="shared" si="147"/>
        <v>3.9278653529139715E-3</v>
      </c>
      <c r="BI199" s="99">
        <f t="shared" si="148"/>
        <v>4.4307178882736005E-4</v>
      </c>
      <c r="BJ199" s="99">
        <f t="shared" si="149"/>
        <v>1.8673560552705515E-3</v>
      </c>
      <c r="BK199" s="48">
        <f t="shared" si="150"/>
        <v>1.61743750881606E-3</v>
      </c>
      <c r="BL199" s="99">
        <f t="shared" si="125"/>
        <v>2.9863091044064663E-4</v>
      </c>
      <c r="BM199" s="48">
        <f t="shared" si="126"/>
        <v>1.1077770449768438E-3</v>
      </c>
      <c r="BN199" s="48">
        <f t="shared" si="127"/>
        <v>2.8010340829058272E-3</v>
      </c>
      <c r="BO199" s="48">
        <f t="shared" si="128"/>
        <v>2.4261562632240902E-3</v>
      </c>
      <c r="BP199" s="99">
        <f t="shared" si="129"/>
        <v>4.4794636566096994E-4</v>
      </c>
      <c r="BQ199" s="48">
        <f t="shared" si="130"/>
        <v>1.6616655674652654E-3</v>
      </c>
      <c r="BR199" s="40">
        <f t="shared" si="131"/>
        <v>0.58821462461381757</v>
      </c>
      <c r="BS199" s="31">
        <v>1.5</v>
      </c>
      <c r="BT199" s="31">
        <v>1.5</v>
      </c>
      <c r="BU199" s="43">
        <v>0.14000000000000001</v>
      </c>
      <c r="BV199" s="44">
        <v>0.42</v>
      </c>
      <c r="BW199" s="43">
        <v>2.3E-2</v>
      </c>
      <c r="BX199" s="44">
        <v>0.2</v>
      </c>
      <c r="BY199" s="44">
        <v>17.442066059404368</v>
      </c>
      <c r="BZ199" s="44">
        <v>0.52</v>
      </c>
      <c r="CA199" s="44">
        <v>0.65</v>
      </c>
      <c r="CB199" s="47">
        <v>1</v>
      </c>
      <c r="CC199" s="46">
        <v>3.3053800540389702</v>
      </c>
      <c r="CD199" s="46">
        <v>20.327520115960358</v>
      </c>
      <c r="CE199" s="46">
        <v>76.367099830000683</v>
      </c>
      <c r="CF199" s="125">
        <v>1</v>
      </c>
      <c r="CG199" s="40">
        <f t="shared" si="151"/>
        <v>2.2911749655823248E-2</v>
      </c>
      <c r="CH199" s="40">
        <f t="shared" si="152"/>
        <v>2.2911749655823248E-2</v>
      </c>
      <c r="CI199" s="99">
        <f t="shared" si="153"/>
        <v>7.5732040315492396E-4</v>
      </c>
      <c r="CJ199" s="100">
        <f t="shared" si="154"/>
        <v>4.6573905202059486E-3</v>
      </c>
      <c r="CK199" s="100">
        <f t="shared" si="155"/>
        <v>1.7497038732462378E-2</v>
      </c>
      <c r="CL199" s="101">
        <f t="shared" si="132"/>
        <v>9.4961162840745362E-4</v>
      </c>
      <c r="CM199" s="100">
        <f t="shared" si="133"/>
        <v>4.4875120179517364E-3</v>
      </c>
      <c r="CN199" s="100">
        <f t="shared" si="134"/>
        <v>6.9860857803089229E-3</v>
      </c>
      <c r="CO199" s="100">
        <f t="shared" si="135"/>
        <v>2.6245558098693569E-2</v>
      </c>
      <c r="CP199" s="101">
        <f t="shared" si="136"/>
        <v>1.4244174426111802E-3</v>
      </c>
      <c r="CQ199" s="100">
        <f t="shared" si="137"/>
        <v>6.7312680269276046E-3</v>
      </c>
      <c r="CR199" s="99">
        <f t="shared" si="138"/>
        <v>0.23632900169999327</v>
      </c>
      <c r="CS199" s="31">
        <v>1.5</v>
      </c>
      <c r="CT199" s="31">
        <v>1.5</v>
      </c>
      <c r="CU199" s="43">
        <v>0.125</v>
      </c>
      <c r="CV199" s="44">
        <v>0.4</v>
      </c>
      <c r="CW199" s="43">
        <v>2.1000000000000001E-2</v>
      </c>
      <c r="CX199" s="44">
        <v>0.15</v>
      </c>
    </row>
    <row r="200" spans="1:102" s="27" customFormat="1" x14ac:dyDescent="0.25">
      <c r="A200" s="31">
        <v>186</v>
      </c>
      <c r="B200" s="84" t="s">
        <v>91</v>
      </c>
      <c r="C200" s="19">
        <v>70</v>
      </c>
      <c r="D200" s="31" t="s">
        <v>36</v>
      </c>
      <c r="E200" s="31" t="s">
        <v>5</v>
      </c>
      <c r="F200" s="19" t="s">
        <v>0</v>
      </c>
      <c r="G200" s="31" t="str">
        <f t="shared" si="139"/>
        <v>Kommunal 70 M 4L D</v>
      </c>
      <c r="H200" s="48">
        <f t="shared" si="105"/>
        <v>6.1590272856065539E-2</v>
      </c>
      <c r="I200" s="40">
        <f t="shared" si="106"/>
        <v>0.1089318506165798</v>
      </c>
      <c r="J200" s="99">
        <f t="shared" si="107"/>
        <v>1.200392191982284E-3</v>
      </c>
      <c r="K200" s="48">
        <f t="shared" si="108"/>
        <v>1.7725640174769304E-2</v>
      </c>
      <c r="L200" s="48">
        <f t="shared" si="109"/>
        <v>9.0005818249828215E-2</v>
      </c>
      <c r="M200" s="48">
        <f t="shared" si="140"/>
        <v>0.46518933511110794</v>
      </c>
      <c r="N200" s="99">
        <f t="shared" si="110"/>
        <v>3.4912495249539706E-3</v>
      </c>
      <c r="O200" s="48">
        <f t="shared" si="111"/>
        <v>1.8880345023913392E-2</v>
      </c>
      <c r="P200" s="48">
        <f t="shared" si="112"/>
        <v>2.658846026215396E-2</v>
      </c>
      <c r="Q200" s="48">
        <f t="shared" si="113"/>
        <v>0.13500872737474234</v>
      </c>
      <c r="R200" s="40">
        <f t="shared" si="141"/>
        <v>3.2563253457777557</v>
      </c>
      <c r="S200" s="99">
        <f t="shared" si="114"/>
        <v>5.2368742874309556E-3</v>
      </c>
      <c r="T200" s="48">
        <f t="shared" si="115"/>
        <v>2.8320517535870084E-2</v>
      </c>
      <c r="U200" s="44">
        <v>1.4358465000000005</v>
      </c>
      <c r="V200" s="44">
        <v>1.2</v>
      </c>
      <c r="W200" s="19">
        <v>0</v>
      </c>
      <c r="X200" s="44">
        <v>2.3623217715331379</v>
      </c>
      <c r="Y200" s="46">
        <v>0</v>
      </c>
      <c r="Z200" s="46">
        <v>13.644278921577744</v>
      </c>
      <c r="AA200" s="46">
        <v>86.355721078422263</v>
      </c>
      <c r="AB200" s="46">
        <v>5.6666666666666661</v>
      </c>
      <c r="AC200" s="125">
        <v>1</v>
      </c>
      <c r="AD200" s="94">
        <f t="shared" si="142"/>
        <v>3.4750657847328323E-2</v>
      </c>
      <c r="AE200" s="94">
        <f t="shared" si="143"/>
        <v>8.2092235607842581E-2</v>
      </c>
      <c r="AF200" s="96">
        <f t="shared" si="116"/>
        <v>0</v>
      </c>
      <c r="AG200" s="95">
        <f t="shared" si="156"/>
        <v>1.1200893599292805E-2</v>
      </c>
      <c r="AH200" s="94">
        <f t="shared" si="144"/>
        <v>7.0891342008549782E-2</v>
      </c>
      <c r="AI200" s="94">
        <f t="shared" si="145"/>
        <v>0.46518933511110794</v>
      </c>
      <c r="AJ200" s="96">
        <f t="shared" si="117"/>
        <v>2.2430069861058702E-3</v>
      </c>
      <c r="AK200" s="95">
        <f t="shared" si="118"/>
        <v>1.3285055960984811E-2</v>
      </c>
      <c r="AL200" s="95">
        <f t="shared" si="119"/>
        <v>1.6801340398939206E-2</v>
      </c>
      <c r="AM200" s="94">
        <f t="shared" si="120"/>
        <v>0.10633701301282467</v>
      </c>
      <c r="AN200" s="93">
        <f t="shared" si="121"/>
        <v>3.2563253457777557</v>
      </c>
      <c r="AO200" s="96">
        <f t="shared" si="122"/>
        <v>3.3645104791588053E-3</v>
      </c>
      <c r="AP200" s="95">
        <f t="shared" si="123"/>
        <v>1.9927583941477214E-2</v>
      </c>
      <c r="AQ200" s="93">
        <f t="shared" si="124"/>
        <v>0.13644278921577743</v>
      </c>
      <c r="AR200" s="31">
        <v>1.5</v>
      </c>
      <c r="AS200" s="31">
        <v>1.5</v>
      </c>
      <c r="AT200" s="31">
        <v>7</v>
      </c>
      <c r="AU200" s="43">
        <v>0.08</v>
      </c>
      <c r="AV200" s="44">
        <v>0.3</v>
      </c>
      <c r="AW200" s="43">
        <v>1.9E-2</v>
      </c>
      <c r="AX200" s="44">
        <v>0.14000000000000001</v>
      </c>
      <c r="AY200" s="44">
        <v>6.773431420152356</v>
      </c>
      <c r="AZ200" s="46">
        <v>0.5</v>
      </c>
      <c r="BA200" s="44">
        <v>0.72</v>
      </c>
      <c r="BB200" s="47">
        <v>1</v>
      </c>
      <c r="BC200" s="46">
        <v>11.280218363357534</v>
      </c>
      <c r="BD200" s="47">
        <v>47.541244098024215</v>
      </c>
      <c r="BE200" s="47">
        <v>41.178537538618251</v>
      </c>
      <c r="BF200" s="125">
        <v>1</v>
      </c>
      <c r="BG200" s="48">
        <f t="shared" si="146"/>
        <v>3.9278653529139715E-3</v>
      </c>
      <c r="BH200" s="48">
        <f t="shared" si="147"/>
        <v>3.9278653529139715E-3</v>
      </c>
      <c r="BI200" s="99">
        <f t="shared" si="148"/>
        <v>4.4307178882736005E-4</v>
      </c>
      <c r="BJ200" s="99">
        <f t="shared" si="149"/>
        <v>1.8673560552705515E-3</v>
      </c>
      <c r="BK200" s="48">
        <f t="shared" si="150"/>
        <v>1.61743750881606E-3</v>
      </c>
      <c r="BL200" s="99">
        <f t="shared" si="125"/>
        <v>2.9863091044064663E-4</v>
      </c>
      <c r="BM200" s="48">
        <f t="shared" si="126"/>
        <v>1.1077770449768438E-3</v>
      </c>
      <c r="BN200" s="48">
        <f t="shared" si="127"/>
        <v>2.8010340829058272E-3</v>
      </c>
      <c r="BO200" s="48">
        <f t="shared" si="128"/>
        <v>2.4261562632240902E-3</v>
      </c>
      <c r="BP200" s="99">
        <f t="shared" si="129"/>
        <v>4.4794636566096994E-4</v>
      </c>
      <c r="BQ200" s="48">
        <f t="shared" si="130"/>
        <v>1.6616655674652654E-3</v>
      </c>
      <c r="BR200" s="40">
        <f t="shared" si="131"/>
        <v>0.58821462461381757</v>
      </c>
      <c r="BS200" s="31">
        <v>1.5</v>
      </c>
      <c r="BT200" s="31">
        <v>1.5</v>
      </c>
      <c r="BU200" s="43">
        <v>0.14000000000000001</v>
      </c>
      <c r="BV200" s="44">
        <v>0.42</v>
      </c>
      <c r="BW200" s="43">
        <v>2.3E-2</v>
      </c>
      <c r="BX200" s="44">
        <v>0.2</v>
      </c>
      <c r="BY200" s="44">
        <v>17.442066059404368</v>
      </c>
      <c r="BZ200" s="44">
        <v>0.52</v>
      </c>
      <c r="CA200" s="44">
        <v>0.65</v>
      </c>
      <c r="CB200" s="47">
        <v>1</v>
      </c>
      <c r="CC200" s="46">
        <v>3.3053800540389702</v>
      </c>
      <c r="CD200" s="46">
        <v>20.327520115960358</v>
      </c>
      <c r="CE200" s="46">
        <v>76.367099830000683</v>
      </c>
      <c r="CF200" s="125">
        <v>1</v>
      </c>
      <c r="CG200" s="40">
        <f t="shared" si="151"/>
        <v>2.2911749655823248E-2</v>
      </c>
      <c r="CH200" s="40">
        <f t="shared" si="152"/>
        <v>2.2911749655823248E-2</v>
      </c>
      <c r="CI200" s="99">
        <f t="shared" si="153"/>
        <v>7.5732040315492396E-4</v>
      </c>
      <c r="CJ200" s="100">
        <f t="shared" si="154"/>
        <v>4.6573905202059486E-3</v>
      </c>
      <c r="CK200" s="100">
        <f t="shared" si="155"/>
        <v>1.7497038732462378E-2</v>
      </c>
      <c r="CL200" s="101">
        <f t="shared" si="132"/>
        <v>9.4961162840745362E-4</v>
      </c>
      <c r="CM200" s="100">
        <f t="shared" si="133"/>
        <v>4.4875120179517364E-3</v>
      </c>
      <c r="CN200" s="100">
        <f t="shared" si="134"/>
        <v>6.9860857803089229E-3</v>
      </c>
      <c r="CO200" s="100">
        <f t="shared" si="135"/>
        <v>2.6245558098693569E-2</v>
      </c>
      <c r="CP200" s="101">
        <f t="shared" si="136"/>
        <v>1.4244174426111802E-3</v>
      </c>
      <c r="CQ200" s="100">
        <f t="shared" si="137"/>
        <v>6.7312680269276046E-3</v>
      </c>
      <c r="CR200" s="99">
        <f t="shared" si="138"/>
        <v>0.23632900169999327</v>
      </c>
      <c r="CS200" s="31">
        <v>1.5</v>
      </c>
      <c r="CT200" s="31">
        <v>1.5</v>
      </c>
      <c r="CU200" s="43">
        <v>0.125</v>
      </c>
      <c r="CV200" s="44">
        <v>0.4</v>
      </c>
      <c r="CW200" s="43">
        <v>2.1000000000000001E-2</v>
      </c>
      <c r="CX200" s="44">
        <v>0.15</v>
      </c>
    </row>
    <row r="201" spans="1:102" s="27" customFormat="1" x14ac:dyDescent="0.25">
      <c r="A201" s="31">
        <v>187</v>
      </c>
      <c r="B201" s="84" t="s">
        <v>91</v>
      </c>
      <c r="C201" s="19">
        <v>70</v>
      </c>
      <c r="D201" s="31" t="s">
        <v>36</v>
      </c>
      <c r="E201" s="31" t="s">
        <v>5</v>
      </c>
      <c r="F201" s="19" t="s">
        <v>62</v>
      </c>
      <c r="G201" s="31" t="str">
        <f t="shared" si="139"/>
        <v>Kommunal 70 M 4L EE</v>
      </c>
      <c r="H201" s="48">
        <f t="shared" si="105"/>
        <v>0.24004474432256867</v>
      </c>
      <c r="I201" s="40">
        <f t="shared" si="106"/>
        <v>0.3368270160184606</v>
      </c>
      <c r="J201" s="99">
        <f t="shared" si="107"/>
        <v>6.3636321594454266E-3</v>
      </c>
      <c r="K201" s="48">
        <f t="shared" si="108"/>
        <v>0.10178386587755611</v>
      </c>
      <c r="L201" s="48">
        <f t="shared" si="109"/>
        <v>0.22867951798145908</v>
      </c>
      <c r="M201" s="48">
        <f t="shared" si="140"/>
        <v>0.44607943072130923</v>
      </c>
      <c r="N201" s="99">
        <f t="shared" si="110"/>
        <v>1.2850707876077902E-2</v>
      </c>
      <c r="O201" s="48">
        <f t="shared" si="111"/>
        <v>6.351213069717776E-2</v>
      </c>
      <c r="P201" s="48">
        <f t="shared" si="112"/>
        <v>0.15267579881633417</v>
      </c>
      <c r="Q201" s="48">
        <f t="shared" si="113"/>
        <v>0.34301927697218854</v>
      </c>
      <c r="R201" s="40">
        <f t="shared" si="141"/>
        <v>3.1225560150491645</v>
      </c>
      <c r="S201" s="99">
        <f t="shared" si="114"/>
        <v>1.9276061814116854E-2</v>
      </c>
      <c r="T201" s="48">
        <f t="shared" si="115"/>
        <v>9.5268196045766612E-2</v>
      </c>
      <c r="U201" s="44">
        <v>13.670712000000007</v>
      </c>
      <c r="V201" s="44">
        <v>1.2</v>
      </c>
      <c r="W201" s="19">
        <v>0.2</v>
      </c>
      <c r="X201" s="44">
        <v>1.4539396965137334</v>
      </c>
      <c r="Y201" s="46">
        <v>1.6656289741598842</v>
      </c>
      <c r="Z201" s="46">
        <v>30.729997087556349</v>
      </c>
      <c r="AA201" s="46">
        <v>67.604373938283757</v>
      </c>
      <c r="AB201" s="46">
        <v>1.4390243902439024</v>
      </c>
      <c r="AC201" s="125">
        <v>1</v>
      </c>
      <c r="AD201" s="94">
        <f t="shared" si="142"/>
        <v>0.21320512931383145</v>
      </c>
      <c r="AE201" s="94">
        <f t="shared" si="143"/>
        <v>0.30998740100972338</v>
      </c>
      <c r="AF201" s="96">
        <f t="shared" si="116"/>
        <v>5.1632399674631426E-3</v>
      </c>
      <c r="AG201" s="95">
        <f t="shared" si="156"/>
        <v>9.5259119302079615E-2</v>
      </c>
      <c r="AH201" s="94">
        <f t="shared" si="144"/>
        <v>0.20956504174018062</v>
      </c>
      <c r="AI201" s="94">
        <f t="shared" si="145"/>
        <v>0.44607943072130923</v>
      </c>
      <c r="AJ201" s="96">
        <f t="shared" si="117"/>
        <v>1.1602465337229802E-2</v>
      </c>
      <c r="AK201" s="95">
        <f t="shared" si="118"/>
        <v>5.7916841634249171E-2</v>
      </c>
      <c r="AL201" s="95">
        <f t="shared" si="119"/>
        <v>0.14288867895311941</v>
      </c>
      <c r="AM201" s="94">
        <f t="shared" si="120"/>
        <v>0.31434756261027091</v>
      </c>
      <c r="AN201" s="93">
        <f t="shared" si="121"/>
        <v>3.1225560150491645</v>
      </c>
      <c r="AO201" s="96">
        <f t="shared" si="122"/>
        <v>1.7403698005844702E-2</v>
      </c>
      <c r="AP201" s="95">
        <f t="shared" si="123"/>
        <v>8.6875262451373753E-2</v>
      </c>
      <c r="AQ201" s="93">
        <f t="shared" si="124"/>
        <v>0.32395626061716232</v>
      </c>
      <c r="AR201" s="31">
        <v>1.5</v>
      </c>
      <c r="AS201" s="31">
        <v>1.5</v>
      </c>
      <c r="AT201" s="31">
        <v>7</v>
      </c>
      <c r="AU201" s="43">
        <v>0.08</v>
      </c>
      <c r="AV201" s="44">
        <v>0.3</v>
      </c>
      <c r="AW201" s="43">
        <v>1.9E-2</v>
      </c>
      <c r="AX201" s="44">
        <v>0.14000000000000001</v>
      </c>
      <c r="AY201" s="44">
        <v>6.773431420152356</v>
      </c>
      <c r="AZ201" s="46">
        <v>0.5</v>
      </c>
      <c r="BA201" s="44">
        <v>0.72</v>
      </c>
      <c r="BB201" s="47">
        <v>1</v>
      </c>
      <c r="BC201" s="46">
        <v>11.280218363357534</v>
      </c>
      <c r="BD201" s="47">
        <v>47.541244098024215</v>
      </c>
      <c r="BE201" s="47">
        <v>41.178537538618251</v>
      </c>
      <c r="BF201" s="125">
        <v>1</v>
      </c>
      <c r="BG201" s="48">
        <f t="shared" si="146"/>
        <v>3.9278653529139715E-3</v>
      </c>
      <c r="BH201" s="48">
        <f t="shared" si="147"/>
        <v>3.9278653529139715E-3</v>
      </c>
      <c r="BI201" s="99">
        <f t="shared" si="148"/>
        <v>4.4307178882736005E-4</v>
      </c>
      <c r="BJ201" s="99">
        <f t="shared" si="149"/>
        <v>1.8673560552705515E-3</v>
      </c>
      <c r="BK201" s="48">
        <f t="shared" si="150"/>
        <v>1.61743750881606E-3</v>
      </c>
      <c r="BL201" s="99">
        <f t="shared" si="125"/>
        <v>2.9863091044064663E-4</v>
      </c>
      <c r="BM201" s="48">
        <f t="shared" si="126"/>
        <v>1.1077770449768438E-3</v>
      </c>
      <c r="BN201" s="48">
        <f t="shared" si="127"/>
        <v>2.8010340829058272E-3</v>
      </c>
      <c r="BO201" s="48">
        <f t="shared" si="128"/>
        <v>2.4261562632240902E-3</v>
      </c>
      <c r="BP201" s="99">
        <f t="shared" si="129"/>
        <v>4.4794636566096994E-4</v>
      </c>
      <c r="BQ201" s="48">
        <f t="shared" si="130"/>
        <v>1.6616655674652654E-3</v>
      </c>
      <c r="BR201" s="40">
        <f t="shared" si="131"/>
        <v>0.58821462461381757</v>
      </c>
      <c r="BS201" s="31">
        <v>1.5</v>
      </c>
      <c r="BT201" s="31">
        <v>1.5</v>
      </c>
      <c r="BU201" s="43">
        <v>0.14000000000000001</v>
      </c>
      <c r="BV201" s="44">
        <v>0.42</v>
      </c>
      <c r="BW201" s="43">
        <v>2.3E-2</v>
      </c>
      <c r="BX201" s="44">
        <v>0.2</v>
      </c>
      <c r="BY201" s="44">
        <v>17.442066059404368</v>
      </c>
      <c r="BZ201" s="44">
        <v>0.52</v>
      </c>
      <c r="CA201" s="44">
        <v>0.65</v>
      </c>
      <c r="CB201" s="47">
        <v>1</v>
      </c>
      <c r="CC201" s="46">
        <v>3.3053800540389702</v>
      </c>
      <c r="CD201" s="46">
        <v>20.327520115960358</v>
      </c>
      <c r="CE201" s="46">
        <v>76.367099830000683</v>
      </c>
      <c r="CF201" s="125">
        <v>1</v>
      </c>
      <c r="CG201" s="40">
        <f t="shared" si="151"/>
        <v>2.2911749655823248E-2</v>
      </c>
      <c r="CH201" s="40">
        <f t="shared" si="152"/>
        <v>2.2911749655823248E-2</v>
      </c>
      <c r="CI201" s="99">
        <f t="shared" si="153"/>
        <v>7.5732040315492396E-4</v>
      </c>
      <c r="CJ201" s="100">
        <f t="shared" si="154"/>
        <v>4.6573905202059486E-3</v>
      </c>
      <c r="CK201" s="100">
        <f t="shared" si="155"/>
        <v>1.7497038732462378E-2</v>
      </c>
      <c r="CL201" s="101">
        <f t="shared" si="132"/>
        <v>9.4961162840745362E-4</v>
      </c>
      <c r="CM201" s="100">
        <f t="shared" si="133"/>
        <v>4.4875120179517364E-3</v>
      </c>
      <c r="CN201" s="100">
        <f t="shared" si="134"/>
        <v>6.9860857803089229E-3</v>
      </c>
      <c r="CO201" s="100">
        <f t="shared" si="135"/>
        <v>2.6245558098693569E-2</v>
      </c>
      <c r="CP201" s="101">
        <f t="shared" si="136"/>
        <v>1.4244174426111802E-3</v>
      </c>
      <c r="CQ201" s="100">
        <f t="shared" si="137"/>
        <v>6.7312680269276046E-3</v>
      </c>
      <c r="CR201" s="99">
        <f t="shared" si="138"/>
        <v>0.23632900169999327</v>
      </c>
      <c r="CS201" s="31">
        <v>1.5</v>
      </c>
      <c r="CT201" s="31">
        <v>1.5</v>
      </c>
      <c r="CU201" s="43">
        <v>0.125</v>
      </c>
      <c r="CV201" s="44">
        <v>0.4</v>
      </c>
      <c r="CW201" s="43">
        <v>2.1000000000000001E-2</v>
      </c>
      <c r="CX201" s="44">
        <v>0.15</v>
      </c>
    </row>
    <row r="202" spans="1:102" s="27" customFormat="1" x14ac:dyDescent="0.25">
      <c r="A202" s="31">
        <v>188</v>
      </c>
      <c r="B202" s="84" t="s">
        <v>91</v>
      </c>
      <c r="C202" s="19">
        <v>70</v>
      </c>
      <c r="D202" s="31" t="s">
        <v>36</v>
      </c>
      <c r="E202" s="31" t="s">
        <v>5</v>
      </c>
      <c r="F202" s="19" t="s">
        <v>63</v>
      </c>
      <c r="G202" s="31" t="str">
        <f t="shared" si="139"/>
        <v>Kommunal 70 M 4L ES</v>
      </c>
      <c r="H202" s="48">
        <f t="shared" si="105"/>
        <v>0.14289751403154932</v>
      </c>
      <c r="I202" s="40">
        <f t="shared" si="106"/>
        <v>0.20317786259137269</v>
      </c>
      <c r="J202" s="99">
        <f t="shared" si="107"/>
        <v>2.6424280268917276E-3</v>
      </c>
      <c r="K202" s="48">
        <f t="shared" si="108"/>
        <v>3.5548185241081796E-2</v>
      </c>
      <c r="L202" s="48">
        <f t="shared" si="109"/>
        <v>0.16498724932339917</v>
      </c>
      <c r="M202" s="48">
        <f t="shared" si="140"/>
        <v>0.43172467511610751</v>
      </c>
      <c r="N202" s="99">
        <f t="shared" si="110"/>
        <v>6.3417003206568175E-3</v>
      </c>
      <c r="O202" s="48">
        <f t="shared" si="111"/>
        <v>3.4724508894107067E-2</v>
      </c>
      <c r="P202" s="48">
        <f t="shared" si="112"/>
        <v>5.3322277861622698E-2</v>
      </c>
      <c r="Q202" s="48">
        <f t="shared" si="113"/>
        <v>0.24748087398509871</v>
      </c>
      <c r="R202" s="40">
        <f t="shared" si="141"/>
        <v>3.0220727258127527</v>
      </c>
      <c r="S202" s="99">
        <f t="shared" si="114"/>
        <v>9.5125504809852254E-3</v>
      </c>
      <c r="T202" s="48">
        <f t="shared" si="115"/>
        <v>5.2086763341160601E-2</v>
      </c>
      <c r="U202" s="44">
        <v>7.4416320000000029</v>
      </c>
      <c r="V202" s="44">
        <v>1.2</v>
      </c>
      <c r="W202" s="19">
        <v>0.2</v>
      </c>
      <c r="X202" s="44">
        <v>1.5193989299080346</v>
      </c>
      <c r="Y202" s="46">
        <v>0.81776690801788654</v>
      </c>
      <c r="Z202" s="46">
        <v>16.458958316461867</v>
      </c>
      <c r="AA202" s="46">
        <v>82.723274775520238</v>
      </c>
      <c r="AB202" s="46">
        <v>2.4482758620689653</v>
      </c>
      <c r="AC202" s="125">
        <v>1</v>
      </c>
      <c r="AD202" s="94">
        <f t="shared" si="142"/>
        <v>0.11605789902281212</v>
      </c>
      <c r="AE202" s="94">
        <f t="shared" si="143"/>
        <v>0.17633824758263547</v>
      </c>
      <c r="AF202" s="96">
        <f t="shared" si="116"/>
        <v>1.4420358349094436E-3</v>
      </c>
      <c r="AG202" s="95">
        <f t="shared" si="156"/>
        <v>2.9023438665605295E-2</v>
      </c>
      <c r="AH202" s="94">
        <f t="shared" si="144"/>
        <v>0.14587277308212071</v>
      </c>
      <c r="AI202" s="94">
        <f t="shared" si="145"/>
        <v>0.43172467511610751</v>
      </c>
      <c r="AJ202" s="96">
        <f t="shared" si="117"/>
        <v>5.0934577818087167E-3</v>
      </c>
      <c r="AK202" s="95">
        <f t="shared" si="118"/>
        <v>2.9129219831178492E-2</v>
      </c>
      <c r="AL202" s="95">
        <f t="shared" si="119"/>
        <v>4.3535157998407945E-2</v>
      </c>
      <c r="AM202" s="94">
        <f t="shared" si="120"/>
        <v>0.21880915962318107</v>
      </c>
      <c r="AN202" s="93">
        <f t="shared" si="121"/>
        <v>3.0220727258127527</v>
      </c>
      <c r="AO202" s="96">
        <f t="shared" si="122"/>
        <v>7.6401866727130755E-3</v>
      </c>
      <c r="AP202" s="95">
        <f t="shared" si="123"/>
        <v>4.3693829746767734E-2</v>
      </c>
      <c r="AQ202" s="93">
        <f t="shared" si="124"/>
        <v>0.17276725224479753</v>
      </c>
      <c r="AR202" s="31">
        <v>1.5</v>
      </c>
      <c r="AS202" s="31">
        <v>1.5</v>
      </c>
      <c r="AT202" s="31">
        <v>7</v>
      </c>
      <c r="AU202" s="43">
        <v>0.08</v>
      </c>
      <c r="AV202" s="44">
        <v>0.3</v>
      </c>
      <c r="AW202" s="43">
        <v>1.9E-2</v>
      </c>
      <c r="AX202" s="44">
        <v>0.14000000000000001</v>
      </c>
      <c r="AY202" s="44">
        <v>6.7734314201523551</v>
      </c>
      <c r="AZ202" s="46">
        <v>0.5</v>
      </c>
      <c r="BA202" s="44">
        <v>0.72</v>
      </c>
      <c r="BB202" s="47">
        <v>1</v>
      </c>
      <c r="BC202" s="46">
        <v>11.280218363357534</v>
      </c>
      <c r="BD202" s="47">
        <v>47.541244098024222</v>
      </c>
      <c r="BE202" s="47">
        <v>41.178537538618244</v>
      </c>
      <c r="BF202" s="125">
        <v>1</v>
      </c>
      <c r="BG202" s="48">
        <f t="shared" si="146"/>
        <v>3.9278653529139706E-3</v>
      </c>
      <c r="BH202" s="48">
        <f t="shared" si="147"/>
        <v>3.9278653529139706E-3</v>
      </c>
      <c r="BI202" s="99">
        <f t="shared" si="148"/>
        <v>4.4307178882735989E-4</v>
      </c>
      <c r="BJ202" s="99">
        <f t="shared" si="149"/>
        <v>1.8673560552705515E-3</v>
      </c>
      <c r="BK202" s="48">
        <f t="shared" si="150"/>
        <v>1.6174375088160594E-3</v>
      </c>
      <c r="BL202" s="99">
        <f t="shared" si="125"/>
        <v>2.9863091044064657E-4</v>
      </c>
      <c r="BM202" s="48">
        <f t="shared" si="126"/>
        <v>1.1077770449768435E-3</v>
      </c>
      <c r="BN202" s="48">
        <f t="shared" si="127"/>
        <v>2.8010340829058272E-3</v>
      </c>
      <c r="BO202" s="48">
        <f t="shared" si="128"/>
        <v>2.4261562632240889E-3</v>
      </c>
      <c r="BP202" s="99">
        <f t="shared" si="129"/>
        <v>4.4794636566096988E-4</v>
      </c>
      <c r="BQ202" s="48">
        <f t="shared" si="130"/>
        <v>1.6616655674652652E-3</v>
      </c>
      <c r="BR202" s="40">
        <f t="shared" si="131"/>
        <v>0.58821462461381757</v>
      </c>
      <c r="BS202" s="31">
        <v>1.5</v>
      </c>
      <c r="BT202" s="31">
        <v>1.5</v>
      </c>
      <c r="BU202" s="43">
        <v>0.14000000000000001</v>
      </c>
      <c r="BV202" s="44">
        <v>0.42</v>
      </c>
      <c r="BW202" s="43">
        <v>2.3E-2</v>
      </c>
      <c r="BX202" s="44">
        <v>0.2</v>
      </c>
      <c r="BY202" s="44">
        <v>17.442066059404368</v>
      </c>
      <c r="BZ202" s="44">
        <v>0.52</v>
      </c>
      <c r="CA202" s="44">
        <v>0.65</v>
      </c>
      <c r="CB202" s="47">
        <v>1</v>
      </c>
      <c r="CC202" s="46">
        <v>3.3053800540389702</v>
      </c>
      <c r="CD202" s="46">
        <v>20.327520115960358</v>
      </c>
      <c r="CE202" s="46">
        <v>76.367099830000683</v>
      </c>
      <c r="CF202" s="125">
        <v>1</v>
      </c>
      <c r="CG202" s="40">
        <f t="shared" si="151"/>
        <v>2.2911749655823248E-2</v>
      </c>
      <c r="CH202" s="40">
        <f t="shared" si="152"/>
        <v>2.2911749655823248E-2</v>
      </c>
      <c r="CI202" s="99">
        <f t="shared" si="153"/>
        <v>7.5732040315492396E-4</v>
      </c>
      <c r="CJ202" s="100">
        <f t="shared" si="154"/>
        <v>4.6573905202059486E-3</v>
      </c>
      <c r="CK202" s="100">
        <f t="shared" si="155"/>
        <v>1.7497038732462378E-2</v>
      </c>
      <c r="CL202" s="101">
        <f t="shared" si="132"/>
        <v>9.4961162840745362E-4</v>
      </c>
      <c r="CM202" s="100">
        <f t="shared" si="133"/>
        <v>4.4875120179517364E-3</v>
      </c>
      <c r="CN202" s="100">
        <f t="shared" si="134"/>
        <v>6.9860857803089229E-3</v>
      </c>
      <c r="CO202" s="100">
        <f t="shared" si="135"/>
        <v>2.6245558098693569E-2</v>
      </c>
      <c r="CP202" s="101">
        <f t="shared" si="136"/>
        <v>1.4244174426111802E-3</v>
      </c>
      <c r="CQ202" s="100">
        <f t="shared" si="137"/>
        <v>6.7312680269276046E-3</v>
      </c>
      <c r="CR202" s="99">
        <f t="shared" si="138"/>
        <v>0.23632900169999327</v>
      </c>
      <c r="CS202" s="31">
        <v>1.5</v>
      </c>
      <c r="CT202" s="31">
        <v>1.5</v>
      </c>
      <c r="CU202" s="43">
        <v>0.125</v>
      </c>
      <c r="CV202" s="44">
        <v>0.4</v>
      </c>
      <c r="CW202" s="43">
        <v>2.1000000000000001E-2</v>
      </c>
      <c r="CX202" s="44">
        <v>0.15</v>
      </c>
    </row>
    <row r="203" spans="1:102" s="27" customFormat="1" x14ac:dyDescent="0.25">
      <c r="A203" s="31">
        <v>189</v>
      </c>
      <c r="B203" s="84" t="s">
        <v>91</v>
      </c>
      <c r="C203" s="19">
        <v>70</v>
      </c>
      <c r="D203" s="31" t="s">
        <v>36</v>
      </c>
      <c r="E203" s="31" t="s">
        <v>5</v>
      </c>
      <c r="F203" s="19" t="s">
        <v>64</v>
      </c>
      <c r="G203" s="31" t="str">
        <f t="shared" si="139"/>
        <v>Kommunal 70 M 4L F</v>
      </c>
      <c r="H203" s="48">
        <f t="shared" si="105"/>
        <v>4.8451108029613041E-2</v>
      </c>
      <c r="I203" s="40">
        <f t="shared" si="106"/>
        <v>5.9604550004185117E-2</v>
      </c>
      <c r="J203" s="99">
        <f t="shared" si="107"/>
        <v>1.4686196919563319E-3</v>
      </c>
      <c r="K203" s="48">
        <f t="shared" si="108"/>
        <v>1.222320272506432E-2</v>
      </c>
      <c r="L203" s="48">
        <f t="shared" si="109"/>
        <v>4.5912727587164456E-2</v>
      </c>
      <c r="M203" s="48">
        <f t="shared" si="140"/>
        <v>0.1310597399817916</v>
      </c>
      <c r="N203" s="99">
        <f t="shared" si="110"/>
        <v>2.2132858063869604E-3</v>
      </c>
      <c r="O203" s="48">
        <f t="shared" si="111"/>
        <v>1.1056581096228969E-2</v>
      </c>
      <c r="P203" s="48">
        <f t="shared" si="112"/>
        <v>1.8334804087596482E-2</v>
      </c>
      <c r="Q203" s="48">
        <f t="shared" si="113"/>
        <v>6.8869091380746691E-2</v>
      </c>
      <c r="R203" s="40">
        <f t="shared" si="141"/>
        <v>0.91741817987254115</v>
      </c>
      <c r="S203" s="99">
        <f t="shared" si="114"/>
        <v>3.3199287095804402E-3</v>
      </c>
      <c r="T203" s="48">
        <f t="shared" si="115"/>
        <v>1.6584871644343455E-2</v>
      </c>
      <c r="U203" s="44">
        <v>1.5760799999999999</v>
      </c>
      <c r="V203" s="19">
        <v>1.25</v>
      </c>
      <c r="W203" s="19">
        <v>0.45</v>
      </c>
      <c r="X203" s="44">
        <v>1.516088451815814</v>
      </c>
      <c r="Y203" s="46">
        <v>0.81864194148809843</v>
      </c>
      <c r="Z203" s="46">
        <v>17.391934854683893</v>
      </c>
      <c r="AA203" s="46">
        <v>81.789423203828008</v>
      </c>
      <c r="AB203" s="46">
        <v>4.0000000000000009</v>
      </c>
      <c r="AC203" s="125">
        <v>1</v>
      </c>
      <c r="AD203" s="94">
        <f t="shared" si="142"/>
        <v>2.1611493020875821E-2</v>
      </c>
      <c r="AE203" s="94">
        <f t="shared" si="143"/>
        <v>3.2764934995447893E-2</v>
      </c>
      <c r="AF203" s="96">
        <f t="shared" si="116"/>
        <v>2.6822749997404806E-4</v>
      </c>
      <c r="AG203" s="95">
        <f t="shared" si="156"/>
        <v>5.6984561495878223E-3</v>
      </c>
      <c r="AH203" s="94">
        <f t="shared" si="144"/>
        <v>2.6798251345886023E-2</v>
      </c>
      <c r="AI203" s="94">
        <f t="shared" si="145"/>
        <v>0.1310597399817916</v>
      </c>
      <c r="AJ203" s="96">
        <f t="shared" si="117"/>
        <v>9.6504326753886027E-4</v>
      </c>
      <c r="AK203" s="95">
        <f t="shared" si="118"/>
        <v>5.4612920333003898E-3</v>
      </c>
      <c r="AL203" s="95">
        <f t="shared" si="119"/>
        <v>8.5476842243817335E-3</v>
      </c>
      <c r="AM203" s="94">
        <f t="shared" si="120"/>
        <v>4.0197377018829035E-2</v>
      </c>
      <c r="AN203" s="93">
        <f t="shared" si="121"/>
        <v>0.91741817987254115</v>
      </c>
      <c r="AO203" s="96">
        <f t="shared" si="122"/>
        <v>1.4475649013082903E-3</v>
      </c>
      <c r="AP203" s="95">
        <f t="shared" si="123"/>
        <v>8.1919380499505864E-3</v>
      </c>
      <c r="AQ203" s="93">
        <f t="shared" si="124"/>
        <v>0.1821057679617199</v>
      </c>
      <c r="AR203" s="31">
        <v>1.5</v>
      </c>
      <c r="AS203" s="31">
        <v>1.5</v>
      </c>
      <c r="AT203" s="31">
        <v>7</v>
      </c>
      <c r="AU203" s="43">
        <v>0.08</v>
      </c>
      <c r="AV203" s="44">
        <v>0.3</v>
      </c>
      <c r="AW203" s="43">
        <v>1.9E-2</v>
      </c>
      <c r="AX203" s="44">
        <v>0.14000000000000001</v>
      </c>
      <c r="AY203" s="44">
        <v>6.7734314201523542</v>
      </c>
      <c r="AZ203" s="46">
        <v>0.5</v>
      </c>
      <c r="BA203" s="44">
        <v>0.72</v>
      </c>
      <c r="BB203" s="47">
        <v>1</v>
      </c>
      <c r="BC203" s="46">
        <v>11.280218363357537</v>
      </c>
      <c r="BD203" s="47">
        <v>47.541244098024222</v>
      </c>
      <c r="BE203" s="47">
        <v>41.178537538618251</v>
      </c>
      <c r="BF203" s="125">
        <v>1</v>
      </c>
      <c r="BG203" s="48">
        <f t="shared" si="146"/>
        <v>3.9278653529139698E-3</v>
      </c>
      <c r="BH203" s="48">
        <f t="shared" si="147"/>
        <v>3.9278653529139698E-3</v>
      </c>
      <c r="BI203" s="99">
        <f t="shared" si="148"/>
        <v>4.4307178882736E-4</v>
      </c>
      <c r="BJ203" s="99">
        <f t="shared" si="149"/>
        <v>1.8673560552705509E-3</v>
      </c>
      <c r="BK203" s="48">
        <f t="shared" si="150"/>
        <v>1.6174375088160592E-3</v>
      </c>
      <c r="BL203" s="99">
        <f t="shared" si="125"/>
        <v>2.9863091044064652E-4</v>
      </c>
      <c r="BM203" s="48">
        <f t="shared" si="126"/>
        <v>1.1077770449768433E-3</v>
      </c>
      <c r="BN203" s="48">
        <f t="shared" si="127"/>
        <v>2.8010340829058263E-3</v>
      </c>
      <c r="BO203" s="48">
        <f t="shared" si="128"/>
        <v>2.4261562632240889E-3</v>
      </c>
      <c r="BP203" s="99">
        <f t="shared" si="129"/>
        <v>4.4794636566096972E-4</v>
      </c>
      <c r="BQ203" s="48">
        <f t="shared" si="130"/>
        <v>1.6616655674652648E-3</v>
      </c>
      <c r="BR203" s="40">
        <f t="shared" si="131"/>
        <v>0.58821462461381757</v>
      </c>
      <c r="BS203" s="31">
        <v>1.5</v>
      </c>
      <c r="BT203" s="31">
        <v>1.5</v>
      </c>
      <c r="BU203" s="43">
        <v>0.14000000000000001</v>
      </c>
      <c r="BV203" s="44">
        <v>0.42</v>
      </c>
      <c r="BW203" s="43">
        <v>2.3E-2</v>
      </c>
      <c r="BX203" s="44">
        <v>0.2</v>
      </c>
      <c r="BY203" s="44">
        <v>17.442066059404368</v>
      </c>
      <c r="BZ203" s="44">
        <v>0.52</v>
      </c>
      <c r="CA203" s="44">
        <v>0.65</v>
      </c>
      <c r="CB203" s="47">
        <v>1</v>
      </c>
      <c r="CC203" s="46">
        <v>3.3053800540389693</v>
      </c>
      <c r="CD203" s="46">
        <v>20.327520115960354</v>
      </c>
      <c r="CE203" s="46">
        <v>76.367099830000683</v>
      </c>
      <c r="CF203" s="125">
        <v>1</v>
      </c>
      <c r="CG203" s="40">
        <f t="shared" si="151"/>
        <v>2.2911749655823248E-2</v>
      </c>
      <c r="CH203" s="40">
        <f t="shared" si="152"/>
        <v>2.2911749655823248E-2</v>
      </c>
      <c r="CI203" s="99">
        <f t="shared" si="153"/>
        <v>7.5732040315492385E-4</v>
      </c>
      <c r="CJ203" s="100">
        <f t="shared" si="154"/>
        <v>4.6573905202059477E-3</v>
      </c>
      <c r="CK203" s="100">
        <f t="shared" si="155"/>
        <v>1.7497038732462378E-2</v>
      </c>
      <c r="CL203" s="101">
        <f t="shared" si="132"/>
        <v>9.4961162840745341E-4</v>
      </c>
      <c r="CM203" s="100">
        <f t="shared" si="133"/>
        <v>4.4875120179517364E-3</v>
      </c>
      <c r="CN203" s="100">
        <f t="shared" si="134"/>
        <v>6.9860857803089212E-3</v>
      </c>
      <c r="CO203" s="100">
        <f t="shared" si="135"/>
        <v>2.6245558098693569E-2</v>
      </c>
      <c r="CP203" s="101">
        <f t="shared" si="136"/>
        <v>1.4244174426111802E-3</v>
      </c>
      <c r="CQ203" s="100">
        <f t="shared" si="137"/>
        <v>6.7312680269276037E-3</v>
      </c>
      <c r="CR203" s="99">
        <f t="shared" si="138"/>
        <v>0.23632900169999324</v>
      </c>
      <c r="CS203" s="31">
        <v>1.5</v>
      </c>
      <c r="CT203" s="31">
        <v>1.5</v>
      </c>
      <c r="CU203" s="43">
        <v>0.125</v>
      </c>
      <c r="CV203" s="44">
        <v>0.4</v>
      </c>
      <c r="CW203" s="43">
        <v>2.1000000000000001E-2</v>
      </c>
      <c r="CX203" s="44">
        <v>0.15</v>
      </c>
    </row>
    <row r="204" spans="1:102" s="27" customFormat="1" x14ac:dyDescent="0.25">
      <c r="A204" s="31">
        <v>190</v>
      </c>
      <c r="B204" s="84" t="s">
        <v>91</v>
      </c>
      <c r="C204" s="19">
        <v>70</v>
      </c>
      <c r="D204" s="31" t="s">
        <v>36</v>
      </c>
      <c r="E204" s="31" t="s">
        <v>6</v>
      </c>
      <c r="F204" s="19" t="s">
        <v>12</v>
      </c>
      <c r="G204" s="31" t="str">
        <f t="shared" si="139"/>
        <v>Kommunal 70 Y 4L A</v>
      </c>
      <c r="H204" s="48">
        <f t="shared" si="105"/>
        <v>0.16945428326328432</v>
      </c>
      <c r="I204" s="40">
        <f t="shared" si="106"/>
        <v>0.23419274248916022</v>
      </c>
      <c r="J204" s="99">
        <f t="shared" si="107"/>
        <v>4.6541259621228903E-3</v>
      </c>
      <c r="K204" s="48">
        <f t="shared" si="108"/>
        <v>7.0244356611167472E-2</v>
      </c>
      <c r="L204" s="48">
        <f t="shared" si="109"/>
        <v>0.15929425991586987</v>
      </c>
      <c r="M204" s="48">
        <f t="shared" si="140"/>
        <v>0.29838620783768188</v>
      </c>
      <c r="N204" s="99">
        <f t="shared" si="110"/>
        <v>9.009227231520615E-3</v>
      </c>
      <c r="O204" s="48">
        <f t="shared" si="111"/>
        <v>4.4336341788078673E-2</v>
      </c>
      <c r="P204" s="48">
        <f t="shared" si="112"/>
        <v>0.1053665349167512</v>
      </c>
      <c r="Q204" s="48">
        <f t="shared" si="113"/>
        <v>0.23894138987380481</v>
      </c>
      <c r="R204" s="40">
        <f t="shared" si="141"/>
        <v>2.0887034548637731</v>
      </c>
      <c r="S204" s="99">
        <f t="shared" si="114"/>
        <v>1.3513840847280922E-2</v>
      </c>
      <c r="T204" s="48">
        <f t="shared" si="115"/>
        <v>6.6504512682118017E-2</v>
      </c>
      <c r="U204" s="44">
        <v>12.956328000000001</v>
      </c>
      <c r="V204" s="19">
        <v>1.25</v>
      </c>
      <c r="W204" s="19">
        <v>0.55000000000000004</v>
      </c>
      <c r="X204" s="44">
        <v>1.4539396965137334</v>
      </c>
      <c r="Y204" s="46">
        <v>1.6656289741598842</v>
      </c>
      <c r="Z204" s="46">
        <v>30.729997087556342</v>
      </c>
      <c r="AA204" s="46">
        <v>67.604373938283771</v>
      </c>
      <c r="AB204" s="46">
        <v>1.4390243902439024</v>
      </c>
      <c r="AC204" s="125">
        <v>1</v>
      </c>
      <c r="AD204" s="94">
        <f t="shared" si="142"/>
        <v>0.14261466825454711</v>
      </c>
      <c r="AE204" s="94">
        <f t="shared" si="143"/>
        <v>0.20735312748042301</v>
      </c>
      <c r="AF204" s="96">
        <f t="shared" si="116"/>
        <v>3.4537337701406067E-3</v>
      </c>
      <c r="AG204" s="95">
        <f t="shared" si="156"/>
        <v>6.3719610035690974E-2</v>
      </c>
      <c r="AH204" s="94">
        <f t="shared" si="144"/>
        <v>0.14017978367459141</v>
      </c>
      <c r="AI204" s="94">
        <f t="shared" si="145"/>
        <v>0.29838620783768188</v>
      </c>
      <c r="AJ204" s="96">
        <f t="shared" si="117"/>
        <v>7.7609846926725151E-3</v>
      </c>
      <c r="AK204" s="95">
        <f t="shared" si="118"/>
        <v>3.8741052725150091E-2</v>
      </c>
      <c r="AL204" s="95">
        <f t="shared" si="119"/>
        <v>9.5579415053536454E-2</v>
      </c>
      <c r="AM204" s="94">
        <f t="shared" si="120"/>
        <v>0.21026967551188713</v>
      </c>
      <c r="AN204" s="93">
        <f t="shared" si="121"/>
        <v>2.0887034548637731</v>
      </c>
      <c r="AO204" s="96">
        <f t="shared" si="122"/>
        <v>1.1641477039008773E-2</v>
      </c>
      <c r="AP204" s="95">
        <f t="shared" si="123"/>
        <v>5.8111579087725136E-2</v>
      </c>
      <c r="AQ204" s="93">
        <f t="shared" si="124"/>
        <v>0.32395626061716221</v>
      </c>
      <c r="AR204" s="31">
        <v>1.5</v>
      </c>
      <c r="AS204" s="31">
        <v>1.5</v>
      </c>
      <c r="AT204" s="31">
        <v>7</v>
      </c>
      <c r="AU204" s="43">
        <v>0.08</v>
      </c>
      <c r="AV204" s="44">
        <v>0.3</v>
      </c>
      <c r="AW204" s="43">
        <v>1.9E-2</v>
      </c>
      <c r="AX204" s="44">
        <v>0.14000000000000001</v>
      </c>
      <c r="AY204" s="44">
        <v>6.773431420152356</v>
      </c>
      <c r="AZ204" s="46">
        <v>0.5</v>
      </c>
      <c r="BA204" s="44">
        <v>0.72</v>
      </c>
      <c r="BB204" s="47">
        <v>1</v>
      </c>
      <c r="BC204" s="46">
        <v>11.280218363357534</v>
      </c>
      <c r="BD204" s="47">
        <v>47.541244098024215</v>
      </c>
      <c r="BE204" s="47">
        <v>41.178537538618251</v>
      </c>
      <c r="BF204" s="125">
        <v>1</v>
      </c>
      <c r="BG204" s="48">
        <f t="shared" si="146"/>
        <v>3.9278653529139715E-3</v>
      </c>
      <c r="BH204" s="48">
        <f t="shared" si="147"/>
        <v>3.9278653529139715E-3</v>
      </c>
      <c r="BI204" s="99">
        <f t="shared" si="148"/>
        <v>4.4307178882736005E-4</v>
      </c>
      <c r="BJ204" s="99">
        <f t="shared" si="149"/>
        <v>1.8673560552705515E-3</v>
      </c>
      <c r="BK204" s="48">
        <f t="shared" si="150"/>
        <v>1.61743750881606E-3</v>
      </c>
      <c r="BL204" s="99">
        <f t="shared" si="125"/>
        <v>2.9863091044064663E-4</v>
      </c>
      <c r="BM204" s="48">
        <f t="shared" si="126"/>
        <v>1.1077770449768438E-3</v>
      </c>
      <c r="BN204" s="48">
        <f t="shared" si="127"/>
        <v>2.8010340829058272E-3</v>
      </c>
      <c r="BO204" s="48">
        <f t="shared" si="128"/>
        <v>2.4261562632240902E-3</v>
      </c>
      <c r="BP204" s="99">
        <f t="shared" si="129"/>
        <v>4.4794636566096994E-4</v>
      </c>
      <c r="BQ204" s="48">
        <f t="shared" si="130"/>
        <v>1.6616655674652654E-3</v>
      </c>
      <c r="BR204" s="40">
        <f t="shared" si="131"/>
        <v>0.58821462461381757</v>
      </c>
      <c r="BS204" s="31">
        <v>1.5</v>
      </c>
      <c r="BT204" s="31">
        <v>1.5</v>
      </c>
      <c r="BU204" s="43">
        <v>0.14000000000000001</v>
      </c>
      <c r="BV204" s="44">
        <v>0.42</v>
      </c>
      <c r="BW204" s="43">
        <v>2.3E-2</v>
      </c>
      <c r="BX204" s="44">
        <v>0.2</v>
      </c>
      <c r="BY204" s="44">
        <v>17.442066059404368</v>
      </c>
      <c r="BZ204" s="44">
        <v>0.52</v>
      </c>
      <c r="CA204" s="44">
        <v>0.65</v>
      </c>
      <c r="CB204" s="47">
        <v>1</v>
      </c>
      <c r="CC204" s="46">
        <v>3.3053800540389702</v>
      </c>
      <c r="CD204" s="46">
        <v>20.327520115960358</v>
      </c>
      <c r="CE204" s="46">
        <v>76.367099830000683</v>
      </c>
      <c r="CF204" s="125">
        <v>1</v>
      </c>
      <c r="CG204" s="40">
        <f t="shared" si="151"/>
        <v>2.2911749655823248E-2</v>
      </c>
      <c r="CH204" s="40">
        <f t="shared" si="152"/>
        <v>2.2911749655823248E-2</v>
      </c>
      <c r="CI204" s="99">
        <f t="shared" si="153"/>
        <v>7.5732040315492396E-4</v>
      </c>
      <c r="CJ204" s="100">
        <f t="shared" si="154"/>
        <v>4.6573905202059486E-3</v>
      </c>
      <c r="CK204" s="100">
        <f t="shared" si="155"/>
        <v>1.7497038732462378E-2</v>
      </c>
      <c r="CL204" s="101">
        <f t="shared" si="132"/>
        <v>9.4961162840745362E-4</v>
      </c>
      <c r="CM204" s="100">
        <f t="shared" si="133"/>
        <v>4.4875120179517364E-3</v>
      </c>
      <c r="CN204" s="100">
        <f t="shared" si="134"/>
        <v>6.9860857803089229E-3</v>
      </c>
      <c r="CO204" s="100">
        <f t="shared" si="135"/>
        <v>2.6245558098693569E-2</v>
      </c>
      <c r="CP204" s="101">
        <f t="shared" si="136"/>
        <v>1.4244174426111802E-3</v>
      </c>
      <c r="CQ204" s="100">
        <f t="shared" si="137"/>
        <v>6.7312680269276046E-3</v>
      </c>
      <c r="CR204" s="99">
        <f t="shared" si="138"/>
        <v>0.23632900169999327</v>
      </c>
      <c r="CS204" s="31">
        <v>1.5</v>
      </c>
      <c r="CT204" s="31">
        <v>1.5</v>
      </c>
      <c r="CU204" s="43">
        <v>0.125</v>
      </c>
      <c r="CV204" s="44">
        <v>0.4</v>
      </c>
      <c r="CW204" s="43">
        <v>2.1000000000000001E-2</v>
      </c>
      <c r="CX204" s="44">
        <v>0.15</v>
      </c>
    </row>
    <row r="205" spans="1:102" s="27" customFormat="1" x14ac:dyDescent="0.25">
      <c r="A205" s="31">
        <v>191</v>
      </c>
      <c r="B205" s="84" t="s">
        <v>91</v>
      </c>
      <c r="C205" s="19">
        <v>70</v>
      </c>
      <c r="D205" s="31" t="s">
        <v>36</v>
      </c>
      <c r="E205" s="31" t="s">
        <v>6</v>
      </c>
      <c r="F205" s="19" t="s">
        <v>13</v>
      </c>
      <c r="G205" s="31" t="str">
        <f t="shared" si="139"/>
        <v>Kommunal 70 Y 4L B</v>
      </c>
      <c r="H205" s="48">
        <f t="shared" si="105"/>
        <v>0.16232354985055694</v>
      </c>
      <c r="I205" s="40">
        <f t="shared" si="106"/>
        <v>0.22382508611513902</v>
      </c>
      <c r="J205" s="99">
        <f t="shared" si="107"/>
        <v>4.4814392736158594E-3</v>
      </c>
      <c r="K205" s="48">
        <f t="shared" si="108"/>
        <v>6.7058376109382908E-2</v>
      </c>
      <c r="L205" s="48">
        <f t="shared" si="109"/>
        <v>0.15228527073214027</v>
      </c>
      <c r="M205" s="48">
        <f t="shared" si="140"/>
        <v>0.28346689744579767</v>
      </c>
      <c r="N205" s="99">
        <f t="shared" si="110"/>
        <v>8.6211779968869869E-3</v>
      </c>
      <c r="O205" s="48">
        <f t="shared" si="111"/>
        <v>4.239928915182116E-2</v>
      </c>
      <c r="P205" s="48">
        <f t="shared" si="112"/>
        <v>0.10058756416407437</v>
      </c>
      <c r="Q205" s="48">
        <f t="shared" si="113"/>
        <v>0.2284279060982104</v>
      </c>
      <c r="R205" s="40">
        <f t="shared" si="141"/>
        <v>1.9842682821205837</v>
      </c>
      <c r="S205" s="99">
        <f t="shared" si="114"/>
        <v>1.2931766995330482E-2</v>
      </c>
      <c r="T205" s="48">
        <f t="shared" si="115"/>
        <v>6.3598933727731732E-2</v>
      </c>
      <c r="U205" s="44">
        <v>12.308511600000001</v>
      </c>
      <c r="V205" s="19">
        <v>1.25</v>
      </c>
      <c r="W205" s="19">
        <v>0.55000000000000004</v>
      </c>
      <c r="X205" s="44">
        <v>1.4539396965137334</v>
      </c>
      <c r="Y205" s="46">
        <v>1.6656289741598842</v>
      </c>
      <c r="Z205" s="46">
        <v>30.729997087556342</v>
      </c>
      <c r="AA205" s="46">
        <v>67.604373938283771</v>
      </c>
      <c r="AB205" s="46">
        <v>1.4390243902439022</v>
      </c>
      <c r="AC205" s="125">
        <v>1</v>
      </c>
      <c r="AD205" s="94">
        <f t="shared" si="142"/>
        <v>0.13548393484181973</v>
      </c>
      <c r="AE205" s="94">
        <f t="shared" si="143"/>
        <v>0.1969854711064018</v>
      </c>
      <c r="AF205" s="96">
        <f t="shared" si="116"/>
        <v>3.2810470816335754E-3</v>
      </c>
      <c r="AG205" s="95">
        <f t="shared" si="156"/>
        <v>6.0533629533906411E-2</v>
      </c>
      <c r="AH205" s="94">
        <f t="shared" si="144"/>
        <v>0.1331707944908618</v>
      </c>
      <c r="AI205" s="94">
        <f t="shared" si="145"/>
        <v>0.28346689744579767</v>
      </c>
      <c r="AJ205" s="96">
        <f t="shared" si="117"/>
        <v>7.3729354580388869E-3</v>
      </c>
      <c r="AK205" s="95">
        <f t="shared" si="118"/>
        <v>3.6804000088892577E-2</v>
      </c>
      <c r="AL205" s="95">
        <f t="shared" si="119"/>
        <v>9.0800444300859623E-2</v>
      </c>
      <c r="AM205" s="94">
        <f t="shared" si="120"/>
        <v>0.19975619173629272</v>
      </c>
      <c r="AN205" s="93">
        <f t="shared" si="121"/>
        <v>1.9842682821205837</v>
      </c>
      <c r="AO205" s="96">
        <f t="shared" si="122"/>
        <v>1.1059403187058333E-2</v>
      </c>
      <c r="AP205" s="95">
        <f t="shared" si="123"/>
        <v>5.5206000133338873E-2</v>
      </c>
      <c r="AQ205" s="93">
        <f t="shared" si="124"/>
        <v>0.32395626061716221</v>
      </c>
      <c r="AR205" s="31">
        <v>1.5</v>
      </c>
      <c r="AS205" s="31">
        <v>1.5</v>
      </c>
      <c r="AT205" s="31">
        <v>7</v>
      </c>
      <c r="AU205" s="43">
        <v>0.08</v>
      </c>
      <c r="AV205" s="44">
        <v>0.3</v>
      </c>
      <c r="AW205" s="43">
        <v>1.9E-2</v>
      </c>
      <c r="AX205" s="44">
        <v>0.14000000000000001</v>
      </c>
      <c r="AY205" s="44">
        <v>6.773431420152356</v>
      </c>
      <c r="AZ205" s="46">
        <v>0.5</v>
      </c>
      <c r="BA205" s="44">
        <v>0.72</v>
      </c>
      <c r="BB205" s="47">
        <v>1</v>
      </c>
      <c r="BC205" s="46">
        <v>11.280218363357534</v>
      </c>
      <c r="BD205" s="47">
        <v>47.541244098024215</v>
      </c>
      <c r="BE205" s="47">
        <v>41.178537538618251</v>
      </c>
      <c r="BF205" s="125">
        <v>1</v>
      </c>
      <c r="BG205" s="48">
        <f t="shared" si="146"/>
        <v>3.9278653529139715E-3</v>
      </c>
      <c r="BH205" s="48">
        <f t="shared" si="147"/>
        <v>3.9278653529139715E-3</v>
      </c>
      <c r="BI205" s="99">
        <f t="shared" si="148"/>
        <v>4.4307178882736005E-4</v>
      </c>
      <c r="BJ205" s="99">
        <f t="shared" si="149"/>
        <v>1.8673560552705515E-3</v>
      </c>
      <c r="BK205" s="48">
        <f t="shared" si="150"/>
        <v>1.61743750881606E-3</v>
      </c>
      <c r="BL205" s="99">
        <f t="shared" si="125"/>
        <v>2.9863091044064663E-4</v>
      </c>
      <c r="BM205" s="48">
        <f t="shared" si="126"/>
        <v>1.1077770449768438E-3</v>
      </c>
      <c r="BN205" s="48">
        <f t="shared" si="127"/>
        <v>2.8010340829058272E-3</v>
      </c>
      <c r="BO205" s="48">
        <f t="shared" si="128"/>
        <v>2.4261562632240902E-3</v>
      </c>
      <c r="BP205" s="99">
        <f t="shared" si="129"/>
        <v>4.4794636566096994E-4</v>
      </c>
      <c r="BQ205" s="48">
        <f t="shared" si="130"/>
        <v>1.6616655674652654E-3</v>
      </c>
      <c r="BR205" s="40">
        <f t="shared" si="131"/>
        <v>0.58821462461381757</v>
      </c>
      <c r="BS205" s="31">
        <v>1.5</v>
      </c>
      <c r="BT205" s="31">
        <v>1.5</v>
      </c>
      <c r="BU205" s="43">
        <v>0.14000000000000001</v>
      </c>
      <c r="BV205" s="44">
        <v>0.42</v>
      </c>
      <c r="BW205" s="43">
        <v>2.3E-2</v>
      </c>
      <c r="BX205" s="44">
        <v>0.2</v>
      </c>
      <c r="BY205" s="44">
        <v>17.442066059404368</v>
      </c>
      <c r="BZ205" s="44">
        <v>0.52</v>
      </c>
      <c r="CA205" s="44">
        <v>0.65</v>
      </c>
      <c r="CB205" s="47">
        <v>1</v>
      </c>
      <c r="CC205" s="46">
        <v>3.3053800540389702</v>
      </c>
      <c r="CD205" s="46">
        <v>20.327520115960358</v>
      </c>
      <c r="CE205" s="46">
        <v>76.367099830000683</v>
      </c>
      <c r="CF205" s="125">
        <v>1</v>
      </c>
      <c r="CG205" s="40">
        <f t="shared" si="151"/>
        <v>2.2911749655823248E-2</v>
      </c>
      <c r="CH205" s="40">
        <f t="shared" si="152"/>
        <v>2.2911749655823248E-2</v>
      </c>
      <c r="CI205" s="99">
        <f t="shared" si="153"/>
        <v>7.5732040315492396E-4</v>
      </c>
      <c r="CJ205" s="100">
        <f t="shared" si="154"/>
        <v>4.6573905202059486E-3</v>
      </c>
      <c r="CK205" s="100">
        <f t="shared" si="155"/>
        <v>1.7497038732462378E-2</v>
      </c>
      <c r="CL205" s="101">
        <f t="shared" si="132"/>
        <v>9.4961162840745362E-4</v>
      </c>
      <c r="CM205" s="100">
        <f t="shared" si="133"/>
        <v>4.4875120179517364E-3</v>
      </c>
      <c r="CN205" s="100">
        <f t="shared" si="134"/>
        <v>6.9860857803089229E-3</v>
      </c>
      <c r="CO205" s="100">
        <f t="shared" si="135"/>
        <v>2.6245558098693569E-2</v>
      </c>
      <c r="CP205" s="101">
        <f t="shared" si="136"/>
        <v>1.4244174426111802E-3</v>
      </c>
      <c r="CQ205" s="100">
        <f t="shared" si="137"/>
        <v>6.7312680269276046E-3</v>
      </c>
      <c r="CR205" s="99">
        <f t="shared" si="138"/>
        <v>0.23632900169999327</v>
      </c>
      <c r="CS205" s="31">
        <v>1.5</v>
      </c>
      <c r="CT205" s="31">
        <v>1.5</v>
      </c>
      <c r="CU205" s="43">
        <v>0.125</v>
      </c>
      <c r="CV205" s="44">
        <v>0.4</v>
      </c>
      <c r="CW205" s="43">
        <v>2.1000000000000001E-2</v>
      </c>
      <c r="CX205" s="44">
        <v>0.15</v>
      </c>
    </row>
    <row r="206" spans="1:102" s="27" customFormat="1" x14ac:dyDescent="0.25">
      <c r="A206" s="31">
        <v>192</v>
      </c>
      <c r="B206" s="84" t="s">
        <v>91</v>
      </c>
      <c r="C206" s="19">
        <v>70</v>
      </c>
      <c r="D206" s="31" t="s">
        <v>36</v>
      </c>
      <c r="E206" s="31" t="s">
        <v>6</v>
      </c>
      <c r="F206" s="19" t="s">
        <v>70</v>
      </c>
      <c r="G206" s="31" t="str">
        <f t="shared" si="139"/>
        <v>Kommunal 70 Y 4L Ck</v>
      </c>
      <c r="H206" s="48">
        <f t="shared" si="105"/>
        <v>0.15519281643782962</v>
      </c>
      <c r="I206" s="40">
        <f t="shared" si="106"/>
        <v>0.21345742974111792</v>
      </c>
      <c r="J206" s="99">
        <f t="shared" si="107"/>
        <v>4.3087525851088293E-3</v>
      </c>
      <c r="K206" s="48">
        <f t="shared" si="108"/>
        <v>6.3872395607598387E-2</v>
      </c>
      <c r="L206" s="48">
        <f t="shared" si="109"/>
        <v>0.14527628154841074</v>
      </c>
      <c r="M206" s="48">
        <f t="shared" si="140"/>
        <v>0.26854758705391368</v>
      </c>
      <c r="N206" s="99">
        <f t="shared" si="110"/>
        <v>8.2331287622533639E-3</v>
      </c>
      <c r="O206" s="48">
        <f t="shared" si="111"/>
        <v>4.0462236515563667E-2</v>
      </c>
      <c r="P206" s="48">
        <f t="shared" si="112"/>
        <v>9.5808593411397566E-2</v>
      </c>
      <c r="Q206" s="48">
        <f t="shared" si="113"/>
        <v>0.2179144223226161</v>
      </c>
      <c r="R206" s="40">
        <f t="shared" si="141"/>
        <v>1.8798331093773957</v>
      </c>
      <c r="S206" s="99">
        <f t="shared" si="114"/>
        <v>1.2349693143380046E-2</v>
      </c>
      <c r="T206" s="48">
        <f t="shared" si="115"/>
        <v>6.0693354773345497E-2</v>
      </c>
      <c r="U206" s="44">
        <v>11.660695200000001</v>
      </c>
      <c r="V206" s="19">
        <v>1.25</v>
      </c>
      <c r="W206" s="19">
        <v>0.55000000000000004</v>
      </c>
      <c r="X206" s="44">
        <v>1.4539396965137334</v>
      </c>
      <c r="Y206" s="46">
        <v>1.6656289741598842</v>
      </c>
      <c r="Z206" s="46">
        <v>30.729997087556342</v>
      </c>
      <c r="AA206" s="46">
        <v>67.604373938283771</v>
      </c>
      <c r="AB206" s="46">
        <v>1.4390243902439024</v>
      </c>
      <c r="AC206" s="125">
        <v>1</v>
      </c>
      <c r="AD206" s="94">
        <f t="shared" si="142"/>
        <v>0.1283532014290924</v>
      </c>
      <c r="AE206" s="94">
        <f t="shared" si="143"/>
        <v>0.1866178147323807</v>
      </c>
      <c r="AF206" s="96">
        <f t="shared" si="116"/>
        <v>3.1083603931265458E-3</v>
      </c>
      <c r="AG206" s="95">
        <f t="shared" si="156"/>
        <v>5.7347649032121882E-2</v>
      </c>
      <c r="AH206" s="94">
        <f t="shared" si="144"/>
        <v>0.12616180530713228</v>
      </c>
      <c r="AI206" s="94">
        <f t="shared" si="145"/>
        <v>0.26854758705391368</v>
      </c>
      <c r="AJ206" s="96">
        <f t="shared" si="117"/>
        <v>6.984886223405264E-3</v>
      </c>
      <c r="AK206" s="95">
        <f t="shared" si="118"/>
        <v>3.4866947452635084E-2</v>
      </c>
      <c r="AL206" s="95">
        <f t="shared" si="119"/>
        <v>8.602147354818282E-2</v>
      </c>
      <c r="AM206" s="94">
        <f t="shared" si="120"/>
        <v>0.18924270796069842</v>
      </c>
      <c r="AN206" s="93">
        <f t="shared" si="121"/>
        <v>1.8798331093773957</v>
      </c>
      <c r="AO206" s="96">
        <f t="shared" si="122"/>
        <v>1.0477329335107895E-2</v>
      </c>
      <c r="AP206" s="95">
        <f t="shared" si="123"/>
        <v>5.230042117895263E-2</v>
      </c>
      <c r="AQ206" s="93">
        <f t="shared" si="124"/>
        <v>0.32395626061716226</v>
      </c>
      <c r="AR206" s="31">
        <v>1.5</v>
      </c>
      <c r="AS206" s="31">
        <v>1.5</v>
      </c>
      <c r="AT206" s="31">
        <v>7</v>
      </c>
      <c r="AU206" s="43">
        <v>0.08</v>
      </c>
      <c r="AV206" s="44">
        <v>0.3</v>
      </c>
      <c r="AW206" s="43">
        <v>1.9E-2</v>
      </c>
      <c r="AX206" s="44">
        <v>0.14000000000000001</v>
      </c>
      <c r="AY206" s="44">
        <v>6.773431420152356</v>
      </c>
      <c r="AZ206" s="46">
        <v>0.5</v>
      </c>
      <c r="BA206" s="44">
        <v>0.72</v>
      </c>
      <c r="BB206" s="47">
        <v>1</v>
      </c>
      <c r="BC206" s="46">
        <v>11.280218363357534</v>
      </c>
      <c r="BD206" s="47">
        <v>47.541244098024215</v>
      </c>
      <c r="BE206" s="47">
        <v>41.178537538618251</v>
      </c>
      <c r="BF206" s="125">
        <v>1</v>
      </c>
      <c r="BG206" s="48">
        <f t="shared" si="146"/>
        <v>3.9278653529139715E-3</v>
      </c>
      <c r="BH206" s="48">
        <f t="shared" si="147"/>
        <v>3.9278653529139715E-3</v>
      </c>
      <c r="BI206" s="99">
        <f t="shared" si="148"/>
        <v>4.4307178882736005E-4</v>
      </c>
      <c r="BJ206" s="99">
        <f t="shared" si="149"/>
        <v>1.8673560552705515E-3</v>
      </c>
      <c r="BK206" s="48">
        <f t="shared" si="150"/>
        <v>1.61743750881606E-3</v>
      </c>
      <c r="BL206" s="99">
        <f t="shared" si="125"/>
        <v>2.9863091044064663E-4</v>
      </c>
      <c r="BM206" s="48">
        <f t="shared" si="126"/>
        <v>1.1077770449768438E-3</v>
      </c>
      <c r="BN206" s="48">
        <f t="shared" si="127"/>
        <v>2.8010340829058272E-3</v>
      </c>
      <c r="BO206" s="48">
        <f t="shared" si="128"/>
        <v>2.4261562632240902E-3</v>
      </c>
      <c r="BP206" s="99">
        <f t="shared" si="129"/>
        <v>4.4794636566096994E-4</v>
      </c>
      <c r="BQ206" s="48">
        <f t="shared" si="130"/>
        <v>1.6616655674652654E-3</v>
      </c>
      <c r="BR206" s="40">
        <f t="shared" si="131"/>
        <v>0.58821462461381757</v>
      </c>
      <c r="BS206" s="31">
        <v>1.5</v>
      </c>
      <c r="BT206" s="31">
        <v>1.5</v>
      </c>
      <c r="BU206" s="43">
        <v>0.14000000000000001</v>
      </c>
      <c r="BV206" s="44">
        <v>0.42</v>
      </c>
      <c r="BW206" s="43">
        <v>2.3E-2</v>
      </c>
      <c r="BX206" s="44">
        <v>0.2</v>
      </c>
      <c r="BY206" s="44">
        <v>17.442066059404368</v>
      </c>
      <c r="BZ206" s="44">
        <v>0.52</v>
      </c>
      <c r="CA206" s="44">
        <v>0.65</v>
      </c>
      <c r="CB206" s="47">
        <v>1</v>
      </c>
      <c r="CC206" s="46">
        <v>3.3053800540389702</v>
      </c>
      <c r="CD206" s="46">
        <v>20.327520115960358</v>
      </c>
      <c r="CE206" s="46">
        <v>76.367099830000683</v>
      </c>
      <c r="CF206" s="125">
        <v>1</v>
      </c>
      <c r="CG206" s="40">
        <f t="shared" si="151"/>
        <v>2.2911749655823248E-2</v>
      </c>
      <c r="CH206" s="40">
        <f t="shared" si="152"/>
        <v>2.2911749655823248E-2</v>
      </c>
      <c r="CI206" s="99">
        <f t="shared" si="153"/>
        <v>7.5732040315492396E-4</v>
      </c>
      <c r="CJ206" s="100">
        <f t="shared" si="154"/>
        <v>4.6573905202059486E-3</v>
      </c>
      <c r="CK206" s="100">
        <f t="shared" si="155"/>
        <v>1.7497038732462378E-2</v>
      </c>
      <c r="CL206" s="101">
        <f t="shared" si="132"/>
        <v>9.4961162840745362E-4</v>
      </c>
      <c r="CM206" s="100">
        <f t="shared" si="133"/>
        <v>4.4875120179517364E-3</v>
      </c>
      <c r="CN206" s="100">
        <f t="shared" si="134"/>
        <v>6.9860857803089229E-3</v>
      </c>
      <c r="CO206" s="100">
        <f t="shared" si="135"/>
        <v>2.6245558098693569E-2</v>
      </c>
      <c r="CP206" s="101">
        <f t="shared" si="136"/>
        <v>1.4244174426111802E-3</v>
      </c>
      <c r="CQ206" s="100">
        <f t="shared" si="137"/>
        <v>6.7312680269276046E-3</v>
      </c>
      <c r="CR206" s="99">
        <f t="shared" si="138"/>
        <v>0.23632900169999327</v>
      </c>
      <c r="CS206" s="31">
        <v>1.5</v>
      </c>
      <c r="CT206" s="31">
        <v>1.5</v>
      </c>
      <c r="CU206" s="43">
        <v>0.125</v>
      </c>
      <c r="CV206" s="44">
        <v>0.4</v>
      </c>
      <c r="CW206" s="43">
        <v>2.1000000000000001E-2</v>
      </c>
      <c r="CX206" s="44">
        <v>0.15</v>
      </c>
    </row>
    <row r="207" spans="1:102" s="27" customFormat="1" x14ac:dyDescent="0.25">
      <c r="A207" s="31">
        <v>193</v>
      </c>
      <c r="B207" s="84" t="s">
        <v>91</v>
      </c>
      <c r="C207" s="19">
        <v>70</v>
      </c>
      <c r="D207" s="31" t="s">
        <v>36</v>
      </c>
      <c r="E207" s="31" t="s">
        <v>6</v>
      </c>
      <c r="F207" s="31" t="s">
        <v>71</v>
      </c>
      <c r="G207" s="31" t="str">
        <f t="shared" si="139"/>
        <v>Kommunal 70 Y 4L Cm</v>
      </c>
      <c r="H207" s="48">
        <f t="shared" ref="H207:H270" si="157">AD207+BG207+CG207</f>
        <v>0.15519281643782962</v>
      </c>
      <c r="I207" s="40">
        <f t="shared" ref="I207:I270" si="158">AE207+BH207+CH207</f>
        <v>0.21345742974111792</v>
      </c>
      <c r="J207" s="99">
        <f t="shared" ref="J207:J270" si="159">AF207+BI207+CI207</f>
        <v>4.3087525851088293E-3</v>
      </c>
      <c r="K207" s="48">
        <f t="shared" ref="K207:K270" si="160">AG207+BJ207+CJ207</f>
        <v>6.3872395607598387E-2</v>
      </c>
      <c r="L207" s="48">
        <f t="shared" ref="L207:L270" si="161">AH207+BK207+CK207</f>
        <v>0.14527628154841074</v>
      </c>
      <c r="M207" s="48">
        <f t="shared" si="140"/>
        <v>0.26854758705391368</v>
      </c>
      <c r="N207" s="99">
        <f t="shared" ref="N207:N270" si="162">AJ207+BL207+CL207</f>
        <v>8.2331287622533639E-3</v>
      </c>
      <c r="O207" s="48">
        <f t="shared" ref="O207:O270" si="163">AK207+BM207+CM207</f>
        <v>4.0462236515563667E-2</v>
      </c>
      <c r="P207" s="48">
        <f t="shared" ref="P207:P270" si="164">AL207+BN207+CN207</f>
        <v>9.5808593411397566E-2</v>
      </c>
      <c r="Q207" s="48">
        <f t="shared" ref="Q207:Q270" si="165">AM207+BO207+CO207</f>
        <v>0.2179144223226161</v>
      </c>
      <c r="R207" s="40">
        <f t="shared" si="141"/>
        <v>1.8798331093773957</v>
      </c>
      <c r="S207" s="99">
        <f t="shared" ref="S207:S270" si="166">AO207++BP207+CP207</f>
        <v>1.2349693143380046E-2</v>
      </c>
      <c r="T207" s="48">
        <f t="shared" ref="T207:T270" si="167">AP207++BQ207+CQ207</f>
        <v>6.0693354773345497E-2</v>
      </c>
      <c r="U207" s="44">
        <v>11.660695200000001</v>
      </c>
      <c r="V207" s="19">
        <v>1.25</v>
      </c>
      <c r="W207" s="19">
        <v>0.55000000000000004</v>
      </c>
      <c r="X207" s="44">
        <v>1.4539396965137334</v>
      </c>
      <c r="Y207" s="46">
        <v>1.6656289741598842</v>
      </c>
      <c r="Z207" s="46">
        <v>30.729997087556342</v>
      </c>
      <c r="AA207" s="46">
        <v>67.604373938283771</v>
      </c>
      <c r="AB207" s="46">
        <v>1.4390243902439024</v>
      </c>
      <c r="AC207" s="125">
        <v>1</v>
      </c>
      <c r="AD207" s="94">
        <f t="shared" si="142"/>
        <v>0.1283532014290924</v>
      </c>
      <c r="AE207" s="94">
        <f t="shared" si="143"/>
        <v>0.1866178147323807</v>
      </c>
      <c r="AF207" s="96">
        <f t="shared" ref="AF207:AF239" si="168">$AE207*Y207/100</f>
        <v>3.1083603931265458E-3</v>
      </c>
      <c r="AG207" s="95">
        <f t="shared" si="156"/>
        <v>5.7347649032121882E-2</v>
      </c>
      <c r="AH207" s="94">
        <f t="shared" si="144"/>
        <v>0.12616180530713228</v>
      </c>
      <c r="AI207" s="94">
        <f t="shared" si="145"/>
        <v>0.26854758705391368</v>
      </c>
      <c r="AJ207" s="96">
        <f t="shared" ref="AJ207:AJ270" si="169">AG207*AU207+AH207*AW207</f>
        <v>6.984886223405264E-3</v>
      </c>
      <c r="AK207" s="95">
        <f t="shared" ref="AK207:AK270" si="170">AG207*AV207+AH207*AX207</f>
        <v>3.4866947452635084E-2</v>
      </c>
      <c r="AL207" s="95">
        <f t="shared" ref="AL207:AL270" si="171">AG207*AR207</f>
        <v>8.602147354818282E-2</v>
      </c>
      <c r="AM207" s="94">
        <f t="shared" ref="AM207:AM270" si="172">AH207*AS207</f>
        <v>0.18924270796069842</v>
      </c>
      <c r="AN207" s="93">
        <f t="shared" ref="AN207:AN270" si="173">AI207*AT207</f>
        <v>1.8798331093773957</v>
      </c>
      <c r="AO207" s="96">
        <f t="shared" ref="AO207:AO270" si="174">AL207*AU207+AM207*AW207</f>
        <v>1.0477329335107895E-2</v>
      </c>
      <c r="AP207" s="95">
        <f t="shared" ref="AP207:AP270" si="175">AL207*AV207+AM207*AX207</f>
        <v>5.230042117895263E-2</v>
      </c>
      <c r="AQ207" s="93">
        <f t="shared" ref="AQ207:AQ270" si="176">(AF207+AG207)/AE207</f>
        <v>0.32395626061716226</v>
      </c>
      <c r="AR207" s="31">
        <v>1.5</v>
      </c>
      <c r="AS207" s="31">
        <v>1.5</v>
      </c>
      <c r="AT207" s="31">
        <v>7</v>
      </c>
      <c r="AU207" s="43">
        <v>0.08</v>
      </c>
      <c r="AV207" s="44">
        <v>0.3</v>
      </c>
      <c r="AW207" s="43">
        <v>1.9E-2</v>
      </c>
      <c r="AX207" s="44">
        <v>0.14000000000000001</v>
      </c>
      <c r="AY207" s="44">
        <v>6.773431420152356</v>
      </c>
      <c r="AZ207" s="46">
        <v>0.5</v>
      </c>
      <c r="BA207" s="44">
        <v>0.72</v>
      </c>
      <c r="BB207" s="47">
        <v>1</v>
      </c>
      <c r="BC207" s="46">
        <v>11.280218363357534</v>
      </c>
      <c r="BD207" s="47">
        <v>47.541244098024215</v>
      </c>
      <c r="BE207" s="47">
        <v>41.178537538618251</v>
      </c>
      <c r="BF207" s="125">
        <v>1</v>
      </c>
      <c r="BG207" s="48">
        <f t="shared" si="146"/>
        <v>3.9278653529139715E-3</v>
      </c>
      <c r="BH207" s="48">
        <f t="shared" si="147"/>
        <v>3.9278653529139715E-3</v>
      </c>
      <c r="BI207" s="99">
        <f t="shared" si="148"/>
        <v>4.4307178882736005E-4</v>
      </c>
      <c r="BJ207" s="99">
        <f t="shared" si="149"/>
        <v>1.8673560552705515E-3</v>
      </c>
      <c r="BK207" s="48">
        <f t="shared" si="150"/>
        <v>1.61743750881606E-3</v>
      </c>
      <c r="BL207" s="99">
        <f t="shared" ref="BL207:BL270" si="177">BJ207*BU207+BK207*BW207</f>
        <v>2.9863091044064663E-4</v>
      </c>
      <c r="BM207" s="48">
        <f t="shared" ref="BM207:BM270" si="178">BJ207*BV207+BK207*BX207</f>
        <v>1.1077770449768438E-3</v>
      </c>
      <c r="BN207" s="48">
        <f t="shared" ref="BN207:BN270" si="179">BJ207*BS207</f>
        <v>2.8010340829058272E-3</v>
      </c>
      <c r="BO207" s="48">
        <f t="shared" ref="BO207:BO270" si="180">BK207*BT207</f>
        <v>2.4261562632240902E-3</v>
      </c>
      <c r="BP207" s="99">
        <f t="shared" ref="BP207:BP270" si="181">BN207*BU207+BO207*BW207</f>
        <v>4.4794636566096994E-4</v>
      </c>
      <c r="BQ207" s="48">
        <f t="shared" ref="BQ207:BQ270" si="182">BN207*BV207+BO207*BX207</f>
        <v>1.6616655674652654E-3</v>
      </c>
      <c r="BR207" s="40">
        <f t="shared" ref="BR207:BR270" si="183">(BI207+BJ207)/BH207</f>
        <v>0.58821462461381757</v>
      </c>
      <c r="BS207" s="31">
        <v>1.5</v>
      </c>
      <c r="BT207" s="31">
        <v>1.5</v>
      </c>
      <c r="BU207" s="43">
        <v>0.14000000000000001</v>
      </c>
      <c r="BV207" s="44">
        <v>0.42</v>
      </c>
      <c r="BW207" s="43">
        <v>2.3E-2</v>
      </c>
      <c r="BX207" s="44">
        <v>0.2</v>
      </c>
      <c r="BY207" s="44">
        <v>17.442066059404368</v>
      </c>
      <c r="BZ207" s="44">
        <v>0.52</v>
      </c>
      <c r="CA207" s="44">
        <v>0.65</v>
      </c>
      <c r="CB207" s="47">
        <v>1</v>
      </c>
      <c r="CC207" s="46">
        <v>3.3053800540389702</v>
      </c>
      <c r="CD207" s="46">
        <v>20.327520115960358</v>
      </c>
      <c r="CE207" s="46">
        <v>76.367099830000683</v>
      </c>
      <c r="CF207" s="125">
        <v>1</v>
      </c>
      <c r="CG207" s="40">
        <f t="shared" si="151"/>
        <v>2.2911749655823248E-2</v>
      </c>
      <c r="CH207" s="40">
        <f t="shared" si="152"/>
        <v>2.2911749655823248E-2</v>
      </c>
      <c r="CI207" s="99">
        <f t="shared" si="153"/>
        <v>7.5732040315492396E-4</v>
      </c>
      <c r="CJ207" s="100">
        <f t="shared" si="154"/>
        <v>4.6573905202059486E-3</v>
      </c>
      <c r="CK207" s="100">
        <f t="shared" si="155"/>
        <v>1.7497038732462378E-2</v>
      </c>
      <c r="CL207" s="101">
        <f t="shared" ref="CL207:CL270" si="184">CJ207*CU207+CK207*CW207</f>
        <v>9.4961162840745362E-4</v>
      </c>
      <c r="CM207" s="100">
        <f t="shared" ref="CM207:CM270" si="185">CJ207*CV207+CK207*CX207</f>
        <v>4.4875120179517364E-3</v>
      </c>
      <c r="CN207" s="100">
        <f t="shared" ref="CN207:CN270" si="186">CJ207*CS207</f>
        <v>6.9860857803089229E-3</v>
      </c>
      <c r="CO207" s="100">
        <f t="shared" ref="CO207:CO270" si="187">CK207*CT207</f>
        <v>2.6245558098693569E-2</v>
      </c>
      <c r="CP207" s="101">
        <f t="shared" ref="CP207:CP270" si="188">CN207*CU207+CO207*CW207</f>
        <v>1.4244174426111802E-3</v>
      </c>
      <c r="CQ207" s="100">
        <f t="shared" ref="CQ207:CQ270" si="189">CN207*CV207+CO207*CX207</f>
        <v>6.7312680269276046E-3</v>
      </c>
      <c r="CR207" s="99">
        <f t="shared" ref="CR207:CR270" si="190">(CI207+CJ207)/CH207</f>
        <v>0.23632900169999327</v>
      </c>
      <c r="CS207" s="31">
        <v>1.5</v>
      </c>
      <c r="CT207" s="31">
        <v>1.5</v>
      </c>
      <c r="CU207" s="43">
        <v>0.125</v>
      </c>
      <c r="CV207" s="44">
        <v>0.4</v>
      </c>
      <c r="CW207" s="43">
        <v>2.1000000000000001E-2</v>
      </c>
      <c r="CX207" s="44">
        <v>0.15</v>
      </c>
    </row>
    <row r="208" spans="1:102" s="27" customFormat="1" x14ac:dyDescent="0.25">
      <c r="A208" s="31">
        <v>194</v>
      </c>
      <c r="B208" s="84" t="s">
        <v>91</v>
      </c>
      <c r="C208" s="19">
        <v>70</v>
      </c>
      <c r="D208" s="31" t="s">
        <v>36</v>
      </c>
      <c r="E208" s="31" t="s">
        <v>6</v>
      </c>
      <c r="F208" s="19" t="s">
        <v>0</v>
      </c>
      <c r="G208" s="31" t="str">
        <f t="shared" ref="G208:G271" si="191">D208&amp;" "&amp;C208&amp;" "&amp;E208&amp;" "&amp;B208&amp;" "&amp;F208</f>
        <v>Kommunal 70 Y 4L D</v>
      </c>
      <c r="H208" s="48">
        <f t="shared" si="157"/>
        <v>6.1590272856065539E-2</v>
      </c>
      <c r="I208" s="40">
        <f t="shared" si="158"/>
        <v>0.1089318506165798</v>
      </c>
      <c r="J208" s="99">
        <f t="shared" si="159"/>
        <v>1.200392191982284E-3</v>
      </c>
      <c r="K208" s="48">
        <f t="shared" si="160"/>
        <v>1.7725640174769304E-2</v>
      </c>
      <c r="L208" s="48">
        <f t="shared" si="161"/>
        <v>9.0005818249828215E-2</v>
      </c>
      <c r="M208" s="48">
        <f t="shared" ref="M208:M271" si="192">AI208</f>
        <v>0.46518933511110794</v>
      </c>
      <c r="N208" s="99">
        <f t="shared" si="162"/>
        <v>3.4912495249539706E-3</v>
      </c>
      <c r="O208" s="48">
        <f t="shared" si="163"/>
        <v>1.8880345023913392E-2</v>
      </c>
      <c r="P208" s="48">
        <f t="shared" si="164"/>
        <v>2.658846026215396E-2</v>
      </c>
      <c r="Q208" s="48">
        <f t="shared" si="165"/>
        <v>0.13500872737474234</v>
      </c>
      <c r="R208" s="40">
        <f t="shared" ref="R208:R271" si="193">AN208</f>
        <v>3.2563253457777557</v>
      </c>
      <c r="S208" s="99">
        <f t="shared" si="166"/>
        <v>5.2368742874309556E-3</v>
      </c>
      <c r="T208" s="48">
        <f t="shared" si="167"/>
        <v>2.8320517535870084E-2</v>
      </c>
      <c r="U208" s="44">
        <v>1.4358465000000005</v>
      </c>
      <c r="V208" s="44">
        <v>1.2</v>
      </c>
      <c r="W208" s="19">
        <v>0</v>
      </c>
      <c r="X208" s="44">
        <v>2.3623217715331379</v>
      </c>
      <c r="Y208" s="46">
        <v>0</v>
      </c>
      <c r="Z208" s="46">
        <v>13.644278921577744</v>
      </c>
      <c r="AA208" s="46">
        <v>86.355721078422263</v>
      </c>
      <c r="AB208" s="46">
        <v>5.6666666666666661</v>
      </c>
      <c r="AC208" s="125">
        <v>1</v>
      </c>
      <c r="AD208" s="94">
        <f t="shared" ref="AD208:AD271" si="194">AC208*$E$7*U208/10^6*($B$7)^V208*($B$8/$B$7)^W208</f>
        <v>3.4750657847328323E-2</v>
      </c>
      <c r="AE208" s="94">
        <f t="shared" ref="AE208:AE238" si="195">X208*AD208</f>
        <v>8.2092235607842581E-2</v>
      </c>
      <c r="AF208" s="96">
        <f t="shared" si="168"/>
        <v>0</v>
      </c>
      <c r="AG208" s="95">
        <f t="shared" si="156"/>
        <v>1.1200893599292805E-2</v>
      </c>
      <c r="AH208" s="94">
        <f t="shared" ref="AH208:AH238" si="196">$AE208*AA208/100</f>
        <v>7.0891342008549782E-2</v>
      </c>
      <c r="AI208" s="94">
        <f t="shared" ref="AI208:AI238" si="197">$AE208*AB208</f>
        <v>0.46518933511110794</v>
      </c>
      <c r="AJ208" s="96">
        <f t="shared" si="169"/>
        <v>2.2430069861058702E-3</v>
      </c>
      <c r="AK208" s="95">
        <f t="shared" si="170"/>
        <v>1.3285055960984811E-2</v>
      </c>
      <c r="AL208" s="95">
        <f t="shared" si="171"/>
        <v>1.6801340398939206E-2</v>
      </c>
      <c r="AM208" s="94">
        <f t="shared" si="172"/>
        <v>0.10633701301282467</v>
      </c>
      <c r="AN208" s="93">
        <f t="shared" si="173"/>
        <v>3.2563253457777557</v>
      </c>
      <c r="AO208" s="96">
        <f t="shared" si="174"/>
        <v>3.3645104791588053E-3</v>
      </c>
      <c r="AP208" s="95">
        <f t="shared" si="175"/>
        <v>1.9927583941477214E-2</v>
      </c>
      <c r="AQ208" s="93">
        <f t="shared" si="176"/>
        <v>0.13644278921577743</v>
      </c>
      <c r="AR208" s="31">
        <v>1.5</v>
      </c>
      <c r="AS208" s="31">
        <v>1.5</v>
      </c>
      <c r="AT208" s="31">
        <v>7</v>
      </c>
      <c r="AU208" s="43">
        <v>0.08</v>
      </c>
      <c r="AV208" s="44">
        <v>0.3</v>
      </c>
      <c r="AW208" s="43">
        <v>1.9E-2</v>
      </c>
      <c r="AX208" s="44">
        <v>0.14000000000000001</v>
      </c>
      <c r="AY208" s="44">
        <v>6.773431420152356</v>
      </c>
      <c r="AZ208" s="46">
        <v>0.5</v>
      </c>
      <c r="BA208" s="44">
        <v>0.72</v>
      </c>
      <c r="BB208" s="47">
        <v>1</v>
      </c>
      <c r="BC208" s="46">
        <v>11.280218363357534</v>
      </c>
      <c r="BD208" s="47">
        <v>47.541244098024215</v>
      </c>
      <c r="BE208" s="47">
        <v>41.178537538618251</v>
      </c>
      <c r="BF208" s="125">
        <v>1</v>
      </c>
      <c r="BG208" s="48">
        <f t="shared" ref="BG208:BG271" si="198">BF208*$E$8*AY208/10^6*($B$7)^AZ208*($B$9)^BA208</f>
        <v>3.9278653529139715E-3</v>
      </c>
      <c r="BH208" s="48">
        <f t="shared" ref="BH208:BH238" si="199">BB208*BG208</f>
        <v>3.9278653529139715E-3</v>
      </c>
      <c r="BI208" s="99">
        <f t="shared" ref="BI208:BI238" si="200">$BH208*BC208/100</f>
        <v>4.4307178882736005E-4</v>
      </c>
      <c r="BJ208" s="99">
        <f t="shared" ref="BJ208:BJ271" si="201">$BH208*BD208/100</f>
        <v>1.8673560552705515E-3</v>
      </c>
      <c r="BK208" s="48">
        <f t="shared" ref="BK208:BK238" si="202">$BH208*BE208/100</f>
        <v>1.61743750881606E-3</v>
      </c>
      <c r="BL208" s="99">
        <f t="shared" si="177"/>
        <v>2.9863091044064663E-4</v>
      </c>
      <c r="BM208" s="48">
        <f t="shared" si="178"/>
        <v>1.1077770449768438E-3</v>
      </c>
      <c r="BN208" s="48">
        <f t="shared" si="179"/>
        <v>2.8010340829058272E-3</v>
      </c>
      <c r="BO208" s="48">
        <f t="shared" si="180"/>
        <v>2.4261562632240902E-3</v>
      </c>
      <c r="BP208" s="99">
        <f t="shared" si="181"/>
        <v>4.4794636566096994E-4</v>
      </c>
      <c r="BQ208" s="48">
        <f t="shared" si="182"/>
        <v>1.6616655674652654E-3</v>
      </c>
      <c r="BR208" s="40">
        <f t="shared" si="183"/>
        <v>0.58821462461381757</v>
      </c>
      <c r="BS208" s="31">
        <v>1.5</v>
      </c>
      <c r="BT208" s="31">
        <v>1.5</v>
      </c>
      <c r="BU208" s="43">
        <v>0.14000000000000001</v>
      </c>
      <c r="BV208" s="44">
        <v>0.42</v>
      </c>
      <c r="BW208" s="43">
        <v>2.3E-2</v>
      </c>
      <c r="BX208" s="44">
        <v>0.2</v>
      </c>
      <c r="BY208" s="44">
        <v>17.442066059404368</v>
      </c>
      <c r="BZ208" s="44">
        <v>0.52</v>
      </c>
      <c r="CA208" s="44">
        <v>0.65</v>
      </c>
      <c r="CB208" s="47">
        <v>1</v>
      </c>
      <c r="CC208" s="46">
        <v>3.3053800540389702</v>
      </c>
      <c r="CD208" s="46">
        <v>20.327520115960358</v>
      </c>
      <c r="CE208" s="46">
        <v>76.367099830000683</v>
      </c>
      <c r="CF208" s="125">
        <v>1</v>
      </c>
      <c r="CG208" s="40">
        <f t="shared" ref="CG208:CG271" si="203">CF208*$E$9*BY208/10^6*($B$7)^BZ208*($B$10)^CA208</f>
        <v>2.2911749655823248E-2</v>
      </c>
      <c r="CH208" s="40">
        <f t="shared" ref="CH208:CH238" si="204">CB208*CG208</f>
        <v>2.2911749655823248E-2</v>
      </c>
      <c r="CI208" s="99">
        <f t="shared" ref="CI208:CI271" si="205">CC208/100*CH208</f>
        <v>7.5732040315492396E-4</v>
      </c>
      <c r="CJ208" s="100">
        <f t="shared" ref="CJ208:CJ271" si="206">CD208/100*CH208</f>
        <v>4.6573905202059486E-3</v>
      </c>
      <c r="CK208" s="100">
        <f t="shared" ref="CK208:CK271" si="207">CE208/100*CH208</f>
        <v>1.7497038732462378E-2</v>
      </c>
      <c r="CL208" s="101">
        <f t="shared" si="184"/>
        <v>9.4961162840745362E-4</v>
      </c>
      <c r="CM208" s="100">
        <f t="shared" si="185"/>
        <v>4.4875120179517364E-3</v>
      </c>
      <c r="CN208" s="100">
        <f t="shared" si="186"/>
        <v>6.9860857803089229E-3</v>
      </c>
      <c r="CO208" s="100">
        <f t="shared" si="187"/>
        <v>2.6245558098693569E-2</v>
      </c>
      <c r="CP208" s="101">
        <f t="shared" si="188"/>
        <v>1.4244174426111802E-3</v>
      </c>
      <c r="CQ208" s="100">
        <f t="shared" si="189"/>
        <v>6.7312680269276046E-3</v>
      </c>
      <c r="CR208" s="99">
        <f t="shared" si="190"/>
        <v>0.23632900169999327</v>
      </c>
      <c r="CS208" s="31">
        <v>1.5</v>
      </c>
      <c r="CT208" s="31">
        <v>1.5</v>
      </c>
      <c r="CU208" s="43">
        <v>0.125</v>
      </c>
      <c r="CV208" s="44">
        <v>0.4</v>
      </c>
      <c r="CW208" s="43">
        <v>2.1000000000000001E-2</v>
      </c>
      <c r="CX208" s="44">
        <v>0.15</v>
      </c>
    </row>
    <row r="209" spans="1:102" s="27" customFormat="1" x14ac:dyDescent="0.25">
      <c r="A209" s="31">
        <v>195</v>
      </c>
      <c r="B209" s="84" t="s">
        <v>91</v>
      </c>
      <c r="C209" s="19">
        <v>70</v>
      </c>
      <c r="D209" s="31" t="s">
        <v>36</v>
      </c>
      <c r="E209" s="31" t="s">
        <v>6</v>
      </c>
      <c r="F209" s="19" t="s">
        <v>62</v>
      </c>
      <c r="G209" s="31" t="str">
        <f t="shared" si="191"/>
        <v>Kommunal 70 Y 4L EE</v>
      </c>
      <c r="H209" s="48">
        <f t="shared" si="157"/>
        <v>0.24004474432256867</v>
      </c>
      <c r="I209" s="40">
        <f t="shared" si="158"/>
        <v>0.3368270160184606</v>
      </c>
      <c r="J209" s="99">
        <f t="shared" si="159"/>
        <v>6.3636321594454266E-3</v>
      </c>
      <c r="K209" s="48">
        <f t="shared" si="160"/>
        <v>0.10178386587755611</v>
      </c>
      <c r="L209" s="48">
        <f t="shared" si="161"/>
        <v>0.22867951798145908</v>
      </c>
      <c r="M209" s="48">
        <f t="shared" si="192"/>
        <v>0.44607943072130923</v>
      </c>
      <c r="N209" s="99">
        <f t="shared" si="162"/>
        <v>1.2850707876077902E-2</v>
      </c>
      <c r="O209" s="48">
        <f t="shared" si="163"/>
        <v>6.351213069717776E-2</v>
      </c>
      <c r="P209" s="48">
        <f t="shared" si="164"/>
        <v>0.15267579881633417</v>
      </c>
      <c r="Q209" s="48">
        <f t="shared" si="165"/>
        <v>0.34301927697218854</v>
      </c>
      <c r="R209" s="40">
        <f t="shared" si="193"/>
        <v>3.1225560150491645</v>
      </c>
      <c r="S209" s="99">
        <f t="shared" si="166"/>
        <v>1.9276061814116854E-2</v>
      </c>
      <c r="T209" s="48">
        <f t="shared" si="167"/>
        <v>9.5268196045766612E-2</v>
      </c>
      <c r="U209" s="44">
        <v>13.670712000000007</v>
      </c>
      <c r="V209" s="44">
        <v>1.2</v>
      </c>
      <c r="W209" s="19">
        <v>0.2</v>
      </c>
      <c r="X209" s="44">
        <v>1.4539396965137334</v>
      </c>
      <c r="Y209" s="46">
        <v>1.6656289741598842</v>
      </c>
      <c r="Z209" s="46">
        <v>30.729997087556349</v>
      </c>
      <c r="AA209" s="46">
        <v>67.604373938283757</v>
      </c>
      <c r="AB209" s="46">
        <v>1.4390243902439024</v>
      </c>
      <c r="AC209" s="125">
        <v>1</v>
      </c>
      <c r="AD209" s="94">
        <f t="shared" si="194"/>
        <v>0.21320512931383145</v>
      </c>
      <c r="AE209" s="94">
        <f t="shared" si="195"/>
        <v>0.30998740100972338</v>
      </c>
      <c r="AF209" s="96">
        <f t="shared" si="168"/>
        <v>5.1632399674631426E-3</v>
      </c>
      <c r="AG209" s="95">
        <f t="shared" si="156"/>
        <v>9.5259119302079615E-2</v>
      </c>
      <c r="AH209" s="94">
        <f t="shared" si="196"/>
        <v>0.20956504174018062</v>
      </c>
      <c r="AI209" s="94">
        <f t="shared" si="197"/>
        <v>0.44607943072130923</v>
      </c>
      <c r="AJ209" s="96">
        <f t="shared" si="169"/>
        <v>1.1602465337229802E-2</v>
      </c>
      <c r="AK209" s="95">
        <f t="shared" si="170"/>
        <v>5.7916841634249171E-2</v>
      </c>
      <c r="AL209" s="95">
        <f t="shared" si="171"/>
        <v>0.14288867895311941</v>
      </c>
      <c r="AM209" s="94">
        <f t="shared" si="172"/>
        <v>0.31434756261027091</v>
      </c>
      <c r="AN209" s="93">
        <f t="shared" si="173"/>
        <v>3.1225560150491645</v>
      </c>
      <c r="AO209" s="96">
        <f t="shared" si="174"/>
        <v>1.7403698005844702E-2</v>
      </c>
      <c r="AP209" s="95">
        <f t="shared" si="175"/>
        <v>8.6875262451373753E-2</v>
      </c>
      <c r="AQ209" s="93">
        <f t="shared" si="176"/>
        <v>0.32395626061716232</v>
      </c>
      <c r="AR209" s="31">
        <v>1.5</v>
      </c>
      <c r="AS209" s="31">
        <v>1.5</v>
      </c>
      <c r="AT209" s="31">
        <v>7</v>
      </c>
      <c r="AU209" s="43">
        <v>0.08</v>
      </c>
      <c r="AV209" s="44">
        <v>0.3</v>
      </c>
      <c r="AW209" s="43">
        <v>1.9E-2</v>
      </c>
      <c r="AX209" s="44">
        <v>0.14000000000000001</v>
      </c>
      <c r="AY209" s="44">
        <v>6.773431420152356</v>
      </c>
      <c r="AZ209" s="46">
        <v>0.5</v>
      </c>
      <c r="BA209" s="44">
        <v>0.72</v>
      </c>
      <c r="BB209" s="47">
        <v>1</v>
      </c>
      <c r="BC209" s="46">
        <v>11.280218363357534</v>
      </c>
      <c r="BD209" s="47">
        <v>47.541244098024215</v>
      </c>
      <c r="BE209" s="47">
        <v>41.178537538618251</v>
      </c>
      <c r="BF209" s="125">
        <v>1</v>
      </c>
      <c r="BG209" s="48">
        <f t="shared" si="198"/>
        <v>3.9278653529139715E-3</v>
      </c>
      <c r="BH209" s="48">
        <f t="shared" si="199"/>
        <v>3.9278653529139715E-3</v>
      </c>
      <c r="BI209" s="99">
        <f t="shared" si="200"/>
        <v>4.4307178882736005E-4</v>
      </c>
      <c r="BJ209" s="99">
        <f t="shared" si="201"/>
        <v>1.8673560552705515E-3</v>
      </c>
      <c r="BK209" s="48">
        <f t="shared" si="202"/>
        <v>1.61743750881606E-3</v>
      </c>
      <c r="BL209" s="99">
        <f t="shared" si="177"/>
        <v>2.9863091044064663E-4</v>
      </c>
      <c r="BM209" s="48">
        <f t="shared" si="178"/>
        <v>1.1077770449768438E-3</v>
      </c>
      <c r="BN209" s="48">
        <f t="shared" si="179"/>
        <v>2.8010340829058272E-3</v>
      </c>
      <c r="BO209" s="48">
        <f t="shared" si="180"/>
        <v>2.4261562632240902E-3</v>
      </c>
      <c r="BP209" s="99">
        <f t="shared" si="181"/>
        <v>4.4794636566096994E-4</v>
      </c>
      <c r="BQ209" s="48">
        <f t="shared" si="182"/>
        <v>1.6616655674652654E-3</v>
      </c>
      <c r="BR209" s="40">
        <f t="shared" si="183"/>
        <v>0.58821462461381757</v>
      </c>
      <c r="BS209" s="31">
        <v>1.5</v>
      </c>
      <c r="BT209" s="31">
        <v>1.5</v>
      </c>
      <c r="BU209" s="43">
        <v>0.14000000000000001</v>
      </c>
      <c r="BV209" s="44">
        <v>0.42</v>
      </c>
      <c r="BW209" s="43">
        <v>2.3E-2</v>
      </c>
      <c r="BX209" s="44">
        <v>0.2</v>
      </c>
      <c r="BY209" s="44">
        <v>17.442066059404368</v>
      </c>
      <c r="BZ209" s="44">
        <v>0.52</v>
      </c>
      <c r="CA209" s="44">
        <v>0.65</v>
      </c>
      <c r="CB209" s="47">
        <v>1</v>
      </c>
      <c r="CC209" s="46">
        <v>3.3053800540389702</v>
      </c>
      <c r="CD209" s="46">
        <v>20.327520115960358</v>
      </c>
      <c r="CE209" s="46">
        <v>76.367099830000683</v>
      </c>
      <c r="CF209" s="125">
        <v>1</v>
      </c>
      <c r="CG209" s="40">
        <f t="shared" si="203"/>
        <v>2.2911749655823248E-2</v>
      </c>
      <c r="CH209" s="40">
        <f t="shared" si="204"/>
        <v>2.2911749655823248E-2</v>
      </c>
      <c r="CI209" s="99">
        <f t="shared" si="205"/>
        <v>7.5732040315492396E-4</v>
      </c>
      <c r="CJ209" s="100">
        <f t="shared" si="206"/>
        <v>4.6573905202059486E-3</v>
      </c>
      <c r="CK209" s="100">
        <f t="shared" si="207"/>
        <v>1.7497038732462378E-2</v>
      </c>
      <c r="CL209" s="101">
        <f t="shared" si="184"/>
        <v>9.4961162840745362E-4</v>
      </c>
      <c r="CM209" s="100">
        <f t="shared" si="185"/>
        <v>4.4875120179517364E-3</v>
      </c>
      <c r="CN209" s="100">
        <f t="shared" si="186"/>
        <v>6.9860857803089229E-3</v>
      </c>
      <c r="CO209" s="100">
        <f t="shared" si="187"/>
        <v>2.6245558098693569E-2</v>
      </c>
      <c r="CP209" s="101">
        <f t="shared" si="188"/>
        <v>1.4244174426111802E-3</v>
      </c>
      <c r="CQ209" s="100">
        <f t="shared" si="189"/>
        <v>6.7312680269276046E-3</v>
      </c>
      <c r="CR209" s="99">
        <f t="shared" si="190"/>
        <v>0.23632900169999327</v>
      </c>
      <c r="CS209" s="31">
        <v>1.5</v>
      </c>
      <c r="CT209" s="31">
        <v>1.5</v>
      </c>
      <c r="CU209" s="43">
        <v>0.125</v>
      </c>
      <c r="CV209" s="44">
        <v>0.4</v>
      </c>
      <c r="CW209" s="43">
        <v>2.1000000000000001E-2</v>
      </c>
      <c r="CX209" s="44">
        <v>0.15</v>
      </c>
    </row>
    <row r="210" spans="1:102" s="27" customFormat="1" x14ac:dyDescent="0.25">
      <c r="A210" s="31">
        <v>196</v>
      </c>
      <c r="B210" s="84" t="s">
        <v>91</v>
      </c>
      <c r="C210" s="19">
        <v>70</v>
      </c>
      <c r="D210" s="31" t="s">
        <v>36</v>
      </c>
      <c r="E210" s="31" t="s">
        <v>6</v>
      </c>
      <c r="F210" s="19" t="s">
        <v>63</v>
      </c>
      <c r="G210" s="31" t="str">
        <f t="shared" si="191"/>
        <v>Kommunal 70 Y 4L ES</v>
      </c>
      <c r="H210" s="48">
        <f t="shared" si="157"/>
        <v>0.14289751403154932</v>
      </c>
      <c r="I210" s="40">
        <f t="shared" si="158"/>
        <v>0.20317786259137269</v>
      </c>
      <c r="J210" s="99">
        <f t="shared" si="159"/>
        <v>2.6424280268917276E-3</v>
      </c>
      <c r="K210" s="48">
        <f t="shared" si="160"/>
        <v>3.5548185241081796E-2</v>
      </c>
      <c r="L210" s="48">
        <f t="shared" si="161"/>
        <v>0.16498724932339917</v>
      </c>
      <c r="M210" s="48">
        <f t="shared" si="192"/>
        <v>0.43172467511610751</v>
      </c>
      <c r="N210" s="99">
        <f t="shared" si="162"/>
        <v>6.3417003206568175E-3</v>
      </c>
      <c r="O210" s="48">
        <f t="shared" si="163"/>
        <v>3.4724508894107067E-2</v>
      </c>
      <c r="P210" s="48">
        <f t="shared" si="164"/>
        <v>5.3322277861622698E-2</v>
      </c>
      <c r="Q210" s="48">
        <f t="shared" si="165"/>
        <v>0.24748087398509871</v>
      </c>
      <c r="R210" s="40">
        <f t="shared" si="193"/>
        <v>3.0220727258127527</v>
      </c>
      <c r="S210" s="99">
        <f t="shared" si="166"/>
        <v>9.5125504809852254E-3</v>
      </c>
      <c r="T210" s="48">
        <f t="shared" si="167"/>
        <v>5.2086763341160601E-2</v>
      </c>
      <c r="U210" s="44">
        <v>7.4416320000000029</v>
      </c>
      <c r="V210" s="44">
        <v>1.2</v>
      </c>
      <c r="W210" s="19">
        <v>0.2</v>
      </c>
      <c r="X210" s="44">
        <v>1.5193989299080346</v>
      </c>
      <c r="Y210" s="46">
        <v>0.81776690801788654</v>
      </c>
      <c r="Z210" s="46">
        <v>16.458958316461867</v>
      </c>
      <c r="AA210" s="46">
        <v>82.723274775520238</v>
      </c>
      <c r="AB210" s="46">
        <v>2.4482758620689653</v>
      </c>
      <c r="AC210" s="125">
        <v>1</v>
      </c>
      <c r="AD210" s="94">
        <f t="shared" si="194"/>
        <v>0.11605789902281212</v>
      </c>
      <c r="AE210" s="94">
        <f t="shared" si="195"/>
        <v>0.17633824758263547</v>
      </c>
      <c r="AF210" s="96">
        <f t="shared" si="168"/>
        <v>1.4420358349094436E-3</v>
      </c>
      <c r="AG210" s="95">
        <f t="shared" si="156"/>
        <v>2.9023438665605295E-2</v>
      </c>
      <c r="AH210" s="94">
        <f t="shared" si="196"/>
        <v>0.14587277308212071</v>
      </c>
      <c r="AI210" s="94">
        <f t="shared" si="197"/>
        <v>0.43172467511610751</v>
      </c>
      <c r="AJ210" s="96">
        <f t="shared" si="169"/>
        <v>5.0934577818087167E-3</v>
      </c>
      <c r="AK210" s="95">
        <f t="shared" si="170"/>
        <v>2.9129219831178492E-2</v>
      </c>
      <c r="AL210" s="95">
        <f t="shared" si="171"/>
        <v>4.3535157998407945E-2</v>
      </c>
      <c r="AM210" s="94">
        <f t="shared" si="172"/>
        <v>0.21880915962318107</v>
      </c>
      <c r="AN210" s="93">
        <f t="shared" si="173"/>
        <v>3.0220727258127527</v>
      </c>
      <c r="AO210" s="96">
        <f t="shared" si="174"/>
        <v>7.6401866727130755E-3</v>
      </c>
      <c r="AP210" s="95">
        <f t="shared" si="175"/>
        <v>4.3693829746767734E-2</v>
      </c>
      <c r="AQ210" s="93">
        <f t="shared" si="176"/>
        <v>0.17276725224479753</v>
      </c>
      <c r="AR210" s="31">
        <v>1.5</v>
      </c>
      <c r="AS210" s="31">
        <v>1.5</v>
      </c>
      <c r="AT210" s="31">
        <v>7</v>
      </c>
      <c r="AU210" s="43">
        <v>0.08</v>
      </c>
      <c r="AV210" s="44">
        <v>0.3</v>
      </c>
      <c r="AW210" s="43">
        <v>1.9E-2</v>
      </c>
      <c r="AX210" s="44">
        <v>0.14000000000000001</v>
      </c>
      <c r="AY210" s="44">
        <v>6.7734314201523551</v>
      </c>
      <c r="AZ210" s="46">
        <v>0.5</v>
      </c>
      <c r="BA210" s="44">
        <v>0.72</v>
      </c>
      <c r="BB210" s="47">
        <v>1</v>
      </c>
      <c r="BC210" s="46">
        <v>11.280218363357534</v>
      </c>
      <c r="BD210" s="47">
        <v>47.541244098024222</v>
      </c>
      <c r="BE210" s="47">
        <v>41.178537538618244</v>
      </c>
      <c r="BF210" s="125">
        <v>1</v>
      </c>
      <c r="BG210" s="48">
        <f t="shared" si="198"/>
        <v>3.9278653529139706E-3</v>
      </c>
      <c r="BH210" s="48">
        <f t="shared" si="199"/>
        <v>3.9278653529139706E-3</v>
      </c>
      <c r="BI210" s="99">
        <f t="shared" si="200"/>
        <v>4.4307178882735989E-4</v>
      </c>
      <c r="BJ210" s="99">
        <f t="shared" si="201"/>
        <v>1.8673560552705515E-3</v>
      </c>
      <c r="BK210" s="48">
        <f t="shared" si="202"/>
        <v>1.6174375088160594E-3</v>
      </c>
      <c r="BL210" s="99">
        <f t="shared" si="177"/>
        <v>2.9863091044064657E-4</v>
      </c>
      <c r="BM210" s="48">
        <f t="shared" si="178"/>
        <v>1.1077770449768435E-3</v>
      </c>
      <c r="BN210" s="48">
        <f t="shared" si="179"/>
        <v>2.8010340829058272E-3</v>
      </c>
      <c r="BO210" s="48">
        <f t="shared" si="180"/>
        <v>2.4261562632240889E-3</v>
      </c>
      <c r="BP210" s="99">
        <f t="shared" si="181"/>
        <v>4.4794636566096988E-4</v>
      </c>
      <c r="BQ210" s="48">
        <f t="shared" si="182"/>
        <v>1.6616655674652652E-3</v>
      </c>
      <c r="BR210" s="40">
        <f t="shared" si="183"/>
        <v>0.58821462461381757</v>
      </c>
      <c r="BS210" s="31">
        <v>1.5</v>
      </c>
      <c r="BT210" s="31">
        <v>1.5</v>
      </c>
      <c r="BU210" s="43">
        <v>0.14000000000000001</v>
      </c>
      <c r="BV210" s="44">
        <v>0.42</v>
      </c>
      <c r="BW210" s="43">
        <v>2.3E-2</v>
      </c>
      <c r="BX210" s="44">
        <v>0.2</v>
      </c>
      <c r="BY210" s="44">
        <v>17.442066059404368</v>
      </c>
      <c r="BZ210" s="44">
        <v>0.52</v>
      </c>
      <c r="CA210" s="44">
        <v>0.65</v>
      </c>
      <c r="CB210" s="47">
        <v>1</v>
      </c>
      <c r="CC210" s="46">
        <v>3.3053800540389702</v>
      </c>
      <c r="CD210" s="46">
        <v>20.327520115960358</v>
      </c>
      <c r="CE210" s="46">
        <v>76.367099830000683</v>
      </c>
      <c r="CF210" s="125">
        <v>1</v>
      </c>
      <c r="CG210" s="40">
        <f t="shared" si="203"/>
        <v>2.2911749655823248E-2</v>
      </c>
      <c r="CH210" s="40">
        <f t="shared" si="204"/>
        <v>2.2911749655823248E-2</v>
      </c>
      <c r="CI210" s="99">
        <f t="shared" si="205"/>
        <v>7.5732040315492396E-4</v>
      </c>
      <c r="CJ210" s="100">
        <f t="shared" si="206"/>
        <v>4.6573905202059486E-3</v>
      </c>
      <c r="CK210" s="100">
        <f t="shared" si="207"/>
        <v>1.7497038732462378E-2</v>
      </c>
      <c r="CL210" s="101">
        <f t="shared" si="184"/>
        <v>9.4961162840745362E-4</v>
      </c>
      <c r="CM210" s="100">
        <f t="shared" si="185"/>
        <v>4.4875120179517364E-3</v>
      </c>
      <c r="CN210" s="100">
        <f t="shared" si="186"/>
        <v>6.9860857803089229E-3</v>
      </c>
      <c r="CO210" s="100">
        <f t="shared" si="187"/>
        <v>2.6245558098693569E-2</v>
      </c>
      <c r="CP210" s="101">
        <f t="shared" si="188"/>
        <v>1.4244174426111802E-3</v>
      </c>
      <c r="CQ210" s="100">
        <f t="shared" si="189"/>
        <v>6.7312680269276046E-3</v>
      </c>
      <c r="CR210" s="99">
        <f t="shared" si="190"/>
        <v>0.23632900169999327</v>
      </c>
      <c r="CS210" s="31">
        <v>1.5</v>
      </c>
      <c r="CT210" s="31">
        <v>1.5</v>
      </c>
      <c r="CU210" s="43">
        <v>0.125</v>
      </c>
      <c r="CV210" s="44">
        <v>0.4</v>
      </c>
      <c r="CW210" s="43">
        <v>2.1000000000000001E-2</v>
      </c>
      <c r="CX210" s="44">
        <v>0.15</v>
      </c>
    </row>
    <row r="211" spans="1:102" s="27" customFormat="1" x14ac:dyDescent="0.25">
      <c r="A211" s="31">
        <v>197</v>
      </c>
      <c r="B211" s="84" t="s">
        <v>91</v>
      </c>
      <c r="C211" s="19">
        <v>70</v>
      </c>
      <c r="D211" s="31" t="s">
        <v>36</v>
      </c>
      <c r="E211" s="31" t="s">
        <v>6</v>
      </c>
      <c r="F211" s="19" t="s">
        <v>64</v>
      </c>
      <c r="G211" s="31" t="str">
        <f t="shared" si="191"/>
        <v>Kommunal 70 Y 4L F</v>
      </c>
      <c r="H211" s="48">
        <f t="shared" si="157"/>
        <v>4.8451108029613041E-2</v>
      </c>
      <c r="I211" s="40">
        <f t="shared" si="158"/>
        <v>5.9604550004185117E-2</v>
      </c>
      <c r="J211" s="99">
        <f t="shared" si="159"/>
        <v>1.4686196919563319E-3</v>
      </c>
      <c r="K211" s="48">
        <f t="shared" si="160"/>
        <v>1.222320272506432E-2</v>
      </c>
      <c r="L211" s="48">
        <f t="shared" si="161"/>
        <v>4.5912727587164456E-2</v>
      </c>
      <c r="M211" s="48">
        <f t="shared" si="192"/>
        <v>0.1310597399817916</v>
      </c>
      <c r="N211" s="99">
        <f t="shared" si="162"/>
        <v>2.2132858063869604E-3</v>
      </c>
      <c r="O211" s="48">
        <f t="shared" si="163"/>
        <v>1.1056581096228969E-2</v>
      </c>
      <c r="P211" s="48">
        <f t="shared" si="164"/>
        <v>1.8334804087596482E-2</v>
      </c>
      <c r="Q211" s="48">
        <f t="shared" si="165"/>
        <v>6.8869091380746691E-2</v>
      </c>
      <c r="R211" s="40">
        <f t="shared" si="193"/>
        <v>0.91741817987254115</v>
      </c>
      <c r="S211" s="99">
        <f t="shared" si="166"/>
        <v>3.3199287095804402E-3</v>
      </c>
      <c r="T211" s="48">
        <f t="shared" si="167"/>
        <v>1.6584871644343455E-2</v>
      </c>
      <c r="U211" s="44">
        <v>1.5760799999999999</v>
      </c>
      <c r="V211" s="19">
        <v>1.25</v>
      </c>
      <c r="W211" s="19">
        <v>0.45</v>
      </c>
      <c r="X211" s="44">
        <v>1.516088451815814</v>
      </c>
      <c r="Y211" s="46">
        <v>0.81864194148809843</v>
      </c>
      <c r="Z211" s="46">
        <v>17.391934854683893</v>
      </c>
      <c r="AA211" s="46">
        <v>81.789423203828008</v>
      </c>
      <c r="AB211" s="46">
        <v>4.0000000000000009</v>
      </c>
      <c r="AC211" s="125">
        <v>1</v>
      </c>
      <c r="AD211" s="94">
        <f t="shared" si="194"/>
        <v>2.1611493020875821E-2</v>
      </c>
      <c r="AE211" s="94">
        <f t="shared" si="195"/>
        <v>3.2764934995447893E-2</v>
      </c>
      <c r="AF211" s="96">
        <f t="shared" si="168"/>
        <v>2.6822749997404806E-4</v>
      </c>
      <c r="AG211" s="95">
        <f t="shared" si="156"/>
        <v>5.6984561495878223E-3</v>
      </c>
      <c r="AH211" s="94">
        <f t="shared" si="196"/>
        <v>2.6798251345886023E-2</v>
      </c>
      <c r="AI211" s="94">
        <f t="shared" si="197"/>
        <v>0.1310597399817916</v>
      </c>
      <c r="AJ211" s="96">
        <f t="shared" si="169"/>
        <v>9.6504326753886027E-4</v>
      </c>
      <c r="AK211" s="95">
        <f t="shared" si="170"/>
        <v>5.4612920333003898E-3</v>
      </c>
      <c r="AL211" s="95">
        <f t="shared" si="171"/>
        <v>8.5476842243817335E-3</v>
      </c>
      <c r="AM211" s="94">
        <f t="shared" si="172"/>
        <v>4.0197377018829035E-2</v>
      </c>
      <c r="AN211" s="93">
        <f t="shared" si="173"/>
        <v>0.91741817987254115</v>
      </c>
      <c r="AO211" s="96">
        <f t="shared" si="174"/>
        <v>1.4475649013082903E-3</v>
      </c>
      <c r="AP211" s="95">
        <f t="shared" si="175"/>
        <v>8.1919380499505864E-3</v>
      </c>
      <c r="AQ211" s="93">
        <f t="shared" si="176"/>
        <v>0.1821057679617199</v>
      </c>
      <c r="AR211" s="31">
        <v>1.5</v>
      </c>
      <c r="AS211" s="31">
        <v>1.5</v>
      </c>
      <c r="AT211" s="31">
        <v>7</v>
      </c>
      <c r="AU211" s="43">
        <v>0.08</v>
      </c>
      <c r="AV211" s="44">
        <v>0.3</v>
      </c>
      <c r="AW211" s="43">
        <v>1.9E-2</v>
      </c>
      <c r="AX211" s="44">
        <v>0.14000000000000001</v>
      </c>
      <c r="AY211" s="44">
        <v>6.7734314201523542</v>
      </c>
      <c r="AZ211" s="46">
        <v>0.5</v>
      </c>
      <c r="BA211" s="44">
        <v>0.72</v>
      </c>
      <c r="BB211" s="47">
        <v>1</v>
      </c>
      <c r="BC211" s="46">
        <v>11.280218363357537</v>
      </c>
      <c r="BD211" s="47">
        <v>47.541244098024222</v>
      </c>
      <c r="BE211" s="47">
        <v>41.178537538618251</v>
      </c>
      <c r="BF211" s="125">
        <v>1</v>
      </c>
      <c r="BG211" s="48">
        <f t="shared" si="198"/>
        <v>3.9278653529139698E-3</v>
      </c>
      <c r="BH211" s="48">
        <f t="shared" si="199"/>
        <v>3.9278653529139698E-3</v>
      </c>
      <c r="BI211" s="99">
        <f t="shared" si="200"/>
        <v>4.4307178882736E-4</v>
      </c>
      <c r="BJ211" s="99">
        <f t="shared" si="201"/>
        <v>1.8673560552705509E-3</v>
      </c>
      <c r="BK211" s="48">
        <f t="shared" si="202"/>
        <v>1.6174375088160592E-3</v>
      </c>
      <c r="BL211" s="99">
        <f t="shared" si="177"/>
        <v>2.9863091044064652E-4</v>
      </c>
      <c r="BM211" s="48">
        <f t="shared" si="178"/>
        <v>1.1077770449768433E-3</v>
      </c>
      <c r="BN211" s="48">
        <f t="shared" si="179"/>
        <v>2.8010340829058263E-3</v>
      </c>
      <c r="BO211" s="48">
        <f t="shared" si="180"/>
        <v>2.4261562632240889E-3</v>
      </c>
      <c r="BP211" s="99">
        <f t="shared" si="181"/>
        <v>4.4794636566096972E-4</v>
      </c>
      <c r="BQ211" s="48">
        <f t="shared" si="182"/>
        <v>1.6616655674652648E-3</v>
      </c>
      <c r="BR211" s="40">
        <f t="shared" si="183"/>
        <v>0.58821462461381757</v>
      </c>
      <c r="BS211" s="31">
        <v>1.5</v>
      </c>
      <c r="BT211" s="31">
        <v>1.5</v>
      </c>
      <c r="BU211" s="43">
        <v>0.14000000000000001</v>
      </c>
      <c r="BV211" s="44">
        <v>0.42</v>
      </c>
      <c r="BW211" s="43">
        <v>2.3E-2</v>
      </c>
      <c r="BX211" s="44">
        <v>0.2</v>
      </c>
      <c r="BY211" s="44">
        <v>17.442066059404368</v>
      </c>
      <c r="BZ211" s="44">
        <v>0.52</v>
      </c>
      <c r="CA211" s="44">
        <v>0.65</v>
      </c>
      <c r="CB211" s="47">
        <v>1</v>
      </c>
      <c r="CC211" s="46">
        <v>3.3053800540389693</v>
      </c>
      <c r="CD211" s="46">
        <v>20.327520115960354</v>
      </c>
      <c r="CE211" s="46">
        <v>76.367099830000683</v>
      </c>
      <c r="CF211" s="125">
        <v>1</v>
      </c>
      <c r="CG211" s="40">
        <f t="shared" si="203"/>
        <v>2.2911749655823248E-2</v>
      </c>
      <c r="CH211" s="40">
        <f t="shared" si="204"/>
        <v>2.2911749655823248E-2</v>
      </c>
      <c r="CI211" s="99">
        <f t="shared" si="205"/>
        <v>7.5732040315492385E-4</v>
      </c>
      <c r="CJ211" s="100">
        <f t="shared" si="206"/>
        <v>4.6573905202059477E-3</v>
      </c>
      <c r="CK211" s="100">
        <f t="shared" si="207"/>
        <v>1.7497038732462378E-2</v>
      </c>
      <c r="CL211" s="101">
        <f t="shared" si="184"/>
        <v>9.4961162840745341E-4</v>
      </c>
      <c r="CM211" s="100">
        <f t="shared" si="185"/>
        <v>4.4875120179517364E-3</v>
      </c>
      <c r="CN211" s="100">
        <f t="shared" si="186"/>
        <v>6.9860857803089212E-3</v>
      </c>
      <c r="CO211" s="100">
        <f t="shared" si="187"/>
        <v>2.6245558098693569E-2</v>
      </c>
      <c r="CP211" s="101">
        <f t="shared" si="188"/>
        <v>1.4244174426111802E-3</v>
      </c>
      <c r="CQ211" s="100">
        <f t="shared" si="189"/>
        <v>6.7312680269276037E-3</v>
      </c>
      <c r="CR211" s="99">
        <f t="shared" si="190"/>
        <v>0.23632900169999324</v>
      </c>
      <c r="CS211" s="31">
        <v>1.5</v>
      </c>
      <c r="CT211" s="31">
        <v>1.5</v>
      </c>
      <c r="CU211" s="43">
        <v>0.125</v>
      </c>
      <c r="CV211" s="44">
        <v>0.4</v>
      </c>
      <c r="CW211" s="43">
        <v>2.1000000000000001E-2</v>
      </c>
      <c r="CX211" s="44">
        <v>0.15</v>
      </c>
    </row>
    <row r="212" spans="1:102" s="27" customFormat="1" x14ac:dyDescent="0.25">
      <c r="A212" s="31">
        <v>198</v>
      </c>
      <c r="B212" s="84" t="s">
        <v>91</v>
      </c>
      <c r="C212" s="19">
        <v>70</v>
      </c>
      <c r="D212" s="31" t="s">
        <v>26</v>
      </c>
      <c r="E212" s="19" t="s">
        <v>99</v>
      </c>
      <c r="F212" s="19" t="s">
        <v>12</v>
      </c>
      <c r="G212" s="31" t="str">
        <f t="shared" si="191"/>
        <v>Statlig 70 - 4L A</v>
      </c>
      <c r="H212" s="48">
        <f t="shared" si="157"/>
        <v>0.21389477721394939</v>
      </c>
      <c r="I212" s="40">
        <f t="shared" si="158"/>
        <v>0.33359690838163353</v>
      </c>
      <c r="J212" s="99">
        <f t="shared" si="159"/>
        <v>8.8720985008684649E-3</v>
      </c>
      <c r="K212" s="48">
        <f t="shared" si="160"/>
        <v>9.8024726801995074E-2</v>
      </c>
      <c r="L212" s="48">
        <f t="shared" si="161"/>
        <v>0.22670008307876999</v>
      </c>
      <c r="M212" s="48">
        <f t="shared" si="192"/>
        <v>0.44143122704880194</v>
      </c>
      <c r="N212" s="99">
        <f t="shared" si="162"/>
        <v>1.3050529116890176E-2</v>
      </c>
      <c r="O212" s="48">
        <f t="shared" si="163"/>
        <v>6.1260176169406183E-2</v>
      </c>
      <c r="P212" s="48">
        <f t="shared" si="164"/>
        <v>0.16664203556339163</v>
      </c>
      <c r="Q212" s="48">
        <f t="shared" si="165"/>
        <v>0.38539014123390897</v>
      </c>
      <c r="R212" s="40">
        <f t="shared" si="193"/>
        <v>3.0900185893416134</v>
      </c>
      <c r="S212" s="99">
        <f t="shared" si="166"/>
        <v>2.2185899498713302E-2</v>
      </c>
      <c r="T212" s="48">
        <f t="shared" si="167"/>
        <v>0.1041422994879905</v>
      </c>
      <c r="U212" s="44">
        <v>16.993680000000001</v>
      </c>
      <c r="V212" s="19">
        <v>1.25</v>
      </c>
      <c r="W212" s="19">
        <v>0.55000000000000004</v>
      </c>
      <c r="X212" s="44">
        <v>1.639929578828532</v>
      </c>
      <c r="Y212" s="46">
        <v>2.5009042896855922</v>
      </c>
      <c r="Z212" s="46">
        <v>29.82813520762506</v>
      </c>
      <c r="AA212" s="46">
        <v>67.67096050268934</v>
      </c>
      <c r="AB212" s="46">
        <v>1.4390243902439022</v>
      </c>
      <c r="AC212" s="125">
        <v>1</v>
      </c>
      <c r="AD212" s="94">
        <f t="shared" si="194"/>
        <v>0.18705516220521215</v>
      </c>
      <c r="AE212" s="94">
        <f t="shared" si="195"/>
        <v>0.30675729337289631</v>
      </c>
      <c r="AF212" s="96">
        <f t="shared" si="168"/>
        <v>7.67170630888618E-3</v>
      </c>
      <c r="AG212" s="95">
        <f t="shared" si="156"/>
        <v>9.1499980226518576E-2</v>
      </c>
      <c r="AH212" s="94">
        <f t="shared" si="196"/>
        <v>0.20758560683749153</v>
      </c>
      <c r="AI212" s="94">
        <f t="shared" si="197"/>
        <v>0.44143122704880194</v>
      </c>
      <c r="AJ212" s="96">
        <f t="shared" si="169"/>
        <v>1.1721624849166418E-2</v>
      </c>
      <c r="AK212" s="95">
        <f t="shared" si="170"/>
        <v>5.5351122759094658E-2</v>
      </c>
      <c r="AL212" s="95">
        <f t="shared" si="171"/>
        <v>0.15554996638508159</v>
      </c>
      <c r="AM212" s="94">
        <f t="shared" si="172"/>
        <v>0.3528955316237356</v>
      </c>
      <c r="AN212" s="93">
        <f t="shared" si="173"/>
        <v>3.0900185893416134</v>
      </c>
      <c r="AO212" s="96">
        <f t="shared" si="174"/>
        <v>1.9926762243582911E-2</v>
      </c>
      <c r="AP212" s="95">
        <f t="shared" si="175"/>
        <v>9.4096908690460918E-2</v>
      </c>
      <c r="AQ212" s="93">
        <f t="shared" si="176"/>
        <v>0.32329039497310652</v>
      </c>
      <c r="AR212" s="31">
        <v>1.7</v>
      </c>
      <c r="AS212" s="31">
        <v>1.7</v>
      </c>
      <c r="AT212" s="31">
        <v>7</v>
      </c>
      <c r="AU212" s="43">
        <v>8.5000000000000006E-2</v>
      </c>
      <c r="AV212" s="44">
        <v>0.31</v>
      </c>
      <c r="AW212" s="19">
        <v>1.9E-2</v>
      </c>
      <c r="AX212" s="44">
        <v>0.13</v>
      </c>
      <c r="AY212" s="44">
        <v>6.7734314201523542</v>
      </c>
      <c r="AZ212" s="46">
        <v>0.5</v>
      </c>
      <c r="BA212" s="44">
        <v>0.72</v>
      </c>
      <c r="BB212" s="47">
        <v>1</v>
      </c>
      <c r="BC212" s="46">
        <v>11.280218363357537</v>
      </c>
      <c r="BD212" s="47">
        <v>47.541244098024222</v>
      </c>
      <c r="BE212" s="47">
        <v>41.178537538618251</v>
      </c>
      <c r="BF212" s="125">
        <v>1</v>
      </c>
      <c r="BG212" s="48">
        <f t="shared" si="198"/>
        <v>3.9278653529139698E-3</v>
      </c>
      <c r="BH212" s="48">
        <f t="shared" si="199"/>
        <v>3.9278653529139698E-3</v>
      </c>
      <c r="BI212" s="99">
        <f t="shared" si="200"/>
        <v>4.4307178882736E-4</v>
      </c>
      <c r="BJ212" s="99">
        <f t="shared" si="201"/>
        <v>1.8673560552705509E-3</v>
      </c>
      <c r="BK212" s="48">
        <f t="shared" si="202"/>
        <v>1.6174375088160592E-3</v>
      </c>
      <c r="BL212" s="99">
        <f t="shared" si="177"/>
        <v>2.5643147680878728E-4</v>
      </c>
      <c r="BM212" s="48">
        <f t="shared" si="178"/>
        <v>1.0829258511941568E-3</v>
      </c>
      <c r="BN212" s="48">
        <f t="shared" si="179"/>
        <v>3.1745052939599365E-3</v>
      </c>
      <c r="BO212" s="48">
        <f t="shared" si="180"/>
        <v>2.7496437649873005E-3</v>
      </c>
      <c r="BP212" s="99">
        <f t="shared" si="181"/>
        <v>4.3593351057493834E-4</v>
      </c>
      <c r="BQ212" s="48">
        <f t="shared" si="182"/>
        <v>1.8409739470300664E-3</v>
      </c>
      <c r="BR212" s="40">
        <f t="shared" si="183"/>
        <v>0.58821462461381757</v>
      </c>
      <c r="BS212" s="31">
        <v>1.7</v>
      </c>
      <c r="BT212" s="31">
        <v>1.7</v>
      </c>
      <c r="BU212" s="43">
        <v>0.12</v>
      </c>
      <c r="BV212" s="44">
        <v>0.45</v>
      </c>
      <c r="BW212" s="19">
        <v>0.02</v>
      </c>
      <c r="BX212" s="44">
        <v>0.15</v>
      </c>
      <c r="BY212" s="44">
        <v>17.442066059404375</v>
      </c>
      <c r="BZ212" s="44">
        <v>0.52</v>
      </c>
      <c r="CA212" s="44">
        <v>0.65</v>
      </c>
      <c r="CB212" s="47">
        <v>1</v>
      </c>
      <c r="CC212" s="46">
        <v>3.3053800540389693</v>
      </c>
      <c r="CD212" s="46">
        <v>20.32752011596035</v>
      </c>
      <c r="CE212" s="46">
        <v>76.367099830000669</v>
      </c>
      <c r="CF212" s="125">
        <v>1</v>
      </c>
      <c r="CG212" s="40">
        <f t="shared" si="203"/>
        <v>2.2911749655823259E-2</v>
      </c>
      <c r="CH212" s="40">
        <f t="shared" si="204"/>
        <v>2.2911749655823259E-2</v>
      </c>
      <c r="CI212" s="99">
        <f t="shared" si="205"/>
        <v>7.5732040315492418E-4</v>
      </c>
      <c r="CJ212" s="100">
        <f t="shared" si="206"/>
        <v>4.6573905202059495E-3</v>
      </c>
      <c r="CK212" s="100">
        <f t="shared" si="207"/>
        <v>1.7497038732462385E-2</v>
      </c>
      <c r="CL212" s="101">
        <f t="shared" si="184"/>
        <v>1.0724727909149714E-3</v>
      </c>
      <c r="CM212" s="100">
        <f t="shared" si="185"/>
        <v>4.8261275591173708E-3</v>
      </c>
      <c r="CN212" s="100">
        <f t="shared" si="186"/>
        <v>7.9175638843501147E-3</v>
      </c>
      <c r="CO212" s="100">
        <f t="shared" si="187"/>
        <v>2.9744965845186055E-2</v>
      </c>
      <c r="CP212" s="101">
        <f t="shared" si="188"/>
        <v>1.8232037445554514E-3</v>
      </c>
      <c r="CQ212" s="100">
        <f t="shared" si="189"/>
        <v>8.204416850499531E-3</v>
      </c>
      <c r="CR212" s="99">
        <f t="shared" si="190"/>
        <v>0.23632900169999319</v>
      </c>
      <c r="CS212" s="31">
        <v>1.7</v>
      </c>
      <c r="CT212" s="31">
        <v>1.7</v>
      </c>
      <c r="CU212" s="43">
        <v>0.08</v>
      </c>
      <c r="CV212" s="44">
        <v>0.36</v>
      </c>
      <c r="CW212" s="19">
        <v>0.04</v>
      </c>
      <c r="CX212" s="44">
        <v>0.18</v>
      </c>
    </row>
    <row r="213" spans="1:102" s="27" customFormat="1" x14ac:dyDescent="0.25">
      <c r="A213" s="31">
        <v>199</v>
      </c>
      <c r="B213" s="84" t="s">
        <v>91</v>
      </c>
      <c r="C213" s="19">
        <v>70</v>
      </c>
      <c r="D213" s="31" t="s">
        <v>26</v>
      </c>
      <c r="E213" s="19" t="s">
        <v>99</v>
      </c>
      <c r="F213" s="19" t="s">
        <v>13</v>
      </c>
      <c r="G213" s="31" t="str">
        <f t="shared" si="191"/>
        <v>Statlig 70 - 4L B</v>
      </c>
      <c r="H213" s="48">
        <f t="shared" si="157"/>
        <v>0.2045420191036888</v>
      </c>
      <c r="I213" s="40">
        <f t="shared" si="158"/>
        <v>0.31825904371298869</v>
      </c>
      <c r="J213" s="99">
        <f t="shared" si="159"/>
        <v>8.4885131854241565E-3</v>
      </c>
      <c r="K213" s="48">
        <f t="shared" si="160"/>
        <v>9.3449727790669138E-2</v>
      </c>
      <c r="L213" s="48">
        <f t="shared" si="161"/>
        <v>0.21632080273689544</v>
      </c>
      <c r="M213" s="48">
        <f t="shared" si="192"/>
        <v>0.41935966569636185</v>
      </c>
      <c r="N213" s="99">
        <f t="shared" si="162"/>
        <v>1.2464447874431857E-2</v>
      </c>
      <c r="O213" s="48">
        <f t="shared" si="163"/>
        <v>5.8492620031451455E-2</v>
      </c>
      <c r="P213" s="48">
        <f t="shared" si="164"/>
        <v>0.15886453724413752</v>
      </c>
      <c r="Q213" s="48">
        <f t="shared" si="165"/>
        <v>0.36774536465272223</v>
      </c>
      <c r="R213" s="40">
        <f t="shared" si="193"/>
        <v>2.9355176598745327</v>
      </c>
      <c r="S213" s="99">
        <f t="shared" si="166"/>
        <v>2.1189561386534154E-2</v>
      </c>
      <c r="T213" s="48">
        <f t="shared" si="167"/>
        <v>9.9437454053467461E-2</v>
      </c>
      <c r="U213" s="44">
        <v>16.143996000000001</v>
      </c>
      <c r="V213" s="19">
        <v>1.25</v>
      </c>
      <c r="W213" s="19">
        <v>0.55000000000000004</v>
      </c>
      <c r="X213" s="44">
        <v>1.6399295788285317</v>
      </c>
      <c r="Y213" s="46">
        <v>2.5009042896855926</v>
      </c>
      <c r="Z213" s="46">
        <v>29.82813520762506</v>
      </c>
      <c r="AA213" s="46">
        <v>67.670960502689354</v>
      </c>
      <c r="AB213" s="46">
        <v>1.4390243902439024</v>
      </c>
      <c r="AC213" s="125">
        <v>1</v>
      </c>
      <c r="AD213" s="94">
        <f t="shared" si="194"/>
        <v>0.17770240409495155</v>
      </c>
      <c r="AE213" s="94">
        <f t="shared" si="195"/>
        <v>0.29141942870425147</v>
      </c>
      <c r="AF213" s="96">
        <f t="shared" si="168"/>
        <v>7.2881209934418725E-3</v>
      </c>
      <c r="AG213" s="95">
        <f t="shared" si="156"/>
        <v>8.692498121519264E-2</v>
      </c>
      <c r="AH213" s="94">
        <f t="shared" si="196"/>
        <v>0.19720632649561698</v>
      </c>
      <c r="AI213" s="94">
        <f t="shared" si="197"/>
        <v>0.41935966569636185</v>
      </c>
      <c r="AJ213" s="96">
        <f t="shared" si="169"/>
        <v>1.1135543606708098E-2</v>
      </c>
      <c r="AK213" s="95">
        <f t="shared" si="170"/>
        <v>5.2583566621139929E-2</v>
      </c>
      <c r="AL213" s="95">
        <f t="shared" si="171"/>
        <v>0.14777246806582747</v>
      </c>
      <c r="AM213" s="94">
        <f t="shared" si="172"/>
        <v>0.33525075504254886</v>
      </c>
      <c r="AN213" s="93">
        <f t="shared" si="173"/>
        <v>2.9355176598745327</v>
      </c>
      <c r="AO213" s="96">
        <f t="shared" si="174"/>
        <v>1.8930424131403764E-2</v>
      </c>
      <c r="AP213" s="95">
        <f t="shared" si="175"/>
        <v>8.9392063255937876E-2</v>
      </c>
      <c r="AQ213" s="93">
        <f t="shared" si="176"/>
        <v>0.32329039497310652</v>
      </c>
      <c r="AR213" s="31">
        <v>1.7</v>
      </c>
      <c r="AS213" s="31">
        <v>1.7</v>
      </c>
      <c r="AT213" s="31">
        <v>7</v>
      </c>
      <c r="AU213" s="43">
        <v>8.5000000000000006E-2</v>
      </c>
      <c r="AV213" s="44">
        <v>0.31</v>
      </c>
      <c r="AW213" s="19">
        <v>1.9E-2</v>
      </c>
      <c r="AX213" s="44">
        <v>0.13</v>
      </c>
      <c r="AY213" s="44">
        <v>6.7734314201523542</v>
      </c>
      <c r="AZ213" s="46">
        <v>0.5</v>
      </c>
      <c r="BA213" s="44">
        <v>0.72</v>
      </c>
      <c r="BB213" s="47">
        <v>1</v>
      </c>
      <c r="BC213" s="46">
        <v>11.280218363357537</v>
      </c>
      <c r="BD213" s="47">
        <v>47.541244098024222</v>
      </c>
      <c r="BE213" s="47">
        <v>41.178537538618251</v>
      </c>
      <c r="BF213" s="125">
        <v>1</v>
      </c>
      <c r="BG213" s="48">
        <f t="shared" si="198"/>
        <v>3.9278653529139698E-3</v>
      </c>
      <c r="BH213" s="48">
        <f t="shared" si="199"/>
        <v>3.9278653529139698E-3</v>
      </c>
      <c r="BI213" s="99">
        <f t="shared" si="200"/>
        <v>4.4307178882736E-4</v>
      </c>
      <c r="BJ213" s="99">
        <f t="shared" si="201"/>
        <v>1.8673560552705509E-3</v>
      </c>
      <c r="BK213" s="48">
        <f t="shared" si="202"/>
        <v>1.6174375088160592E-3</v>
      </c>
      <c r="BL213" s="99">
        <f t="shared" si="177"/>
        <v>2.5643147680878728E-4</v>
      </c>
      <c r="BM213" s="48">
        <f t="shared" si="178"/>
        <v>1.0829258511941568E-3</v>
      </c>
      <c r="BN213" s="48">
        <f t="shared" si="179"/>
        <v>3.1745052939599365E-3</v>
      </c>
      <c r="BO213" s="48">
        <f t="shared" si="180"/>
        <v>2.7496437649873005E-3</v>
      </c>
      <c r="BP213" s="99">
        <f t="shared" si="181"/>
        <v>4.3593351057493834E-4</v>
      </c>
      <c r="BQ213" s="48">
        <f t="shared" si="182"/>
        <v>1.8409739470300664E-3</v>
      </c>
      <c r="BR213" s="40">
        <f t="shared" si="183"/>
        <v>0.58821462461381757</v>
      </c>
      <c r="BS213" s="31">
        <v>1.7</v>
      </c>
      <c r="BT213" s="31">
        <v>1.7</v>
      </c>
      <c r="BU213" s="43">
        <v>0.12</v>
      </c>
      <c r="BV213" s="44">
        <v>0.45</v>
      </c>
      <c r="BW213" s="19">
        <v>0.02</v>
      </c>
      <c r="BX213" s="44">
        <v>0.15</v>
      </c>
      <c r="BY213" s="44">
        <v>17.442066059404375</v>
      </c>
      <c r="BZ213" s="44">
        <v>0.52</v>
      </c>
      <c r="CA213" s="44">
        <v>0.65</v>
      </c>
      <c r="CB213" s="47">
        <v>1</v>
      </c>
      <c r="CC213" s="46">
        <v>3.3053800540389693</v>
      </c>
      <c r="CD213" s="46">
        <v>20.32752011596035</v>
      </c>
      <c r="CE213" s="46">
        <v>76.367099830000669</v>
      </c>
      <c r="CF213" s="125">
        <v>1</v>
      </c>
      <c r="CG213" s="40">
        <f t="shared" si="203"/>
        <v>2.2911749655823259E-2</v>
      </c>
      <c r="CH213" s="40">
        <f t="shared" si="204"/>
        <v>2.2911749655823259E-2</v>
      </c>
      <c r="CI213" s="99">
        <f t="shared" si="205"/>
        <v>7.5732040315492418E-4</v>
      </c>
      <c r="CJ213" s="100">
        <f t="shared" si="206"/>
        <v>4.6573905202059495E-3</v>
      </c>
      <c r="CK213" s="100">
        <f t="shared" si="207"/>
        <v>1.7497038732462385E-2</v>
      </c>
      <c r="CL213" s="101">
        <f t="shared" si="184"/>
        <v>1.0724727909149714E-3</v>
      </c>
      <c r="CM213" s="100">
        <f t="shared" si="185"/>
        <v>4.8261275591173708E-3</v>
      </c>
      <c r="CN213" s="100">
        <f t="shared" si="186"/>
        <v>7.9175638843501147E-3</v>
      </c>
      <c r="CO213" s="100">
        <f t="shared" si="187"/>
        <v>2.9744965845186055E-2</v>
      </c>
      <c r="CP213" s="101">
        <f t="shared" si="188"/>
        <v>1.8232037445554514E-3</v>
      </c>
      <c r="CQ213" s="100">
        <f t="shared" si="189"/>
        <v>8.204416850499531E-3</v>
      </c>
      <c r="CR213" s="99">
        <f t="shared" si="190"/>
        <v>0.23632900169999319</v>
      </c>
      <c r="CS213" s="31">
        <v>1.7</v>
      </c>
      <c r="CT213" s="31">
        <v>1.7</v>
      </c>
      <c r="CU213" s="43">
        <v>0.08</v>
      </c>
      <c r="CV213" s="44">
        <v>0.36</v>
      </c>
      <c r="CW213" s="19">
        <v>0.04</v>
      </c>
      <c r="CX213" s="44">
        <v>0.18</v>
      </c>
    </row>
    <row r="214" spans="1:102" s="27" customFormat="1" x14ac:dyDescent="0.25">
      <c r="A214" s="31">
        <v>200</v>
      </c>
      <c r="B214" s="84" t="s">
        <v>91</v>
      </c>
      <c r="C214" s="19">
        <v>70</v>
      </c>
      <c r="D214" s="31" t="s">
        <v>26</v>
      </c>
      <c r="E214" s="19" t="s">
        <v>99</v>
      </c>
      <c r="F214" s="19" t="s">
        <v>70</v>
      </c>
      <c r="G214" s="31" t="str">
        <f t="shared" si="191"/>
        <v>Statlig 70 - 4L Ck</v>
      </c>
      <c r="H214" s="48">
        <f t="shared" si="157"/>
        <v>0.19518926099342818</v>
      </c>
      <c r="I214" s="40">
        <f t="shared" si="158"/>
        <v>0.30292117904434385</v>
      </c>
      <c r="J214" s="99">
        <f t="shared" si="159"/>
        <v>8.1049278699798482E-3</v>
      </c>
      <c r="K214" s="48">
        <f t="shared" si="160"/>
        <v>8.8874728779343229E-2</v>
      </c>
      <c r="L214" s="48">
        <f t="shared" si="161"/>
        <v>0.20594152239502081</v>
      </c>
      <c r="M214" s="48">
        <f t="shared" si="192"/>
        <v>0.3972881043439217</v>
      </c>
      <c r="N214" s="99">
        <f t="shared" si="162"/>
        <v>1.1878366631973536E-2</v>
      </c>
      <c r="O214" s="48">
        <f t="shared" si="163"/>
        <v>5.5725063893496719E-2</v>
      </c>
      <c r="P214" s="48">
        <f t="shared" si="164"/>
        <v>0.15108703892488348</v>
      </c>
      <c r="Q214" s="48">
        <f t="shared" si="165"/>
        <v>0.35010058807153532</v>
      </c>
      <c r="R214" s="40">
        <f t="shared" si="193"/>
        <v>2.781016730407452</v>
      </c>
      <c r="S214" s="99">
        <f t="shared" si="166"/>
        <v>2.0193223274355011E-2</v>
      </c>
      <c r="T214" s="48">
        <f t="shared" si="167"/>
        <v>9.4732608618944419E-2</v>
      </c>
      <c r="U214" s="44">
        <v>15.294312000000003</v>
      </c>
      <c r="V214" s="19">
        <v>1.25</v>
      </c>
      <c r="W214" s="19">
        <v>0.55000000000000004</v>
      </c>
      <c r="X214" s="44">
        <v>1.6399295788285317</v>
      </c>
      <c r="Y214" s="46">
        <v>2.5009042896855926</v>
      </c>
      <c r="Z214" s="46">
        <v>29.828135207625067</v>
      </c>
      <c r="AA214" s="46">
        <v>67.67096050268934</v>
      </c>
      <c r="AB214" s="46">
        <v>1.4390243902439024</v>
      </c>
      <c r="AC214" s="125">
        <v>1</v>
      </c>
      <c r="AD214" s="94">
        <f t="shared" si="194"/>
        <v>0.16834964598469093</v>
      </c>
      <c r="AE214" s="94">
        <f t="shared" si="195"/>
        <v>0.27608156403560663</v>
      </c>
      <c r="AF214" s="96">
        <f t="shared" si="168"/>
        <v>6.9045356779975633E-3</v>
      </c>
      <c r="AG214" s="95">
        <f t="shared" si="156"/>
        <v>8.2349982203866731E-2</v>
      </c>
      <c r="AH214" s="94">
        <f t="shared" si="196"/>
        <v>0.18682704615374235</v>
      </c>
      <c r="AI214" s="94">
        <f t="shared" si="197"/>
        <v>0.3972881043439217</v>
      </c>
      <c r="AJ214" s="96">
        <f t="shared" si="169"/>
        <v>1.0549462364249777E-2</v>
      </c>
      <c r="AK214" s="95">
        <f t="shared" si="170"/>
        <v>4.9816010483185194E-2</v>
      </c>
      <c r="AL214" s="95">
        <f t="shared" si="171"/>
        <v>0.13999496974657344</v>
      </c>
      <c r="AM214" s="94">
        <f t="shared" si="172"/>
        <v>0.31760597846136196</v>
      </c>
      <c r="AN214" s="93">
        <f t="shared" si="173"/>
        <v>2.781016730407452</v>
      </c>
      <c r="AO214" s="96">
        <f t="shared" si="174"/>
        <v>1.793408601922462E-2</v>
      </c>
      <c r="AP214" s="95">
        <f t="shared" si="175"/>
        <v>8.468721782141482E-2</v>
      </c>
      <c r="AQ214" s="93">
        <f t="shared" si="176"/>
        <v>0.32329039497310663</v>
      </c>
      <c r="AR214" s="31">
        <v>1.7</v>
      </c>
      <c r="AS214" s="31">
        <v>1.7</v>
      </c>
      <c r="AT214" s="31">
        <v>7</v>
      </c>
      <c r="AU214" s="43">
        <v>8.5000000000000006E-2</v>
      </c>
      <c r="AV214" s="44">
        <v>0.31</v>
      </c>
      <c r="AW214" s="19">
        <v>1.9E-2</v>
      </c>
      <c r="AX214" s="44">
        <v>0.13</v>
      </c>
      <c r="AY214" s="44">
        <v>6.7734314201523542</v>
      </c>
      <c r="AZ214" s="46">
        <v>0.5</v>
      </c>
      <c r="BA214" s="44">
        <v>0.72</v>
      </c>
      <c r="BB214" s="47">
        <v>1</v>
      </c>
      <c r="BC214" s="46">
        <v>11.280218363357537</v>
      </c>
      <c r="BD214" s="47">
        <v>47.541244098024222</v>
      </c>
      <c r="BE214" s="47">
        <v>41.178537538618251</v>
      </c>
      <c r="BF214" s="125">
        <v>1</v>
      </c>
      <c r="BG214" s="48">
        <f t="shared" si="198"/>
        <v>3.9278653529139698E-3</v>
      </c>
      <c r="BH214" s="48">
        <f t="shared" si="199"/>
        <v>3.9278653529139698E-3</v>
      </c>
      <c r="BI214" s="99">
        <f t="shared" si="200"/>
        <v>4.4307178882736E-4</v>
      </c>
      <c r="BJ214" s="99">
        <f t="shared" si="201"/>
        <v>1.8673560552705509E-3</v>
      </c>
      <c r="BK214" s="48">
        <f t="shared" si="202"/>
        <v>1.6174375088160592E-3</v>
      </c>
      <c r="BL214" s="99">
        <f t="shared" si="177"/>
        <v>2.5643147680878728E-4</v>
      </c>
      <c r="BM214" s="48">
        <f t="shared" si="178"/>
        <v>1.0829258511941568E-3</v>
      </c>
      <c r="BN214" s="48">
        <f t="shared" si="179"/>
        <v>3.1745052939599365E-3</v>
      </c>
      <c r="BO214" s="48">
        <f t="shared" si="180"/>
        <v>2.7496437649873005E-3</v>
      </c>
      <c r="BP214" s="99">
        <f t="shared" si="181"/>
        <v>4.3593351057493834E-4</v>
      </c>
      <c r="BQ214" s="48">
        <f t="shared" si="182"/>
        <v>1.8409739470300664E-3</v>
      </c>
      <c r="BR214" s="40">
        <f t="shared" si="183"/>
        <v>0.58821462461381757</v>
      </c>
      <c r="BS214" s="31">
        <v>1.7</v>
      </c>
      <c r="BT214" s="31">
        <v>1.7</v>
      </c>
      <c r="BU214" s="43">
        <v>0.12</v>
      </c>
      <c r="BV214" s="44">
        <v>0.45</v>
      </c>
      <c r="BW214" s="19">
        <v>0.02</v>
      </c>
      <c r="BX214" s="44">
        <v>0.15</v>
      </c>
      <c r="BY214" s="44">
        <v>17.442066059404375</v>
      </c>
      <c r="BZ214" s="44">
        <v>0.52</v>
      </c>
      <c r="CA214" s="44">
        <v>0.65</v>
      </c>
      <c r="CB214" s="47">
        <v>1</v>
      </c>
      <c r="CC214" s="46">
        <v>3.3053800540389693</v>
      </c>
      <c r="CD214" s="46">
        <v>20.32752011596035</v>
      </c>
      <c r="CE214" s="46">
        <v>76.367099830000669</v>
      </c>
      <c r="CF214" s="125">
        <v>1</v>
      </c>
      <c r="CG214" s="40">
        <f t="shared" si="203"/>
        <v>2.2911749655823259E-2</v>
      </c>
      <c r="CH214" s="40">
        <f t="shared" si="204"/>
        <v>2.2911749655823259E-2</v>
      </c>
      <c r="CI214" s="99">
        <f t="shared" si="205"/>
        <v>7.5732040315492418E-4</v>
      </c>
      <c r="CJ214" s="100">
        <f t="shared" si="206"/>
        <v>4.6573905202059495E-3</v>
      </c>
      <c r="CK214" s="100">
        <f t="shared" si="207"/>
        <v>1.7497038732462385E-2</v>
      </c>
      <c r="CL214" s="101">
        <f t="shared" si="184"/>
        <v>1.0724727909149714E-3</v>
      </c>
      <c r="CM214" s="100">
        <f t="shared" si="185"/>
        <v>4.8261275591173708E-3</v>
      </c>
      <c r="CN214" s="100">
        <f t="shared" si="186"/>
        <v>7.9175638843501147E-3</v>
      </c>
      <c r="CO214" s="100">
        <f t="shared" si="187"/>
        <v>2.9744965845186055E-2</v>
      </c>
      <c r="CP214" s="101">
        <f t="shared" si="188"/>
        <v>1.8232037445554514E-3</v>
      </c>
      <c r="CQ214" s="100">
        <f t="shared" si="189"/>
        <v>8.204416850499531E-3</v>
      </c>
      <c r="CR214" s="99">
        <f t="shared" si="190"/>
        <v>0.23632900169999319</v>
      </c>
      <c r="CS214" s="31">
        <v>1.7</v>
      </c>
      <c r="CT214" s="31">
        <v>1.7</v>
      </c>
      <c r="CU214" s="43">
        <v>0.08</v>
      </c>
      <c r="CV214" s="44">
        <v>0.36</v>
      </c>
      <c r="CW214" s="19">
        <v>0.04</v>
      </c>
      <c r="CX214" s="44">
        <v>0.18</v>
      </c>
    </row>
    <row r="215" spans="1:102" s="27" customFormat="1" x14ac:dyDescent="0.25">
      <c r="A215" s="31">
        <v>201</v>
      </c>
      <c r="B215" s="84" t="s">
        <v>91</v>
      </c>
      <c r="C215" s="19">
        <v>70</v>
      </c>
      <c r="D215" s="31" t="s">
        <v>26</v>
      </c>
      <c r="E215" s="19" t="s">
        <v>99</v>
      </c>
      <c r="F215" s="31" t="s">
        <v>71</v>
      </c>
      <c r="G215" s="31" t="str">
        <f t="shared" si="191"/>
        <v>Statlig 70 - 4L Cm</v>
      </c>
      <c r="H215" s="48">
        <f t="shared" si="157"/>
        <v>0.19518926099342818</v>
      </c>
      <c r="I215" s="40">
        <f t="shared" si="158"/>
        <v>0.30292117904434385</v>
      </c>
      <c r="J215" s="99">
        <f t="shared" si="159"/>
        <v>8.1049278699798482E-3</v>
      </c>
      <c r="K215" s="48">
        <f t="shared" si="160"/>
        <v>8.8874728779343229E-2</v>
      </c>
      <c r="L215" s="48">
        <f t="shared" si="161"/>
        <v>0.20594152239502081</v>
      </c>
      <c r="M215" s="48">
        <f t="shared" si="192"/>
        <v>0.3972881043439217</v>
      </c>
      <c r="N215" s="99">
        <f t="shared" si="162"/>
        <v>1.1878366631973536E-2</v>
      </c>
      <c r="O215" s="48">
        <f t="shared" si="163"/>
        <v>5.5725063893496719E-2</v>
      </c>
      <c r="P215" s="48">
        <f t="shared" si="164"/>
        <v>0.15108703892488348</v>
      </c>
      <c r="Q215" s="48">
        <f t="shared" si="165"/>
        <v>0.35010058807153532</v>
      </c>
      <c r="R215" s="40">
        <f t="shared" si="193"/>
        <v>2.781016730407452</v>
      </c>
      <c r="S215" s="99">
        <f t="shared" si="166"/>
        <v>2.0193223274355011E-2</v>
      </c>
      <c r="T215" s="48">
        <f t="shared" si="167"/>
        <v>9.4732608618944419E-2</v>
      </c>
      <c r="U215" s="44">
        <v>15.294312000000003</v>
      </c>
      <c r="V215" s="19">
        <v>1.25</v>
      </c>
      <c r="W215" s="19">
        <v>0.55000000000000004</v>
      </c>
      <c r="X215" s="44">
        <v>1.6399295788285317</v>
      </c>
      <c r="Y215" s="46">
        <v>2.5009042896855926</v>
      </c>
      <c r="Z215" s="46">
        <v>29.828135207625067</v>
      </c>
      <c r="AA215" s="46">
        <v>67.67096050268934</v>
      </c>
      <c r="AB215" s="46">
        <v>1.4390243902439024</v>
      </c>
      <c r="AC215" s="125">
        <v>1</v>
      </c>
      <c r="AD215" s="94">
        <f t="shared" si="194"/>
        <v>0.16834964598469093</v>
      </c>
      <c r="AE215" s="94">
        <f t="shared" si="195"/>
        <v>0.27608156403560663</v>
      </c>
      <c r="AF215" s="96">
        <f t="shared" si="168"/>
        <v>6.9045356779975633E-3</v>
      </c>
      <c r="AG215" s="95">
        <f t="shared" si="156"/>
        <v>8.2349982203866731E-2</v>
      </c>
      <c r="AH215" s="94">
        <f t="shared" si="196"/>
        <v>0.18682704615374235</v>
      </c>
      <c r="AI215" s="94">
        <f t="shared" si="197"/>
        <v>0.3972881043439217</v>
      </c>
      <c r="AJ215" s="96">
        <f t="shared" si="169"/>
        <v>1.0549462364249777E-2</v>
      </c>
      <c r="AK215" s="95">
        <f t="shared" si="170"/>
        <v>4.9816010483185194E-2</v>
      </c>
      <c r="AL215" s="95">
        <f t="shared" si="171"/>
        <v>0.13999496974657344</v>
      </c>
      <c r="AM215" s="94">
        <f t="shared" si="172"/>
        <v>0.31760597846136196</v>
      </c>
      <c r="AN215" s="93">
        <f t="shared" si="173"/>
        <v>2.781016730407452</v>
      </c>
      <c r="AO215" s="96">
        <f t="shared" si="174"/>
        <v>1.793408601922462E-2</v>
      </c>
      <c r="AP215" s="95">
        <f t="shared" si="175"/>
        <v>8.468721782141482E-2</v>
      </c>
      <c r="AQ215" s="93">
        <f t="shared" si="176"/>
        <v>0.32329039497310663</v>
      </c>
      <c r="AR215" s="31">
        <v>1.7</v>
      </c>
      <c r="AS215" s="31">
        <v>1.7</v>
      </c>
      <c r="AT215" s="31">
        <v>7</v>
      </c>
      <c r="AU215" s="43">
        <v>8.5000000000000006E-2</v>
      </c>
      <c r="AV215" s="44">
        <v>0.31</v>
      </c>
      <c r="AW215" s="19">
        <v>1.9E-2</v>
      </c>
      <c r="AX215" s="44">
        <v>0.13</v>
      </c>
      <c r="AY215" s="44">
        <v>6.7734314201523542</v>
      </c>
      <c r="AZ215" s="46">
        <v>0.5</v>
      </c>
      <c r="BA215" s="44">
        <v>0.72</v>
      </c>
      <c r="BB215" s="47">
        <v>1</v>
      </c>
      <c r="BC215" s="46">
        <v>11.280218363357537</v>
      </c>
      <c r="BD215" s="47">
        <v>47.541244098024222</v>
      </c>
      <c r="BE215" s="47">
        <v>41.178537538618251</v>
      </c>
      <c r="BF215" s="125">
        <v>1</v>
      </c>
      <c r="BG215" s="48">
        <f t="shared" si="198"/>
        <v>3.9278653529139698E-3</v>
      </c>
      <c r="BH215" s="48">
        <f t="shared" si="199"/>
        <v>3.9278653529139698E-3</v>
      </c>
      <c r="BI215" s="99">
        <f t="shared" si="200"/>
        <v>4.4307178882736E-4</v>
      </c>
      <c r="BJ215" s="99">
        <f t="shared" si="201"/>
        <v>1.8673560552705509E-3</v>
      </c>
      <c r="BK215" s="48">
        <f t="shared" si="202"/>
        <v>1.6174375088160592E-3</v>
      </c>
      <c r="BL215" s="99">
        <f t="shared" si="177"/>
        <v>2.5643147680878728E-4</v>
      </c>
      <c r="BM215" s="48">
        <f t="shared" si="178"/>
        <v>1.0829258511941568E-3</v>
      </c>
      <c r="BN215" s="48">
        <f t="shared" si="179"/>
        <v>3.1745052939599365E-3</v>
      </c>
      <c r="BO215" s="48">
        <f t="shared" si="180"/>
        <v>2.7496437649873005E-3</v>
      </c>
      <c r="BP215" s="99">
        <f t="shared" si="181"/>
        <v>4.3593351057493834E-4</v>
      </c>
      <c r="BQ215" s="48">
        <f t="shared" si="182"/>
        <v>1.8409739470300664E-3</v>
      </c>
      <c r="BR215" s="40">
        <f t="shared" si="183"/>
        <v>0.58821462461381757</v>
      </c>
      <c r="BS215" s="31">
        <v>1.7</v>
      </c>
      <c r="BT215" s="31">
        <v>1.7</v>
      </c>
      <c r="BU215" s="43">
        <v>0.12</v>
      </c>
      <c r="BV215" s="44">
        <v>0.45</v>
      </c>
      <c r="BW215" s="19">
        <v>0.02</v>
      </c>
      <c r="BX215" s="44">
        <v>0.15</v>
      </c>
      <c r="BY215" s="44">
        <v>17.442066059404375</v>
      </c>
      <c r="BZ215" s="44">
        <v>0.52</v>
      </c>
      <c r="CA215" s="44">
        <v>0.65</v>
      </c>
      <c r="CB215" s="47">
        <v>1</v>
      </c>
      <c r="CC215" s="46">
        <v>3.3053800540389693</v>
      </c>
      <c r="CD215" s="46">
        <v>20.32752011596035</v>
      </c>
      <c r="CE215" s="46">
        <v>76.367099830000669</v>
      </c>
      <c r="CF215" s="125">
        <v>1</v>
      </c>
      <c r="CG215" s="40">
        <f t="shared" si="203"/>
        <v>2.2911749655823259E-2</v>
      </c>
      <c r="CH215" s="40">
        <f t="shared" si="204"/>
        <v>2.2911749655823259E-2</v>
      </c>
      <c r="CI215" s="99">
        <f t="shared" si="205"/>
        <v>7.5732040315492418E-4</v>
      </c>
      <c r="CJ215" s="100">
        <f t="shared" si="206"/>
        <v>4.6573905202059495E-3</v>
      </c>
      <c r="CK215" s="100">
        <f t="shared" si="207"/>
        <v>1.7497038732462385E-2</v>
      </c>
      <c r="CL215" s="101">
        <f t="shared" si="184"/>
        <v>1.0724727909149714E-3</v>
      </c>
      <c r="CM215" s="100">
        <f t="shared" si="185"/>
        <v>4.8261275591173708E-3</v>
      </c>
      <c r="CN215" s="100">
        <f t="shared" si="186"/>
        <v>7.9175638843501147E-3</v>
      </c>
      <c r="CO215" s="100">
        <f t="shared" si="187"/>
        <v>2.9744965845186055E-2</v>
      </c>
      <c r="CP215" s="101">
        <f t="shared" si="188"/>
        <v>1.8232037445554514E-3</v>
      </c>
      <c r="CQ215" s="100">
        <f t="shared" si="189"/>
        <v>8.204416850499531E-3</v>
      </c>
      <c r="CR215" s="99">
        <f t="shared" si="190"/>
        <v>0.23632900169999319</v>
      </c>
      <c r="CS215" s="31">
        <v>1.7</v>
      </c>
      <c r="CT215" s="31">
        <v>1.7</v>
      </c>
      <c r="CU215" s="43">
        <v>0.08</v>
      </c>
      <c r="CV215" s="44">
        <v>0.36</v>
      </c>
      <c r="CW215" s="19">
        <v>0.04</v>
      </c>
      <c r="CX215" s="44">
        <v>0.18</v>
      </c>
    </row>
    <row r="216" spans="1:102" s="27" customFormat="1" x14ac:dyDescent="0.25">
      <c r="A216" s="31">
        <v>202</v>
      </c>
      <c r="B216" s="84" t="s">
        <v>91</v>
      </c>
      <c r="C216" s="19">
        <v>70</v>
      </c>
      <c r="D216" s="31" t="s">
        <v>26</v>
      </c>
      <c r="E216" s="19" t="s">
        <v>99</v>
      </c>
      <c r="F216" s="19" t="s">
        <v>0</v>
      </c>
      <c r="G216" s="31" t="str">
        <f t="shared" si="191"/>
        <v>Statlig 70 - 4L D</v>
      </c>
      <c r="H216" s="48">
        <f t="shared" si="157"/>
        <v>6.6223693902376007E-2</v>
      </c>
      <c r="I216" s="40">
        <f t="shared" si="158"/>
        <v>0.11756826819310104</v>
      </c>
      <c r="J216" s="99">
        <f t="shared" si="159"/>
        <v>1.2003921919822842E-3</v>
      </c>
      <c r="K216" s="48">
        <f t="shared" si="160"/>
        <v>2.3118663018873244E-2</v>
      </c>
      <c r="L216" s="48">
        <f t="shared" si="161"/>
        <v>9.3249212982245519E-2</v>
      </c>
      <c r="M216" s="48">
        <f t="shared" si="192"/>
        <v>0.44296930672365864</v>
      </c>
      <c r="N216" s="99">
        <f t="shared" si="162"/>
        <v>4.1479471634908562E-3</v>
      </c>
      <c r="O216" s="48">
        <f t="shared" si="163"/>
        <v>2.0690683284090235E-2</v>
      </c>
      <c r="P216" s="48">
        <f t="shared" si="164"/>
        <v>3.9301727132084512E-2</v>
      </c>
      <c r="Q216" s="48">
        <f t="shared" si="165"/>
        <v>0.15852366206981736</v>
      </c>
      <c r="R216" s="40">
        <f t="shared" si="193"/>
        <v>3.1007851470656105</v>
      </c>
      <c r="S216" s="99">
        <f t="shared" si="166"/>
        <v>7.0515101779344558E-3</v>
      </c>
      <c r="T216" s="48">
        <f t="shared" si="167"/>
        <v>3.5174161582953403E-2</v>
      </c>
      <c r="U216" s="44">
        <v>1.6272927000000006</v>
      </c>
      <c r="V216" s="44">
        <v>1.2</v>
      </c>
      <c r="W216" s="19">
        <v>0</v>
      </c>
      <c r="X216" s="44">
        <v>2.3036885902393953</v>
      </c>
      <c r="Y216" s="46">
        <v>0</v>
      </c>
      <c r="Z216" s="46">
        <v>18.289609578660141</v>
      </c>
      <c r="AA216" s="46">
        <v>81.710390421339852</v>
      </c>
      <c r="AB216" s="46">
        <v>4.8823529411764701</v>
      </c>
      <c r="AC216" s="125">
        <v>1</v>
      </c>
      <c r="AD216" s="94">
        <f t="shared" si="194"/>
        <v>3.938407889363877E-2</v>
      </c>
      <c r="AE216" s="94">
        <f t="shared" si="195"/>
        <v>9.0728653184363822E-2</v>
      </c>
      <c r="AF216" s="96">
        <f t="shared" si="168"/>
        <v>0</v>
      </c>
      <c r="AG216" s="95">
        <f t="shared" si="156"/>
        <v>1.6593916443396743E-2</v>
      </c>
      <c r="AH216" s="94">
        <f t="shared" si="196"/>
        <v>7.4134736740967072E-2</v>
      </c>
      <c r="AI216" s="94">
        <f t="shared" si="197"/>
        <v>0.44296930672365864</v>
      </c>
      <c r="AJ216" s="96">
        <f t="shared" si="169"/>
        <v>2.8190428957670976E-3</v>
      </c>
      <c r="AK216" s="95">
        <f t="shared" si="170"/>
        <v>1.478162987377871E-2</v>
      </c>
      <c r="AL216" s="95">
        <f t="shared" si="171"/>
        <v>2.8209657953774461E-2</v>
      </c>
      <c r="AM216" s="94">
        <f t="shared" si="172"/>
        <v>0.12602905245964402</v>
      </c>
      <c r="AN216" s="93">
        <f t="shared" si="173"/>
        <v>3.1007851470656105</v>
      </c>
      <c r="AO216" s="96">
        <f t="shared" si="174"/>
        <v>4.7923729228040654E-3</v>
      </c>
      <c r="AP216" s="95">
        <f t="shared" si="175"/>
        <v>2.5128770785423804E-2</v>
      </c>
      <c r="AQ216" s="93">
        <f t="shared" si="176"/>
        <v>0.1828960957866014</v>
      </c>
      <c r="AR216" s="31">
        <v>1.7</v>
      </c>
      <c r="AS216" s="31">
        <v>1.7</v>
      </c>
      <c r="AT216" s="31">
        <v>7</v>
      </c>
      <c r="AU216" s="43">
        <v>8.5000000000000006E-2</v>
      </c>
      <c r="AV216" s="44">
        <v>0.31</v>
      </c>
      <c r="AW216" s="19">
        <v>1.9E-2</v>
      </c>
      <c r="AX216" s="44">
        <v>0.13</v>
      </c>
      <c r="AY216" s="44">
        <v>6.7734314201523542</v>
      </c>
      <c r="AZ216" s="46">
        <v>0.5</v>
      </c>
      <c r="BA216" s="44">
        <v>0.72</v>
      </c>
      <c r="BB216" s="47">
        <v>1</v>
      </c>
      <c r="BC216" s="46">
        <v>11.280218363357537</v>
      </c>
      <c r="BD216" s="47">
        <v>47.541244098024222</v>
      </c>
      <c r="BE216" s="47">
        <v>41.178537538618251</v>
      </c>
      <c r="BF216" s="125">
        <v>1</v>
      </c>
      <c r="BG216" s="48">
        <f t="shared" si="198"/>
        <v>3.9278653529139698E-3</v>
      </c>
      <c r="BH216" s="48">
        <f t="shared" si="199"/>
        <v>3.9278653529139698E-3</v>
      </c>
      <c r="BI216" s="99">
        <f t="shared" si="200"/>
        <v>4.4307178882736E-4</v>
      </c>
      <c r="BJ216" s="99">
        <f t="shared" si="201"/>
        <v>1.8673560552705509E-3</v>
      </c>
      <c r="BK216" s="48">
        <f t="shared" si="202"/>
        <v>1.6174375088160592E-3</v>
      </c>
      <c r="BL216" s="99">
        <f t="shared" si="177"/>
        <v>2.5643147680878728E-4</v>
      </c>
      <c r="BM216" s="48">
        <f t="shared" si="178"/>
        <v>1.0829258511941568E-3</v>
      </c>
      <c r="BN216" s="48">
        <f t="shared" si="179"/>
        <v>3.1745052939599365E-3</v>
      </c>
      <c r="BO216" s="48">
        <f t="shared" si="180"/>
        <v>2.7496437649873005E-3</v>
      </c>
      <c r="BP216" s="99">
        <f t="shared" si="181"/>
        <v>4.3593351057493834E-4</v>
      </c>
      <c r="BQ216" s="48">
        <f t="shared" si="182"/>
        <v>1.8409739470300664E-3</v>
      </c>
      <c r="BR216" s="40">
        <f t="shared" si="183"/>
        <v>0.58821462461381757</v>
      </c>
      <c r="BS216" s="31">
        <v>1.7</v>
      </c>
      <c r="BT216" s="31">
        <v>1.7</v>
      </c>
      <c r="BU216" s="43">
        <v>0.12</v>
      </c>
      <c r="BV216" s="44">
        <v>0.45</v>
      </c>
      <c r="BW216" s="19">
        <v>0.02</v>
      </c>
      <c r="BX216" s="44">
        <v>0.15</v>
      </c>
      <c r="BY216" s="44">
        <v>17.442066059404375</v>
      </c>
      <c r="BZ216" s="44">
        <v>0.52</v>
      </c>
      <c r="CA216" s="44">
        <v>0.65</v>
      </c>
      <c r="CB216" s="47">
        <v>1</v>
      </c>
      <c r="CC216" s="46">
        <v>3.3053800540389693</v>
      </c>
      <c r="CD216" s="46">
        <v>20.32752011596035</v>
      </c>
      <c r="CE216" s="46">
        <v>76.367099830000669</v>
      </c>
      <c r="CF216" s="125">
        <v>1</v>
      </c>
      <c r="CG216" s="40">
        <f t="shared" si="203"/>
        <v>2.2911749655823259E-2</v>
      </c>
      <c r="CH216" s="40">
        <f t="shared" si="204"/>
        <v>2.2911749655823259E-2</v>
      </c>
      <c r="CI216" s="99">
        <f t="shared" si="205"/>
        <v>7.5732040315492418E-4</v>
      </c>
      <c r="CJ216" s="100">
        <f t="shared" si="206"/>
        <v>4.6573905202059495E-3</v>
      </c>
      <c r="CK216" s="100">
        <f t="shared" si="207"/>
        <v>1.7497038732462385E-2</v>
      </c>
      <c r="CL216" s="101">
        <f t="shared" si="184"/>
        <v>1.0724727909149714E-3</v>
      </c>
      <c r="CM216" s="100">
        <f t="shared" si="185"/>
        <v>4.8261275591173708E-3</v>
      </c>
      <c r="CN216" s="100">
        <f t="shared" si="186"/>
        <v>7.9175638843501147E-3</v>
      </c>
      <c r="CO216" s="100">
        <f t="shared" si="187"/>
        <v>2.9744965845186055E-2</v>
      </c>
      <c r="CP216" s="101">
        <f t="shared" si="188"/>
        <v>1.8232037445554514E-3</v>
      </c>
      <c r="CQ216" s="100">
        <f t="shared" si="189"/>
        <v>8.204416850499531E-3</v>
      </c>
      <c r="CR216" s="99">
        <f t="shared" si="190"/>
        <v>0.23632900169999319</v>
      </c>
      <c r="CS216" s="31">
        <v>1.7</v>
      </c>
      <c r="CT216" s="31">
        <v>1.7</v>
      </c>
      <c r="CU216" s="43">
        <v>0.08</v>
      </c>
      <c r="CV216" s="44">
        <v>0.36</v>
      </c>
      <c r="CW216" s="19">
        <v>0.04</v>
      </c>
      <c r="CX216" s="44">
        <v>0.18</v>
      </c>
    </row>
    <row r="217" spans="1:102" s="27" customFormat="1" x14ac:dyDescent="0.25">
      <c r="A217" s="31">
        <v>203</v>
      </c>
      <c r="B217" s="84" t="s">
        <v>91</v>
      </c>
      <c r="C217" s="19">
        <v>70</v>
      </c>
      <c r="D217" s="31" t="s">
        <v>26</v>
      </c>
      <c r="E217" s="19" t="s">
        <v>99</v>
      </c>
      <c r="F217" s="19" t="s">
        <v>63</v>
      </c>
      <c r="G217" s="31" t="str">
        <f t="shared" si="191"/>
        <v>Statlig 70 - 4L ES</v>
      </c>
      <c r="H217" s="48">
        <f t="shared" si="157"/>
        <v>0.19092147224788542</v>
      </c>
      <c r="I217" s="40">
        <f t="shared" si="158"/>
        <v>0.31514249826116536</v>
      </c>
      <c r="J217" s="99">
        <f t="shared" si="159"/>
        <v>8.410571366529505E-3</v>
      </c>
      <c r="K217" s="48">
        <f t="shared" si="160"/>
        <v>9.2520120399492214E-2</v>
      </c>
      <c r="L217" s="48">
        <f t="shared" si="161"/>
        <v>0.21421180649514365</v>
      </c>
      <c r="M217" s="48">
        <f t="shared" si="192"/>
        <v>0.41487488077788437</v>
      </c>
      <c r="N217" s="99">
        <f t="shared" si="162"/>
        <v>1.2345360317588533E-2</v>
      </c>
      <c r="O217" s="48">
        <f t="shared" si="163"/>
        <v>5.7930272228758871E-2</v>
      </c>
      <c r="P217" s="48">
        <f t="shared" si="164"/>
        <v>0.15728420467913676</v>
      </c>
      <c r="Q217" s="48">
        <f t="shared" si="165"/>
        <v>0.36416007104174419</v>
      </c>
      <c r="R217" s="40">
        <f t="shared" si="193"/>
        <v>2.9041241654451904</v>
      </c>
      <c r="S217" s="99">
        <f t="shared" si="166"/>
        <v>2.0987112539900508E-2</v>
      </c>
      <c r="T217" s="48">
        <f t="shared" si="167"/>
        <v>9.8481462788890084E-2</v>
      </c>
      <c r="U217" s="44">
        <v>10.520928000000005</v>
      </c>
      <c r="V217" s="44">
        <v>1.2</v>
      </c>
      <c r="W217" s="19">
        <v>0.2</v>
      </c>
      <c r="X217" s="44">
        <v>1.7570674058877129</v>
      </c>
      <c r="Y217" s="46">
        <v>2.5009042896855926</v>
      </c>
      <c r="Z217" s="46">
        <v>29.828135207625067</v>
      </c>
      <c r="AA217" s="46">
        <v>67.67096050268934</v>
      </c>
      <c r="AB217" s="46">
        <v>1.4390243902439024</v>
      </c>
      <c r="AC217" s="125">
        <v>1</v>
      </c>
      <c r="AD217" s="94">
        <f t="shared" si="194"/>
        <v>0.16408185723914817</v>
      </c>
      <c r="AE217" s="94">
        <f t="shared" si="195"/>
        <v>0.28830288325242814</v>
      </c>
      <c r="AF217" s="96">
        <f t="shared" si="168"/>
        <v>7.210179174547221E-3</v>
      </c>
      <c r="AG217" s="95">
        <f t="shared" si="156"/>
        <v>8.5995373824015717E-2</v>
      </c>
      <c r="AH217" s="94">
        <f t="shared" si="196"/>
        <v>0.19509733025386519</v>
      </c>
      <c r="AI217" s="94">
        <f t="shared" si="197"/>
        <v>0.41487488077788437</v>
      </c>
      <c r="AJ217" s="96">
        <f t="shared" si="169"/>
        <v>1.1016456049864775E-2</v>
      </c>
      <c r="AK217" s="95">
        <f t="shared" si="170"/>
        <v>5.2021218818447346E-2</v>
      </c>
      <c r="AL217" s="95">
        <f t="shared" si="171"/>
        <v>0.14619213550082671</v>
      </c>
      <c r="AM217" s="94">
        <f t="shared" si="172"/>
        <v>0.33166546143157083</v>
      </c>
      <c r="AN217" s="93">
        <f t="shared" si="173"/>
        <v>2.9041241654451904</v>
      </c>
      <c r="AO217" s="96">
        <f t="shared" si="174"/>
        <v>1.8727975284770118E-2</v>
      </c>
      <c r="AP217" s="95">
        <f t="shared" si="175"/>
        <v>8.8436071991360499E-2</v>
      </c>
      <c r="AQ217" s="93">
        <f t="shared" si="176"/>
        <v>0.32329039497310663</v>
      </c>
      <c r="AR217" s="31">
        <v>1.7</v>
      </c>
      <c r="AS217" s="31">
        <v>1.7</v>
      </c>
      <c r="AT217" s="31">
        <v>7</v>
      </c>
      <c r="AU217" s="43">
        <v>8.5000000000000006E-2</v>
      </c>
      <c r="AV217" s="44">
        <v>0.31</v>
      </c>
      <c r="AW217" s="19">
        <v>1.9E-2</v>
      </c>
      <c r="AX217" s="44">
        <v>0.13</v>
      </c>
      <c r="AY217" s="44">
        <v>6.7734314201523542</v>
      </c>
      <c r="AZ217" s="46">
        <v>0.5</v>
      </c>
      <c r="BA217" s="44">
        <v>0.72</v>
      </c>
      <c r="BB217" s="47">
        <v>1</v>
      </c>
      <c r="BC217" s="46">
        <v>11.280218363357537</v>
      </c>
      <c r="BD217" s="47">
        <v>47.541244098024222</v>
      </c>
      <c r="BE217" s="47">
        <v>41.178537538618251</v>
      </c>
      <c r="BF217" s="125">
        <v>1</v>
      </c>
      <c r="BG217" s="48">
        <f t="shared" si="198"/>
        <v>3.9278653529139698E-3</v>
      </c>
      <c r="BH217" s="48">
        <f t="shared" si="199"/>
        <v>3.9278653529139698E-3</v>
      </c>
      <c r="BI217" s="99">
        <f t="shared" si="200"/>
        <v>4.4307178882736E-4</v>
      </c>
      <c r="BJ217" s="99">
        <f t="shared" si="201"/>
        <v>1.8673560552705509E-3</v>
      </c>
      <c r="BK217" s="48">
        <f t="shared" si="202"/>
        <v>1.6174375088160592E-3</v>
      </c>
      <c r="BL217" s="99">
        <f t="shared" si="177"/>
        <v>2.5643147680878728E-4</v>
      </c>
      <c r="BM217" s="48">
        <f t="shared" si="178"/>
        <v>1.0829258511941568E-3</v>
      </c>
      <c r="BN217" s="48">
        <f t="shared" si="179"/>
        <v>3.1745052939599365E-3</v>
      </c>
      <c r="BO217" s="48">
        <f t="shared" si="180"/>
        <v>2.7496437649873005E-3</v>
      </c>
      <c r="BP217" s="99">
        <f t="shared" si="181"/>
        <v>4.3593351057493834E-4</v>
      </c>
      <c r="BQ217" s="48">
        <f t="shared" si="182"/>
        <v>1.8409739470300664E-3</v>
      </c>
      <c r="BR217" s="40">
        <f t="shared" si="183"/>
        <v>0.58821462461381757</v>
      </c>
      <c r="BS217" s="31">
        <v>1.7</v>
      </c>
      <c r="BT217" s="31">
        <v>1.7</v>
      </c>
      <c r="BU217" s="43">
        <v>0.12</v>
      </c>
      <c r="BV217" s="44">
        <v>0.45</v>
      </c>
      <c r="BW217" s="19">
        <v>0.02</v>
      </c>
      <c r="BX217" s="44">
        <v>0.15</v>
      </c>
      <c r="BY217" s="44">
        <v>17.442066059404375</v>
      </c>
      <c r="BZ217" s="44">
        <v>0.52</v>
      </c>
      <c r="CA217" s="44">
        <v>0.65</v>
      </c>
      <c r="CB217" s="47">
        <v>1</v>
      </c>
      <c r="CC217" s="46">
        <v>3.3053800540389693</v>
      </c>
      <c r="CD217" s="46">
        <v>20.32752011596035</v>
      </c>
      <c r="CE217" s="46">
        <v>76.367099830000669</v>
      </c>
      <c r="CF217" s="125">
        <v>1</v>
      </c>
      <c r="CG217" s="40">
        <f t="shared" si="203"/>
        <v>2.2911749655823259E-2</v>
      </c>
      <c r="CH217" s="40">
        <f t="shared" si="204"/>
        <v>2.2911749655823259E-2</v>
      </c>
      <c r="CI217" s="99">
        <f t="shared" si="205"/>
        <v>7.5732040315492418E-4</v>
      </c>
      <c r="CJ217" s="100">
        <f t="shared" si="206"/>
        <v>4.6573905202059495E-3</v>
      </c>
      <c r="CK217" s="100">
        <f t="shared" si="207"/>
        <v>1.7497038732462385E-2</v>
      </c>
      <c r="CL217" s="101">
        <f t="shared" si="184"/>
        <v>1.0724727909149714E-3</v>
      </c>
      <c r="CM217" s="100">
        <f t="shared" si="185"/>
        <v>4.8261275591173708E-3</v>
      </c>
      <c r="CN217" s="100">
        <f t="shared" si="186"/>
        <v>7.9175638843501147E-3</v>
      </c>
      <c r="CO217" s="100">
        <f t="shared" si="187"/>
        <v>2.9744965845186055E-2</v>
      </c>
      <c r="CP217" s="101">
        <f t="shared" si="188"/>
        <v>1.8232037445554514E-3</v>
      </c>
      <c r="CQ217" s="100">
        <f t="shared" si="189"/>
        <v>8.204416850499531E-3</v>
      </c>
      <c r="CR217" s="99">
        <f t="shared" si="190"/>
        <v>0.23632900169999319</v>
      </c>
      <c r="CS217" s="31">
        <v>1.7</v>
      </c>
      <c r="CT217" s="31">
        <v>1.7</v>
      </c>
      <c r="CU217" s="43">
        <v>0.08</v>
      </c>
      <c r="CV217" s="44">
        <v>0.36</v>
      </c>
      <c r="CW217" s="19">
        <v>0.04</v>
      </c>
      <c r="CX217" s="44">
        <v>0.18</v>
      </c>
    </row>
    <row r="218" spans="1:102" s="27" customFormat="1" x14ac:dyDescent="0.25">
      <c r="A218" s="31">
        <v>204</v>
      </c>
      <c r="B218" s="84" t="s">
        <v>91</v>
      </c>
      <c r="C218" s="19">
        <v>70</v>
      </c>
      <c r="D218" s="31" t="s">
        <v>26</v>
      </c>
      <c r="E218" s="19" t="s">
        <v>99</v>
      </c>
      <c r="F218" s="19" t="s">
        <v>64</v>
      </c>
      <c r="G218" s="31" t="str">
        <f t="shared" si="191"/>
        <v>Statlig 70 - 4L F</v>
      </c>
      <c r="H218" s="48">
        <f t="shared" si="157"/>
        <v>5.4315533271458744E-2</v>
      </c>
      <c r="I218" s="40">
        <f t="shared" si="158"/>
        <v>7.3870495116484192E-2</v>
      </c>
      <c r="J218" s="99">
        <f t="shared" si="159"/>
        <v>1.5854067019952837E-3</v>
      </c>
      <c r="K218" s="48">
        <f t="shared" si="160"/>
        <v>1.4704326605400338E-2</v>
      </c>
      <c r="L218" s="48">
        <f t="shared" si="161"/>
        <v>5.7580761809088568E-2</v>
      </c>
      <c r="M218" s="48">
        <f t="shared" si="192"/>
        <v>0.18812352043098793</v>
      </c>
      <c r="N218" s="99">
        <f t="shared" si="162"/>
        <v>2.7550279960556773E-3</v>
      </c>
      <c r="O218" s="48">
        <f t="shared" si="163"/>
        <v>1.3445340343403233E-2</v>
      </c>
      <c r="P218" s="48">
        <f t="shared" si="164"/>
        <v>2.4997355229180576E-2</v>
      </c>
      <c r="Q218" s="48">
        <f t="shared" si="165"/>
        <v>9.7887295075450576E-2</v>
      </c>
      <c r="R218" s="40">
        <f t="shared" si="193"/>
        <v>1.3168646430169155</v>
      </c>
      <c r="S218" s="99">
        <f t="shared" si="166"/>
        <v>4.683547593294651E-3</v>
      </c>
      <c r="T218" s="48">
        <f t="shared" si="167"/>
        <v>2.2857078583785495E-2</v>
      </c>
      <c r="U218" s="44">
        <v>2.0037599999999998</v>
      </c>
      <c r="V218" s="19">
        <v>1.25</v>
      </c>
      <c r="W218" s="19">
        <v>0.45</v>
      </c>
      <c r="X218" s="44">
        <v>1.7117127681791446</v>
      </c>
      <c r="Y218" s="46">
        <v>0.81864194148809855</v>
      </c>
      <c r="Z218" s="46">
        <v>17.391934854683893</v>
      </c>
      <c r="AA218" s="46">
        <v>81.789423203828008</v>
      </c>
      <c r="AB218" s="46">
        <v>4.0000000000000009</v>
      </c>
      <c r="AC218" s="125">
        <v>1</v>
      </c>
      <c r="AD218" s="94">
        <f t="shared" si="194"/>
        <v>2.747591826272152E-2</v>
      </c>
      <c r="AE218" s="94">
        <f t="shared" si="195"/>
        <v>4.7030880107746968E-2</v>
      </c>
      <c r="AF218" s="96">
        <f t="shared" si="168"/>
        <v>3.8501451001299975E-4</v>
      </c>
      <c r="AG218" s="95">
        <f t="shared" si="156"/>
        <v>8.1795800299238382E-3</v>
      </c>
      <c r="AH218" s="94">
        <f t="shared" si="196"/>
        <v>3.8466285567810128E-2</v>
      </c>
      <c r="AI218" s="94">
        <f t="shared" si="197"/>
        <v>0.18812352043098793</v>
      </c>
      <c r="AJ218" s="96">
        <f t="shared" si="169"/>
        <v>1.4261237283319187E-3</v>
      </c>
      <c r="AK218" s="95">
        <f t="shared" si="170"/>
        <v>7.5362869330917069E-3</v>
      </c>
      <c r="AL218" s="95">
        <f t="shared" si="171"/>
        <v>1.3905286050870524E-2</v>
      </c>
      <c r="AM218" s="94">
        <f t="shared" si="172"/>
        <v>6.5392685465277212E-2</v>
      </c>
      <c r="AN218" s="93">
        <f t="shared" si="173"/>
        <v>1.3168646430169155</v>
      </c>
      <c r="AO218" s="96">
        <f t="shared" si="174"/>
        <v>2.4244103381642615E-3</v>
      </c>
      <c r="AP218" s="95">
        <f t="shared" si="175"/>
        <v>1.2811687786255899E-2</v>
      </c>
      <c r="AQ218" s="93">
        <f t="shared" si="176"/>
        <v>0.18210576796171993</v>
      </c>
      <c r="AR218" s="31">
        <v>1.7</v>
      </c>
      <c r="AS218" s="31">
        <v>1.7</v>
      </c>
      <c r="AT218" s="31">
        <v>7</v>
      </c>
      <c r="AU218" s="43">
        <v>8.5000000000000006E-2</v>
      </c>
      <c r="AV218" s="44">
        <v>0.31</v>
      </c>
      <c r="AW218" s="19">
        <v>1.9E-2</v>
      </c>
      <c r="AX218" s="44">
        <v>0.13</v>
      </c>
      <c r="AY218" s="44">
        <v>6.7734314201523533</v>
      </c>
      <c r="AZ218" s="46">
        <v>0.5</v>
      </c>
      <c r="BA218" s="44">
        <v>0.72</v>
      </c>
      <c r="BB218" s="47">
        <v>1</v>
      </c>
      <c r="BC218" s="46">
        <v>11.280218363357534</v>
      </c>
      <c r="BD218" s="47">
        <v>47.541244098024208</v>
      </c>
      <c r="BE218" s="47">
        <v>41.178537538618244</v>
      </c>
      <c r="BF218" s="125">
        <v>1</v>
      </c>
      <c r="BG218" s="48">
        <f t="shared" si="198"/>
        <v>3.9278653529139689E-3</v>
      </c>
      <c r="BH218" s="48">
        <f t="shared" si="199"/>
        <v>3.9278653529139689E-3</v>
      </c>
      <c r="BI218" s="99">
        <f t="shared" si="200"/>
        <v>4.4307178882735973E-4</v>
      </c>
      <c r="BJ218" s="99">
        <f t="shared" si="201"/>
        <v>1.86735605527055E-3</v>
      </c>
      <c r="BK218" s="48">
        <f t="shared" si="202"/>
        <v>1.6174375088160587E-3</v>
      </c>
      <c r="BL218" s="99">
        <f t="shared" si="177"/>
        <v>2.5643147680878717E-4</v>
      </c>
      <c r="BM218" s="48">
        <f t="shared" si="178"/>
        <v>1.0829258511941564E-3</v>
      </c>
      <c r="BN218" s="48">
        <f t="shared" si="179"/>
        <v>3.1745052939599347E-3</v>
      </c>
      <c r="BO218" s="48">
        <f t="shared" si="180"/>
        <v>2.7496437649872996E-3</v>
      </c>
      <c r="BP218" s="99">
        <f t="shared" si="181"/>
        <v>4.3593351057493818E-4</v>
      </c>
      <c r="BQ218" s="48">
        <f t="shared" si="182"/>
        <v>1.8409739470300656E-3</v>
      </c>
      <c r="BR218" s="40">
        <f t="shared" si="183"/>
        <v>0.58821462461381746</v>
      </c>
      <c r="BS218" s="31">
        <v>1.7</v>
      </c>
      <c r="BT218" s="31">
        <v>1.7</v>
      </c>
      <c r="BU218" s="43">
        <v>0.12</v>
      </c>
      <c r="BV218" s="44">
        <v>0.45</v>
      </c>
      <c r="BW218" s="19">
        <v>0.02</v>
      </c>
      <c r="BX218" s="44">
        <v>0.15</v>
      </c>
      <c r="BY218" s="44">
        <v>17.442066059404372</v>
      </c>
      <c r="BZ218" s="44">
        <v>0.52</v>
      </c>
      <c r="CA218" s="44">
        <v>0.65</v>
      </c>
      <c r="CB218" s="47">
        <v>1</v>
      </c>
      <c r="CC218" s="46">
        <v>3.3053800540389693</v>
      </c>
      <c r="CD218" s="46">
        <v>20.327520115960354</v>
      </c>
      <c r="CE218" s="46">
        <v>76.367099830000683</v>
      </c>
      <c r="CF218" s="125">
        <v>1</v>
      </c>
      <c r="CG218" s="40">
        <f t="shared" si="203"/>
        <v>2.2911749655823255E-2</v>
      </c>
      <c r="CH218" s="40">
        <f t="shared" si="204"/>
        <v>2.2911749655823255E-2</v>
      </c>
      <c r="CI218" s="99">
        <f t="shared" si="205"/>
        <v>7.5732040315492407E-4</v>
      </c>
      <c r="CJ218" s="100">
        <f t="shared" si="206"/>
        <v>4.6573905202059495E-3</v>
      </c>
      <c r="CK218" s="100">
        <f t="shared" si="207"/>
        <v>1.7497038732462385E-2</v>
      </c>
      <c r="CL218" s="101">
        <f t="shared" si="184"/>
        <v>1.0724727909149714E-3</v>
      </c>
      <c r="CM218" s="100">
        <f t="shared" si="185"/>
        <v>4.8261275591173708E-3</v>
      </c>
      <c r="CN218" s="100">
        <f t="shared" si="186"/>
        <v>7.9175638843501147E-3</v>
      </c>
      <c r="CO218" s="100">
        <f t="shared" si="187"/>
        <v>2.9744965845186055E-2</v>
      </c>
      <c r="CP218" s="101">
        <f t="shared" si="188"/>
        <v>1.8232037445554514E-3</v>
      </c>
      <c r="CQ218" s="100">
        <f t="shared" si="189"/>
        <v>8.204416850499531E-3</v>
      </c>
      <c r="CR218" s="99">
        <f t="shared" si="190"/>
        <v>0.23632900169999324</v>
      </c>
      <c r="CS218" s="31">
        <v>1.7</v>
      </c>
      <c r="CT218" s="31">
        <v>1.7</v>
      </c>
      <c r="CU218" s="43">
        <v>0.08</v>
      </c>
      <c r="CV218" s="44">
        <v>0.36</v>
      </c>
      <c r="CW218" s="19">
        <v>0.04</v>
      </c>
      <c r="CX218" s="44">
        <v>0.18</v>
      </c>
    </row>
    <row r="219" spans="1:102" s="27" customFormat="1" x14ac:dyDescent="0.25">
      <c r="A219" s="31">
        <v>205</v>
      </c>
      <c r="B219" s="84" t="s">
        <v>91</v>
      </c>
      <c r="C219" s="19">
        <v>80</v>
      </c>
      <c r="D219" s="31" t="s">
        <v>26</v>
      </c>
      <c r="E219" s="19" t="s">
        <v>99</v>
      </c>
      <c r="F219" s="19" t="s">
        <v>12</v>
      </c>
      <c r="G219" s="31" t="str">
        <f t="shared" si="191"/>
        <v>Statlig 80 - 4L A</v>
      </c>
      <c r="H219" s="48">
        <f t="shared" si="157"/>
        <v>0.23925136754638263</v>
      </c>
      <c r="I219" s="40">
        <f t="shared" si="158"/>
        <v>0.34416520654231514</v>
      </c>
      <c r="J219" s="99">
        <f t="shared" si="159"/>
        <v>1.1909253765534771E-2</v>
      </c>
      <c r="K219" s="48">
        <f t="shared" si="160"/>
        <v>9.7762375647868702E-2</v>
      </c>
      <c r="L219" s="48">
        <f t="shared" si="161"/>
        <v>0.23449357712891167</v>
      </c>
      <c r="M219" s="48">
        <f t="shared" si="192"/>
        <v>0.35825179397464668</v>
      </c>
      <c r="N219" s="99">
        <f t="shared" si="162"/>
        <v>1.3067724382855498E-2</v>
      </c>
      <c r="O219" s="48">
        <f t="shared" si="163"/>
        <v>6.1948253562063835E-2</v>
      </c>
      <c r="P219" s="48">
        <f t="shared" si="164"/>
        <v>0.16619603860137677</v>
      </c>
      <c r="Q219" s="48">
        <f t="shared" si="165"/>
        <v>0.39863908111914981</v>
      </c>
      <c r="R219" s="40">
        <f t="shared" si="193"/>
        <v>2.5077625578225269</v>
      </c>
      <c r="S219" s="99">
        <f t="shared" si="166"/>
        <v>2.2215131450854353E-2</v>
      </c>
      <c r="T219" s="48">
        <f t="shared" si="167"/>
        <v>0.10531203105550851</v>
      </c>
      <c r="U219" s="44">
        <v>19.563455999999999</v>
      </c>
      <c r="V219" s="19">
        <v>1.25</v>
      </c>
      <c r="W219" s="19">
        <v>0.55000000000000004</v>
      </c>
      <c r="X219" s="44">
        <v>1.4871973742890165</v>
      </c>
      <c r="Y219" s="46">
        <v>3.0297325631359824</v>
      </c>
      <c r="Z219" s="46">
        <v>28.407678867433471</v>
      </c>
      <c r="AA219" s="46">
        <v>68.562588569430545</v>
      </c>
      <c r="AB219" s="46">
        <v>1.1186440677966103</v>
      </c>
      <c r="AC219" s="125">
        <v>1</v>
      </c>
      <c r="AD219" s="94">
        <f t="shared" si="194"/>
        <v>0.21534155258746371</v>
      </c>
      <c r="AE219" s="94">
        <f t="shared" si="195"/>
        <v>0.32025539158339622</v>
      </c>
      <c r="AF219" s="96">
        <f t="shared" si="168"/>
        <v>9.7028818840008083E-3</v>
      </c>
      <c r="AG219" s="95">
        <f t="shared" si="156"/>
        <v>9.097712319665277E-2</v>
      </c>
      <c r="AH219" s="94">
        <f t="shared" si="196"/>
        <v>0.21957538650274266</v>
      </c>
      <c r="AI219" s="94">
        <f t="shared" si="197"/>
        <v>0.35825179397464668</v>
      </c>
      <c r="AJ219" s="96">
        <f t="shared" si="169"/>
        <v>1.1904987815267595E-2</v>
      </c>
      <c r="AK219" s="95">
        <f t="shared" si="170"/>
        <v>5.6747708436318905E-2</v>
      </c>
      <c r="AL219" s="95">
        <f t="shared" si="171"/>
        <v>0.15466110943430972</v>
      </c>
      <c r="AM219" s="94">
        <f t="shared" si="172"/>
        <v>0.3732781570546625</v>
      </c>
      <c r="AN219" s="93">
        <f t="shared" si="173"/>
        <v>2.5077625578225269</v>
      </c>
      <c r="AO219" s="96">
        <f t="shared" si="174"/>
        <v>2.0238479285954916E-2</v>
      </c>
      <c r="AP219" s="95">
        <f t="shared" si="175"/>
        <v>9.6471104341742137E-2</v>
      </c>
      <c r="AQ219" s="93">
        <f t="shared" si="176"/>
        <v>0.31437411430569456</v>
      </c>
      <c r="AR219" s="31">
        <v>1.7</v>
      </c>
      <c r="AS219" s="31">
        <v>1.7</v>
      </c>
      <c r="AT219" s="31">
        <v>7</v>
      </c>
      <c r="AU219" s="43">
        <v>8.5000000000000006E-2</v>
      </c>
      <c r="AV219" s="44">
        <v>0.31</v>
      </c>
      <c r="AW219" s="19">
        <v>1.9E-2</v>
      </c>
      <c r="AX219" s="44">
        <v>0.13</v>
      </c>
      <c r="AY219" s="44">
        <v>5.8843957389478314</v>
      </c>
      <c r="AZ219" s="46">
        <v>0.5</v>
      </c>
      <c r="BA219" s="44">
        <v>0.72</v>
      </c>
      <c r="BB219" s="47">
        <v>1</v>
      </c>
      <c r="BC219" s="46">
        <v>23.21224490001492</v>
      </c>
      <c r="BD219" s="47">
        <v>36.921911535570842</v>
      </c>
      <c r="BE219" s="47">
        <v>39.865843564414241</v>
      </c>
      <c r="BF219" s="125">
        <v>1</v>
      </c>
      <c r="BG219" s="48">
        <f t="shared" si="198"/>
        <v>3.4123197995452503E-3</v>
      </c>
      <c r="BH219" s="48">
        <f t="shared" si="199"/>
        <v>3.4123197995452503E-3</v>
      </c>
      <c r="BI219" s="99">
        <f t="shared" si="200"/>
        <v>7.9207602864214178E-4</v>
      </c>
      <c r="BJ219" s="99">
        <f t="shared" si="201"/>
        <v>1.2598936976988657E-3</v>
      </c>
      <c r="BK219" s="48">
        <f t="shared" si="202"/>
        <v>1.3603500732042432E-3</v>
      </c>
      <c r="BL219" s="99">
        <f t="shared" si="177"/>
        <v>1.7839424518794873E-4</v>
      </c>
      <c r="BM219" s="48">
        <f t="shared" si="178"/>
        <v>7.7100467494512609E-4</v>
      </c>
      <c r="BN219" s="48">
        <f t="shared" si="179"/>
        <v>2.1418192860880717E-3</v>
      </c>
      <c r="BO219" s="48">
        <f t="shared" si="180"/>
        <v>2.3125951244472136E-3</v>
      </c>
      <c r="BP219" s="99">
        <f t="shared" si="181"/>
        <v>3.0327021681951288E-4</v>
      </c>
      <c r="BQ219" s="48">
        <f t="shared" si="182"/>
        <v>1.3107079474067142E-3</v>
      </c>
      <c r="BR219" s="40">
        <f t="shared" si="183"/>
        <v>0.60134156435585773</v>
      </c>
      <c r="BS219" s="31">
        <v>1.7</v>
      </c>
      <c r="BT219" s="31">
        <v>1.7</v>
      </c>
      <c r="BU219" s="43">
        <v>0.12</v>
      </c>
      <c r="BV219" s="44">
        <v>0.45</v>
      </c>
      <c r="BW219" s="19">
        <v>0.02</v>
      </c>
      <c r="BX219" s="44">
        <v>0.15</v>
      </c>
      <c r="BY219" s="44">
        <v>15.604162492725626</v>
      </c>
      <c r="BZ219" s="44">
        <v>0.52</v>
      </c>
      <c r="CA219" s="44">
        <v>0.65</v>
      </c>
      <c r="CB219" s="47">
        <v>1</v>
      </c>
      <c r="CC219" s="46">
        <v>6.8998472344805162</v>
      </c>
      <c r="CD219" s="46">
        <v>26.95626324365918</v>
      </c>
      <c r="CE219" s="46">
        <v>66.143889521860302</v>
      </c>
      <c r="CF219" s="125">
        <v>1</v>
      </c>
      <c r="CG219" s="40">
        <f t="shared" si="203"/>
        <v>2.0497495159373647E-2</v>
      </c>
      <c r="CH219" s="40">
        <f t="shared" si="204"/>
        <v>2.0497495159373647E-2</v>
      </c>
      <c r="CI219" s="99">
        <f t="shared" si="205"/>
        <v>1.4142958528918202E-3</v>
      </c>
      <c r="CJ219" s="100">
        <f t="shared" si="206"/>
        <v>5.525358753517058E-3</v>
      </c>
      <c r="CK219" s="100">
        <f t="shared" si="207"/>
        <v>1.3557840552964768E-2</v>
      </c>
      <c r="CL219" s="101">
        <f t="shared" si="184"/>
        <v>9.8434232239995529E-4</v>
      </c>
      <c r="CM219" s="100">
        <f t="shared" si="185"/>
        <v>4.4295404507997994E-3</v>
      </c>
      <c r="CN219" s="100">
        <f t="shared" si="186"/>
        <v>9.3931098809789983E-3</v>
      </c>
      <c r="CO219" s="100">
        <f t="shared" si="187"/>
        <v>2.3048328940040105E-2</v>
      </c>
      <c r="CP219" s="101">
        <f t="shared" si="188"/>
        <v>1.6733819480799241E-3</v>
      </c>
      <c r="CQ219" s="100">
        <f t="shared" si="189"/>
        <v>7.530218766359658E-3</v>
      </c>
      <c r="CR219" s="99">
        <f t="shared" si="190"/>
        <v>0.33856110478139695</v>
      </c>
      <c r="CS219" s="31">
        <v>1.7</v>
      </c>
      <c r="CT219" s="31">
        <v>1.7</v>
      </c>
      <c r="CU219" s="43">
        <v>0.08</v>
      </c>
      <c r="CV219" s="44">
        <v>0.36</v>
      </c>
      <c r="CW219" s="19">
        <v>0.04</v>
      </c>
      <c r="CX219" s="44">
        <v>0.18</v>
      </c>
    </row>
    <row r="220" spans="1:102" s="27" customFormat="1" x14ac:dyDescent="0.25">
      <c r="A220" s="31">
        <v>206</v>
      </c>
      <c r="B220" s="84" t="s">
        <v>91</v>
      </c>
      <c r="C220" s="19">
        <v>80</v>
      </c>
      <c r="D220" s="31" t="s">
        <v>26</v>
      </c>
      <c r="E220" s="19" t="s">
        <v>99</v>
      </c>
      <c r="F220" s="19" t="s">
        <v>13</v>
      </c>
      <c r="G220" s="31" t="str">
        <f t="shared" si="191"/>
        <v>Statlig 80 - 4L B</v>
      </c>
      <c r="H220" s="48">
        <f t="shared" si="157"/>
        <v>0.22848428991700945</v>
      </c>
      <c r="I220" s="40">
        <f t="shared" si="158"/>
        <v>0.32815243696314539</v>
      </c>
      <c r="J220" s="99">
        <f t="shared" si="159"/>
        <v>1.1424109671334733E-2</v>
      </c>
      <c r="K220" s="48">
        <f t="shared" si="160"/>
        <v>9.3213519488036065E-2</v>
      </c>
      <c r="L220" s="48">
        <f t="shared" si="161"/>
        <v>0.22351480780377456</v>
      </c>
      <c r="M220" s="48">
        <f t="shared" si="192"/>
        <v>0.34033920427591435</v>
      </c>
      <c r="N220" s="99">
        <f t="shared" si="162"/>
        <v>1.2472474992092121E-2</v>
      </c>
      <c r="O220" s="48">
        <f t="shared" si="163"/>
        <v>5.9110868140247894E-2</v>
      </c>
      <c r="P220" s="48">
        <f t="shared" si="164"/>
        <v>0.15846298312966128</v>
      </c>
      <c r="Q220" s="48">
        <f t="shared" si="165"/>
        <v>0.37997517326641672</v>
      </c>
      <c r="R220" s="40">
        <f t="shared" si="193"/>
        <v>2.3823744299314003</v>
      </c>
      <c r="S220" s="99">
        <f t="shared" si="166"/>
        <v>2.1203207486556606E-2</v>
      </c>
      <c r="T220" s="48">
        <f t="shared" si="167"/>
        <v>0.10048847583842141</v>
      </c>
      <c r="U220" s="44">
        <v>18.585283199999999</v>
      </c>
      <c r="V220" s="19">
        <v>1.25</v>
      </c>
      <c r="W220" s="19">
        <v>0.55000000000000004</v>
      </c>
      <c r="X220" s="44">
        <v>1.4871973742890168</v>
      </c>
      <c r="Y220" s="46">
        <v>3.0297325631359824</v>
      </c>
      <c r="Z220" s="46">
        <v>28.407678867433471</v>
      </c>
      <c r="AA220" s="46">
        <v>68.562588569430545</v>
      </c>
      <c r="AB220" s="46">
        <v>1.1186440677966101</v>
      </c>
      <c r="AC220" s="125">
        <v>1</v>
      </c>
      <c r="AD220" s="94">
        <f t="shared" si="194"/>
        <v>0.20457447495809053</v>
      </c>
      <c r="AE220" s="94">
        <f t="shared" si="195"/>
        <v>0.30424262200422647</v>
      </c>
      <c r="AF220" s="96">
        <f t="shared" si="168"/>
        <v>9.2177377898007701E-3</v>
      </c>
      <c r="AG220" s="95">
        <f t="shared" si="156"/>
        <v>8.6428267036820133E-2</v>
      </c>
      <c r="AH220" s="94">
        <f t="shared" si="196"/>
        <v>0.20859661717760555</v>
      </c>
      <c r="AI220" s="94">
        <f t="shared" si="197"/>
        <v>0.34033920427591435</v>
      </c>
      <c r="AJ220" s="96">
        <f t="shared" si="169"/>
        <v>1.1309738424504218E-2</v>
      </c>
      <c r="AK220" s="95">
        <f t="shared" si="170"/>
        <v>5.3910323014502964E-2</v>
      </c>
      <c r="AL220" s="95">
        <f t="shared" si="171"/>
        <v>0.14692805396259423</v>
      </c>
      <c r="AM220" s="94">
        <f t="shared" si="172"/>
        <v>0.35461424920192941</v>
      </c>
      <c r="AN220" s="93">
        <f t="shared" si="173"/>
        <v>2.3823744299314003</v>
      </c>
      <c r="AO220" s="96">
        <f t="shared" si="174"/>
        <v>1.9226555321657169E-2</v>
      </c>
      <c r="AP220" s="95">
        <f t="shared" si="175"/>
        <v>9.1647549124655031E-2</v>
      </c>
      <c r="AQ220" s="93">
        <f t="shared" si="176"/>
        <v>0.31437411430569451</v>
      </c>
      <c r="AR220" s="31">
        <v>1.7</v>
      </c>
      <c r="AS220" s="31">
        <v>1.7</v>
      </c>
      <c r="AT220" s="31">
        <v>7</v>
      </c>
      <c r="AU220" s="43">
        <v>8.5000000000000006E-2</v>
      </c>
      <c r="AV220" s="44">
        <v>0.31</v>
      </c>
      <c r="AW220" s="19">
        <v>1.9E-2</v>
      </c>
      <c r="AX220" s="44">
        <v>0.13</v>
      </c>
      <c r="AY220" s="44">
        <v>5.8843957389478314</v>
      </c>
      <c r="AZ220" s="46">
        <v>0.5</v>
      </c>
      <c r="BA220" s="44">
        <v>0.72</v>
      </c>
      <c r="BB220" s="47">
        <v>1</v>
      </c>
      <c r="BC220" s="46">
        <v>23.21224490001492</v>
      </c>
      <c r="BD220" s="47">
        <v>36.921911535570842</v>
      </c>
      <c r="BE220" s="47">
        <v>39.865843564414241</v>
      </c>
      <c r="BF220" s="125">
        <v>1</v>
      </c>
      <c r="BG220" s="48">
        <f t="shared" si="198"/>
        <v>3.4123197995452503E-3</v>
      </c>
      <c r="BH220" s="48">
        <f t="shared" si="199"/>
        <v>3.4123197995452503E-3</v>
      </c>
      <c r="BI220" s="99">
        <f t="shared" si="200"/>
        <v>7.9207602864214178E-4</v>
      </c>
      <c r="BJ220" s="99">
        <f t="shared" si="201"/>
        <v>1.2598936976988657E-3</v>
      </c>
      <c r="BK220" s="48">
        <f t="shared" si="202"/>
        <v>1.3603500732042432E-3</v>
      </c>
      <c r="BL220" s="99">
        <f t="shared" si="177"/>
        <v>1.7839424518794873E-4</v>
      </c>
      <c r="BM220" s="48">
        <f t="shared" si="178"/>
        <v>7.7100467494512609E-4</v>
      </c>
      <c r="BN220" s="48">
        <f t="shared" si="179"/>
        <v>2.1418192860880717E-3</v>
      </c>
      <c r="BO220" s="48">
        <f t="shared" si="180"/>
        <v>2.3125951244472136E-3</v>
      </c>
      <c r="BP220" s="99">
        <f t="shared" si="181"/>
        <v>3.0327021681951288E-4</v>
      </c>
      <c r="BQ220" s="48">
        <f t="shared" si="182"/>
        <v>1.3107079474067142E-3</v>
      </c>
      <c r="BR220" s="40">
        <f t="shared" si="183"/>
        <v>0.60134156435585773</v>
      </c>
      <c r="BS220" s="31">
        <v>1.7</v>
      </c>
      <c r="BT220" s="31">
        <v>1.7</v>
      </c>
      <c r="BU220" s="43">
        <v>0.12</v>
      </c>
      <c r="BV220" s="44">
        <v>0.45</v>
      </c>
      <c r="BW220" s="19">
        <v>0.02</v>
      </c>
      <c r="BX220" s="44">
        <v>0.15</v>
      </c>
      <c r="BY220" s="44">
        <v>15.604162492725626</v>
      </c>
      <c r="BZ220" s="44">
        <v>0.52</v>
      </c>
      <c r="CA220" s="44">
        <v>0.65</v>
      </c>
      <c r="CB220" s="47">
        <v>1</v>
      </c>
      <c r="CC220" s="46">
        <v>6.8998472344805162</v>
      </c>
      <c r="CD220" s="46">
        <v>26.95626324365918</v>
      </c>
      <c r="CE220" s="46">
        <v>66.143889521860302</v>
      </c>
      <c r="CF220" s="125">
        <v>1</v>
      </c>
      <c r="CG220" s="40">
        <f t="shared" si="203"/>
        <v>2.0497495159373647E-2</v>
      </c>
      <c r="CH220" s="40">
        <f t="shared" si="204"/>
        <v>2.0497495159373647E-2</v>
      </c>
      <c r="CI220" s="99">
        <f t="shared" si="205"/>
        <v>1.4142958528918202E-3</v>
      </c>
      <c r="CJ220" s="100">
        <f t="shared" si="206"/>
        <v>5.525358753517058E-3</v>
      </c>
      <c r="CK220" s="100">
        <f t="shared" si="207"/>
        <v>1.3557840552964768E-2</v>
      </c>
      <c r="CL220" s="101">
        <f t="shared" si="184"/>
        <v>9.8434232239995529E-4</v>
      </c>
      <c r="CM220" s="100">
        <f t="shared" si="185"/>
        <v>4.4295404507997994E-3</v>
      </c>
      <c r="CN220" s="100">
        <f t="shared" si="186"/>
        <v>9.3931098809789983E-3</v>
      </c>
      <c r="CO220" s="100">
        <f t="shared" si="187"/>
        <v>2.3048328940040105E-2</v>
      </c>
      <c r="CP220" s="101">
        <f t="shared" si="188"/>
        <v>1.6733819480799241E-3</v>
      </c>
      <c r="CQ220" s="100">
        <f t="shared" si="189"/>
        <v>7.530218766359658E-3</v>
      </c>
      <c r="CR220" s="99">
        <f t="shared" si="190"/>
        <v>0.33856110478139695</v>
      </c>
      <c r="CS220" s="31">
        <v>1.7</v>
      </c>
      <c r="CT220" s="31">
        <v>1.7</v>
      </c>
      <c r="CU220" s="43">
        <v>0.08</v>
      </c>
      <c r="CV220" s="44">
        <v>0.36</v>
      </c>
      <c r="CW220" s="19">
        <v>0.04</v>
      </c>
      <c r="CX220" s="44">
        <v>0.18</v>
      </c>
    </row>
    <row r="221" spans="1:102" s="27" customFormat="1" x14ac:dyDescent="0.25">
      <c r="A221" s="31">
        <v>207</v>
      </c>
      <c r="B221" s="84" t="s">
        <v>91</v>
      </c>
      <c r="C221" s="19">
        <v>80</v>
      </c>
      <c r="D221" s="31" t="s">
        <v>26</v>
      </c>
      <c r="E221" s="19" t="s">
        <v>99</v>
      </c>
      <c r="F221" s="19" t="s">
        <v>70</v>
      </c>
      <c r="G221" s="31" t="str">
        <f t="shared" si="191"/>
        <v>Statlig 80 - 4L Ck</v>
      </c>
      <c r="H221" s="48">
        <f t="shared" si="157"/>
        <v>0.21771721228763627</v>
      </c>
      <c r="I221" s="40">
        <f t="shared" si="158"/>
        <v>0.31213966738397558</v>
      </c>
      <c r="J221" s="99">
        <f t="shared" si="159"/>
        <v>1.0938965577134693E-2</v>
      </c>
      <c r="K221" s="48">
        <f t="shared" si="160"/>
        <v>8.8664663328203427E-2</v>
      </c>
      <c r="L221" s="48">
        <f t="shared" si="161"/>
        <v>0.21253603847863742</v>
      </c>
      <c r="M221" s="48">
        <f t="shared" si="192"/>
        <v>0.32242661457718208</v>
      </c>
      <c r="N221" s="99">
        <f t="shared" si="162"/>
        <v>1.187722560132874E-2</v>
      </c>
      <c r="O221" s="48">
        <f t="shared" si="163"/>
        <v>5.6273482718431952E-2</v>
      </c>
      <c r="P221" s="48">
        <f t="shared" si="164"/>
        <v>0.15072992765794579</v>
      </c>
      <c r="Q221" s="48">
        <f t="shared" si="165"/>
        <v>0.36131126541368358</v>
      </c>
      <c r="R221" s="40">
        <f t="shared" si="193"/>
        <v>2.2569863020402745</v>
      </c>
      <c r="S221" s="99">
        <f t="shared" si="166"/>
        <v>2.0191283522258859E-2</v>
      </c>
      <c r="T221" s="48">
        <f t="shared" si="167"/>
        <v>9.5664920621334304E-2</v>
      </c>
      <c r="U221" s="44">
        <v>17.6071104</v>
      </c>
      <c r="V221" s="19">
        <v>1.25</v>
      </c>
      <c r="W221" s="19">
        <v>0.55000000000000004</v>
      </c>
      <c r="X221" s="44">
        <v>1.4871973742890168</v>
      </c>
      <c r="Y221" s="46">
        <v>3.0297325631359828</v>
      </c>
      <c r="Z221" s="46">
        <v>28.407678867433471</v>
      </c>
      <c r="AA221" s="46">
        <v>68.562588569430545</v>
      </c>
      <c r="AB221" s="46">
        <v>1.1186440677966103</v>
      </c>
      <c r="AC221" s="125">
        <v>1</v>
      </c>
      <c r="AD221" s="94">
        <f t="shared" si="194"/>
        <v>0.19380739732871735</v>
      </c>
      <c r="AE221" s="94">
        <f t="shared" si="195"/>
        <v>0.28822985242505667</v>
      </c>
      <c r="AF221" s="96">
        <f t="shared" si="168"/>
        <v>8.7325936956007301E-3</v>
      </c>
      <c r="AG221" s="95">
        <f t="shared" si="156"/>
        <v>8.1879410876987496E-2</v>
      </c>
      <c r="AH221" s="94">
        <f t="shared" si="196"/>
        <v>0.19761784785246841</v>
      </c>
      <c r="AI221" s="94">
        <f t="shared" si="197"/>
        <v>0.32242661457718208</v>
      </c>
      <c r="AJ221" s="96">
        <f t="shared" si="169"/>
        <v>1.0714489033740837E-2</v>
      </c>
      <c r="AK221" s="95">
        <f t="shared" si="170"/>
        <v>5.1072937592687023E-2</v>
      </c>
      <c r="AL221" s="95">
        <f t="shared" si="171"/>
        <v>0.13919499849087874</v>
      </c>
      <c r="AM221" s="94">
        <f t="shared" si="172"/>
        <v>0.33595034134919627</v>
      </c>
      <c r="AN221" s="93">
        <f t="shared" si="173"/>
        <v>2.2569863020402745</v>
      </c>
      <c r="AO221" s="96">
        <f t="shared" si="174"/>
        <v>1.8214631357359422E-2</v>
      </c>
      <c r="AP221" s="95">
        <f t="shared" si="175"/>
        <v>8.6823993907567926E-2</v>
      </c>
      <c r="AQ221" s="93">
        <f t="shared" si="176"/>
        <v>0.31437411430569451</v>
      </c>
      <c r="AR221" s="31">
        <v>1.7</v>
      </c>
      <c r="AS221" s="31">
        <v>1.7</v>
      </c>
      <c r="AT221" s="31">
        <v>7</v>
      </c>
      <c r="AU221" s="43">
        <v>8.5000000000000006E-2</v>
      </c>
      <c r="AV221" s="44">
        <v>0.31</v>
      </c>
      <c r="AW221" s="19">
        <v>1.9E-2</v>
      </c>
      <c r="AX221" s="44">
        <v>0.13</v>
      </c>
      <c r="AY221" s="44">
        <v>5.8843957389478314</v>
      </c>
      <c r="AZ221" s="46">
        <v>0.5</v>
      </c>
      <c r="BA221" s="44">
        <v>0.72</v>
      </c>
      <c r="BB221" s="47">
        <v>1</v>
      </c>
      <c r="BC221" s="46">
        <v>23.21224490001492</v>
      </c>
      <c r="BD221" s="47">
        <v>36.921911535570842</v>
      </c>
      <c r="BE221" s="47">
        <v>39.865843564414241</v>
      </c>
      <c r="BF221" s="125">
        <v>1</v>
      </c>
      <c r="BG221" s="48">
        <f t="shared" si="198"/>
        <v>3.4123197995452503E-3</v>
      </c>
      <c r="BH221" s="48">
        <f t="shared" si="199"/>
        <v>3.4123197995452503E-3</v>
      </c>
      <c r="BI221" s="99">
        <f t="shared" si="200"/>
        <v>7.9207602864214178E-4</v>
      </c>
      <c r="BJ221" s="99">
        <f t="shared" si="201"/>
        <v>1.2598936976988657E-3</v>
      </c>
      <c r="BK221" s="48">
        <f t="shared" si="202"/>
        <v>1.3603500732042432E-3</v>
      </c>
      <c r="BL221" s="99">
        <f t="shared" si="177"/>
        <v>1.7839424518794873E-4</v>
      </c>
      <c r="BM221" s="48">
        <f t="shared" si="178"/>
        <v>7.7100467494512609E-4</v>
      </c>
      <c r="BN221" s="48">
        <f t="shared" si="179"/>
        <v>2.1418192860880717E-3</v>
      </c>
      <c r="BO221" s="48">
        <f t="shared" si="180"/>
        <v>2.3125951244472136E-3</v>
      </c>
      <c r="BP221" s="99">
        <f t="shared" si="181"/>
        <v>3.0327021681951288E-4</v>
      </c>
      <c r="BQ221" s="48">
        <f t="shared" si="182"/>
        <v>1.3107079474067142E-3</v>
      </c>
      <c r="BR221" s="40">
        <f t="shared" si="183"/>
        <v>0.60134156435585773</v>
      </c>
      <c r="BS221" s="31">
        <v>1.7</v>
      </c>
      <c r="BT221" s="31">
        <v>1.7</v>
      </c>
      <c r="BU221" s="43">
        <v>0.12</v>
      </c>
      <c r="BV221" s="44">
        <v>0.45</v>
      </c>
      <c r="BW221" s="19">
        <v>0.02</v>
      </c>
      <c r="BX221" s="44">
        <v>0.15</v>
      </c>
      <c r="BY221" s="44">
        <v>15.604162492725626</v>
      </c>
      <c r="BZ221" s="44">
        <v>0.52</v>
      </c>
      <c r="CA221" s="44">
        <v>0.65</v>
      </c>
      <c r="CB221" s="47">
        <v>1</v>
      </c>
      <c r="CC221" s="46">
        <v>6.8998472344805162</v>
      </c>
      <c r="CD221" s="46">
        <v>26.95626324365918</v>
      </c>
      <c r="CE221" s="46">
        <v>66.143889521860302</v>
      </c>
      <c r="CF221" s="125">
        <v>1</v>
      </c>
      <c r="CG221" s="40">
        <f t="shared" si="203"/>
        <v>2.0497495159373647E-2</v>
      </c>
      <c r="CH221" s="40">
        <f t="shared" si="204"/>
        <v>2.0497495159373647E-2</v>
      </c>
      <c r="CI221" s="99">
        <f t="shared" si="205"/>
        <v>1.4142958528918202E-3</v>
      </c>
      <c r="CJ221" s="100">
        <f t="shared" si="206"/>
        <v>5.525358753517058E-3</v>
      </c>
      <c r="CK221" s="100">
        <f t="shared" si="207"/>
        <v>1.3557840552964768E-2</v>
      </c>
      <c r="CL221" s="101">
        <f t="shared" si="184"/>
        <v>9.8434232239995529E-4</v>
      </c>
      <c r="CM221" s="100">
        <f t="shared" si="185"/>
        <v>4.4295404507997994E-3</v>
      </c>
      <c r="CN221" s="100">
        <f t="shared" si="186"/>
        <v>9.3931098809789983E-3</v>
      </c>
      <c r="CO221" s="100">
        <f t="shared" si="187"/>
        <v>2.3048328940040105E-2</v>
      </c>
      <c r="CP221" s="101">
        <f t="shared" si="188"/>
        <v>1.6733819480799241E-3</v>
      </c>
      <c r="CQ221" s="100">
        <f t="shared" si="189"/>
        <v>7.530218766359658E-3</v>
      </c>
      <c r="CR221" s="99">
        <f t="shared" si="190"/>
        <v>0.33856110478139695</v>
      </c>
      <c r="CS221" s="31">
        <v>1.7</v>
      </c>
      <c r="CT221" s="31">
        <v>1.7</v>
      </c>
      <c r="CU221" s="43">
        <v>0.08</v>
      </c>
      <c r="CV221" s="44">
        <v>0.36</v>
      </c>
      <c r="CW221" s="19">
        <v>0.04</v>
      </c>
      <c r="CX221" s="44">
        <v>0.18</v>
      </c>
    </row>
    <row r="222" spans="1:102" s="27" customFormat="1" x14ac:dyDescent="0.25">
      <c r="A222" s="31">
        <v>208</v>
      </c>
      <c r="B222" s="84" t="s">
        <v>91</v>
      </c>
      <c r="C222" s="19">
        <v>80</v>
      </c>
      <c r="D222" s="31" t="s">
        <v>26</v>
      </c>
      <c r="E222" s="19" t="s">
        <v>99</v>
      </c>
      <c r="F222" s="31" t="s">
        <v>71</v>
      </c>
      <c r="G222" s="31" t="str">
        <f t="shared" si="191"/>
        <v>Statlig 80 - 4L Cm</v>
      </c>
      <c r="H222" s="48">
        <f t="shared" si="157"/>
        <v>0.21771721228763627</v>
      </c>
      <c r="I222" s="40">
        <f t="shared" si="158"/>
        <v>0.31213966738397558</v>
      </c>
      <c r="J222" s="99">
        <f t="shared" si="159"/>
        <v>1.0938965577134693E-2</v>
      </c>
      <c r="K222" s="48">
        <f t="shared" si="160"/>
        <v>8.8664663328203427E-2</v>
      </c>
      <c r="L222" s="48">
        <f t="shared" si="161"/>
        <v>0.21253603847863742</v>
      </c>
      <c r="M222" s="48">
        <f t="shared" si="192"/>
        <v>0.32242661457718208</v>
      </c>
      <c r="N222" s="99">
        <f t="shared" si="162"/>
        <v>1.187722560132874E-2</v>
      </c>
      <c r="O222" s="48">
        <f t="shared" si="163"/>
        <v>5.6273482718431952E-2</v>
      </c>
      <c r="P222" s="48">
        <f t="shared" si="164"/>
        <v>0.15072992765794579</v>
      </c>
      <c r="Q222" s="48">
        <f t="shared" si="165"/>
        <v>0.36131126541368358</v>
      </c>
      <c r="R222" s="40">
        <f t="shared" si="193"/>
        <v>2.2569863020402745</v>
      </c>
      <c r="S222" s="99">
        <f t="shared" si="166"/>
        <v>2.0191283522258859E-2</v>
      </c>
      <c r="T222" s="48">
        <f t="shared" si="167"/>
        <v>9.5664920621334304E-2</v>
      </c>
      <c r="U222" s="44">
        <v>17.6071104</v>
      </c>
      <c r="V222" s="19">
        <v>1.25</v>
      </c>
      <c r="W222" s="19">
        <v>0.55000000000000004</v>
      </c>
      <c r="X222" s="44">
        <v>1.4871973742890168</v>
      </c>
      <c r="Y222" s="46">
        <v>3.0297325631359828</v>
      </c>
      <c r="Z222" s="46">
        <v>28.407678867433471</v>
      </c>
      <c r="AA222" s="46">
        <v>68.562588569430545</v>
      </c>
      <c r="AB222" s="46">
        <v>1.1186440677966103</v>
      </c>
      <c r="AC222" s="125">
        <v>1</v>
      </c>
      <c r="AD222" s="94">
        <f t="shared" si="194"/>
        <v>0.19380739732871735</v>
      </c>
      <c r="AE222" s="94">
        <f t="shared" si="195"/>
        <v>0.28822985242505667</v>
      </c>
      <c r="AF222" s="96">
        <f t="shared" si="168"/>
        <v>8.7325936956007301E-3</v>
      </c>
      <c r="AG222" s="95">
        <f t="shared" si="156"/>
        <v>8.1879410876987496E-2</v>
      </c>
      <c r="AH222" s="94">
        <f t="shared" si="196"/>
        <v>0.19761784785246841</v>
      </c>
      <c r="AI222" s="94">
        <f t="shared" si="197"/>
        <v>0.32242661457718208</v>
      </c>
      <c r="AJ222" s="96">
        <f t="shared" si="169"/>
        <v>1.0714489033740837E-2</v>
      </c>
      <c r="AK222" s="95">
        <f t="shared" si="170"/>
        <v>5.1072937592687023E-2</v>
      </c>
      <c r="AL222" s="95">
        <f t="shared" si="171"/>
        <v>0.13919499849087874</v>
      </c>
      <c r="AM222" s="94">
        <f t="shared" si="172"/>
        <v>0.33595034134919627</v>
      </c>
      <c r="AN222" s="93">
        <f t="shared" si="173"/>
        <v>2.2569863020402745</v>
      </c>
      <c r="AO222" s="96">
        <f t="shared" si="174"/>
        <v>1.8214631357359422E-2</v>
      </c>
      <c r="AP222" s="95">
        <f t="shared" si="175"/>
        <v>8.6823993907567926E-2</v>
      </c>
      <c r="AQ222" s="93">
        <f t="shared" si="176"/>
        <v>0.31437411430569451</v>
      </c>
      <c r="AR222" s="31">
        <v>1.7</v>
      </c>
      <c r="AS222" s="31">
        <v>1.7</v>
      </c>
      <c r="AT222" s="31">
        <v>7</v>
      </c>
      <c r="AU222" s="43">
        <v>8.5000000000000006E-2</v>
      </c>
      <c r="AV222" s="44">
        <v>0.31</v>
      </c>
      <c r="AW222" s="19">
        <v>1.9E-2</v>
      </c>
      <c r="AX222" s="44">
        <v>0.13</v>
      </c>
      <c r="AY222" s="44">
        <v>5.8843957389478314</v>
      </c>
      <c r="AZ222" s="46">
        <v>0.5</v>
      </c>
      <c r="BA222" s="44">
        <v>0.72</v>
      </c>
      <c r="BB222" s="47">
        <v>1</v>
      </c>
      <c r="BC222" s="46">
        <v>23.21224490001492</v>
      </c>
      <c r="BD222" s="47">
        <v>36.921911535570842</v>
      </c>
      <c r="BE222" s="47">
        <v>39.865843564414241</v>
      </c>
      <c r="BF222" s="125">
        <v>1</v>
      </c>
      <c r="BG222" s="48">
        <f t="shared" si="198"/>
        <v>3.4123197995452503E-3</v>
      </c>
      <c r="BH222" s="48">
        <f t="shared" si="199"/>
        <v>3.4123197995452503E-3</v>
      </c>
      <c r="BI222" s="99">
        <f t="shared" si="200"/>
        <v>7.9207602864214178E-4</v>
      </c>
      <c r="BJ222" s="99">
        <f t="shared" si="201"/>
        <v>1.2598936976988657E-3</v>
      </c>
      <c r="BK222" s="48">
        <f t="shared" si="202"/>
        <v>1.3603500732042432E-3</v>
      </c>
      <c r="BL222" s="99">
        <f t="shared" si="177"/>
        <v>1.7839424518794873E-4</v>
      </c>
      <c r="BM222" s="48">
        <f t="shared" si="178"/>
        <v>7.7100467494512609E-4</v>
      </c>
      <c r="BN222" s="48">
        <f t="shared" si="179"/>
        <v>2.1418192860880717E-3</v>
      </c>
      <c r="BO222" s="48">
        <f t="shared" si="180"/>
        <v>2.3125951244472136E-3</v>
      </c>
      <c r="BP222" s="99">
        <f t="shared" si="181"/>
        <v>3.0327021681951288E-4</v>
      </c>
      <c r="BQ222" s="48">
        <f t="shared" si="182"/>
        <v>1.3107079474067142E-3</v>
      </c>
      <c r="BR222" s="40">
        <f t="shared" si="183"/>
        <v>0.60134156435585773</v>
      </c>
      <c r="BS222" s="31">
        <v>1.7</v>
      </c>
      <c r="BT222" s="31">
        <v>1.7</v>
      </c>
      <c r="BU222" s="43">
        <v>0.12</v>
      </c>
      <c r="BV222" s="44">
        <v>0.45</v>
      </c>
      <c r="BW222" s="19">
        <v>0.02</v>
      </c>
      <c r="BX222" s="44">
        <v>0.15</v>
      </c>
      <c r="BY222" s="44">
        <v>15.604162492725626</v>
      </c>
      <c r="BZ222" s="44">
        <v>0.52</v>
      </c>
      <c r="CA222" s="44">
        <v>0.65</v>
      </c>
      <c r="CB222" s="47">
        <v>1</v>
      </c>
      <c r="CC222" s="46">
        <v>6.8998472344805162</v>
      </c>
      <c r="CD222" s="46">
        <v>26.95626324365918</v>
      </c>
      <c r="CE222" s="46">
        <v>66.143889521860302</v>
      </c>
      <c r="CF222" s="125">
        <v>1</v>
      </c>
      <c r="CG222" s="40">
        <f t="shared" si="203"/>
        <v>2.0497495159373647E-2</v>
      </c>
      <c r="CH222" s="40">
        <f t="shared" si="204"/>
        <v>2.0497495159373647E-2</v>
      </c>
      <c r="CI222" s="99">
        <f t="shared" si="205"/>
        <v>1.4142958528918202E-3</v>
      </c>
      <c r="CJ222" s="100">
        <f t="shared" si="206"/>
        <v>5.525358753517058E-3</v>
      </c>
      <c r="CK222" s="100">
        <f t="shared" si="207"/>
        <v>1.3557840552964768E-2</v>
      </c>
      <c r="CL222" s="101">
        <f t="shared" si="184"/>
        <v>9.8434232239995529E-4</v>
      </c>
      <c r="CM222" s="100">
        <f t="shared" si="185"/>
        <v>4.4295404507997994E-3</v>
      </c>
      <c r="CN222" s="100">
        <f t="shared" si="186"/>
        <v>9.3931098809789983E-3</v>
      </c>
      <c r="CO222" s="100">
        <f t="shared" si="187"/>
        <v>2.3048328940040105E-2</v>
      </c>
      <c r="CP222" s="101">
        <f t="shared" si="188"/>
        <v>1.6733819480799241E-3</v>
      </c>
      <c r="CQ222" s="100">
        <f t="shared" si="189"/>
        <v>7.530218766359658E-3</v>
      </c>
      <c r="CR222" s="99">
        <f t="shared" si="190"/>
        <v>0.33856110478139695</v>
      </c>
      <c r="CS222" s="31">
        <v>1.7</v>
      </c>
      <c r="CT222" s="31">
        <v>1.7</v>
      </c>
      <c r="CU222" s="43">
        <v>0.08</v>
      </c>
      <c r="CV222" s="44">
        <v>0.36</v>
      </c>
      <c r="CW222" s="19">
        <v>0.04</v>
      </c>
      <c r="CX222" s="44">
        <v>0.18</v>
      </c>
    </row>
    <row r="223" spans="1:102" s="27" customFormat="1" x14ac:dyDescent="0.25">
      <c r="A223" s="31">
        <v>209</v>
      </c>
      <c r="B223" s="84" t="s">
        <v>91</v>
      </c>
      <c r="C223" s="19">
        <v>80</v>
      </c>
      <c r="D223" s="31" t="s">
        <v>26</v>
      </c>
      <c r="E223" s="19" t="s">
        <v>99</v>
      </c>
      <c r="F223" s="19" t="s">
        <v>64</v>
      </c>
      <c r="G223" s="31" t="str">
        <f t="shared" si="191"/>
        <v>Statlig 80 - 4L F</v>
      </c>
      <c r="H223" s="48">
        <f t="shared" si="157"/>
        <v>7.4669673441116691E-2</v>
      </c>
      <c r="I223" s="40">
        <f t="shared" si="158"/>
        <v>8.0033225255382062E-2</v>
      </c>
      <c r="J223" s="99">
        <f t="shared" si="159"/>
        <v>2.6177786905393833E-3</v>
      </c>
      <c r="K223" s="48">
        <f t="shared" si="160"/>
        <v>1.5946751574511767E-2</v>
      </c>
      <c r="L223" s="48">
        <f t="shared" si="161"/>
        <v>6.1468694990330905E-2</v>
      </c>
      <c r="M223" s="48">
        <f t="shared" si="192"/>
        <v>0.11498454792446113</v>
      </c>
      <c r="N223" s="99">
        <f t="shared" si="162"/>
        <v>2.8259235759871271E-3</v>
      </c>
      <c r="O223" s="48">
        <f t="shared" si="163"/>
        <v>1.4092175421307682E-2</v>
      </c>
      <c r="P223" s="48">
        <f t="shared" si="164"/>
        <v>2.7109477676669998E-2</v>
      </c>
      <c r="Q223" s="48">
        <f t="shared" si="165"/>
        <v>0.10449678148356253</v>
      </c>
      <c r="R223" s="40">
        <f t="shared" si="193"/>
        <v>0.80489183547122789</v>
      </c>
      <c r="S223" s="99">
        <f t="shared" si="166"/>
        <v>4.804070079178116E-3</v>
      </c>
      <c r="T223" s="48">
        <f t="shared" si="167"/>
        <v>2.3956698216223059E-2</v>
      </c>
      <c r="U223" s="44">
        <v>3.7018080000000002</v>
      </c>
      <c r="V223" s="19">
        <v>1.25</v>
      </c>
      <c r="W223" s="19">
        <v>0.45</v>
      </c>
      <c r="X223" s="44">
        <v>1.1056652239514506</v>
      </c>
      <c r="Y223" s="46">
        <v>0.73303957623428262</v>
      </c>
      <c r="Z223" s="46">
        <v>16.323846100765532</v>
      </c>
      <c r="AA223" s="46">
        <v>82.943114323000174</v>
      </c>
      <c r="AB223" s="46">
        <v>2.0487804878048785</v>
      </c>
      <c r="AC223" s="125">
        <v>1</v>
      </c>
      <c r="AD223" s="94">
        <f t="shared" si="194"/>
        <v>5.0759858482197787E-2</v>
      </c>
      <c r="AE223" s="94">
        <f t="shared" si="195"/>
        <v>5.6123410296463158E-2</v>
      </c>
      <c r="AF223" s="96">
        <f t="shared" si="168"/>
        <v>4.1140680900542126E-4</v>
      </c>
      <c r="AG223" s="95">
        <f t="shared" ref="AG223:AG238" si="208">$AE223*Z223/100</f>
        <v>9.1614991232958423E-3</v>
      </c>
      <c r="AH223" s="94">
        <f t="shared" si="196"/>
        <v>4.6550504364161888E-2</v>
      </c>
      <c r="AI223" s="94">
        <f t="shared" si="197"/>
        <v>0.11498454792446113</v>
      </c>
      <c r="AJ223" s="96">
        <f t="shared" si="169"/>
        <v>1.6631870083992225E-3</v>
      </c>
      <c r="AK223" s="95">
        <f t="shared" si="170"/>
        <v>8.8916302955627559E-3</v>
      </c>
      <c r="AL223" s="95">
        <f t="shared" si="171"/>
        <v>1.5574548509602932E-2</v>
      </c>
      <c r="AM223" s="94">
        <f t="shared" si="172"/>
        <v>7.9135857419075209E-2</v>
      </c>
      <c r="AN223" s="93">
        <f t="shared" si="173"/>
        <v>0.80489183547122789</v>
      </c>
      <c r="AO223" s="96">
        <f t="shared" si="174"/>
        <v>2.8274179142786784E-3</v>
      </c>
      <c r="AP223" s="95">
        <f t="shared" si="175"/>
        <v>1.5115771502456687E-2</v>
      </c>
      <c r="AQ223" s="93">
        <f t="shared" si="176"/>
        <v>0.17056885676999814</v>
      </c>
      <c r="AR223" s="31">
        <v>1.7</v>
      </c>
      <c r="AS223" s="31">
        <v>1.7</v>
      </c>
      <c r="AT223" s="31">
        <v>7</v>
      </c>
      <c r="AU223" s="43">
        <v>8.5000000000000006E-2</v>
      </c>
      <c r="AV223" s="44">
        <v>0.31</v>
      </c>
      <c r="AW223" s="19">
        <v>1.9E-2</v>
      </c>
      <c r="AX223" s="44">
        <v>0.13</v>
      </c>
      <c r="AY223" s="44">
        <v>5.8843957389478314</v>
      </c>
      <c r="AZ223" s="46">
        <v>0.5</v>
      </c>
      <c r="BA223" s="44">
        <v>0.72</v>
      </c>
      <c r="BB223" s="47">
        <v>1</v>
      </c>
      <c r="BC223" s="46">
        <v>23.21224490001492</v>
      </c>
      <c r="BD223" s="47">
        <v>36.921911535570842</v>
      </c>
      <c r="BE223" s="47">
        <v>39.865843564414241</v>
      </c>
      <c r="BF223" s="125">
        <v>1</v>
      </c>
      <c r="BG223" s="48">
        <f t="shared" si="198"/>
        <v>3.4123197995452503E-3</v>
      </c>
      <c r="BH223" s="48">
        <f t="shared" si="199"/>
        <v>3.4123197995452503E-3</v>
      </c>
      <c r="BI223" s="99">
        <f t="shared" si="200"/>
        <v>7.9207602864214178E-4</v>
      </c>
      <c r="BJ223" s="99">
        <f t="shared" si="201"/>
        <v>1.2598936976988657E-3</v>
      </c>
      <c r="BK223" s="48">
        <f t="shared" si="202"/>
        <v>1.3603500732042432E-3</v>
      </c>
      <c r="BL223" s="99">
        <f t="shared" si="177"/>
        <v>1.7839424518794873E-4</v>
      </c>
      <c r="BM223" s="48">
        <f t="shared" si="178"/>
        <v>7.7100467494512609E-4</v>
      </c>
      <c r="BN223" s="48">
        <f t="shared" si="179"/>
        <v>2.1418192860880717E-3</v>
      </c>
      <c r="BO223" s="48">
        <f t="shared" si="180"/>
        <v>2.3125951244472136E-3</v>
      </c>
      <c r="BP223" s="99">
        <f t="shared" si="181"/>
        <v>3.0327021681951288E-4</v>
      </c>
      <c r="BQ223" s="48">
        <f t="shared" si="182"/>
        <v>1.3107079474067142E-3</v>
      </c>
      <c r="BR223" s="40">
        <f t="shared" si="183"/>
        <v>0.60134156435585773</v>
      </c>
      <c r="BS223" s="31">
        <v>1.7</v>
      </c>
      <c r="BT223" s="31">
        <v>1.7</v>
      </c>
      <c r="BU223" s="43">
        <v>0.12</v>
      </c>
      <c r="BV223" s="44">
        <v>0.45</v>
      </c>
      <c r="BW223" s="19">
        <v>0.02</v>
      </c>
      <c r="BX223" s="44">
        <v>0.15</v>
      </c>
      <c r="BY223" s="44">
        <v>15.604162492725624</v>
      </c>
      <c r="BZ223" s="44">
        <v>0.52</v>
      </c>
      <c r="CA223" s="44">
        <v>0.65</v>
      </c>
      <c r="CB223" s="47">
        <v>1</v>
      </c>
      <c r="CC223" s="46">
        <v>6.899847234480518</v>
      </c>
      <c r="CD223" s="46">
        <v>26.95626324365918</v>
      </c>
      <c r="CE223" s="46">
        <v>66.143889521860316</v>
      </c>
      <c r="CF223" s="125">
        <v>1</v>
      </c>
      <c r="CG223" s="40">
        <f t="shared" si="203"/>
        <v>2.0497495159373644E-2</v>
      </c>
      <c r="CH223" s="40">
        <f t="shared" si="204"/>
        <v>2.0497495159373644E-2</v>
      </c>
      <c r="CI223" s="99">
        <f t="shared" si="205"/>
        <v>1.4142958528918204E-3</v>
      </c>
      <c r="CJ223" s="100">
        <f t="shared" si="206"/>
        <v>5.5253587535170571E-3</v>
      </c>
      <c r="CK223" s="100">
        <f t="shared" si="207"/>
        <v>1.3557840552964771E-2</v>
      </c>
      <c r="CL223" s="101">
        <f t="shared" si="184"/>
        <v>9.843423223999555E-4</v>
      </c>
      <c r="CM223" s="100">
        <f t="shared" si="185"/>
        <v>4.4295404507997994E-3</v>
      </c>
      <c r="CN223" s="100">
        <f t="shared" si="186"/>
        <v>9.3931098809789965E-3</v>
      </c>
      <c r="CO223" s="100">
        <f t="shared" si="187"/>
        <v>2.3048328940040112E-2</v>
      </c>
      <c r="CP223" s="101">
        <f t="shared" si="188"/>
        <v>1.6733819480799243E-3</v>
      </c>
      <c r="CQ223" s="100">
        <f t="shared" si="189"/>
        <v>7.530218766359658E-3</v>
      </c>
      <c r="CR223" s="99">
        <f t="shared" si="190"/>
        <v>0.338561104781397</v>
      </c>
      <c r="CS223" s="31">
        <v>1.7</v>
      </c>
      <c r="CT223" s="31">
        <v>1.7</v>
      </c>
      <c r="CU223" s="43">
        <v>0.08</v>
      </c>
      <c r="CV223" s="44">
        <v>0.36</v>
      </c>
      <c r="CW223" s="19">
        <v>0.04</v>
      </c>
      <c r="CX223" s="44">
        <v>0.18</v>
      </c>
    </row>
    <row r="224" spans="1:102" s="27" customFormat="1" x14ac:dyDescent="0.25">
      <c r="A224" s="31">
        <v>210</v>
      </c>
      <c r="B224" s="84" t="s">
        <v>91</v>
      </c>
      <c r="C224" s="19">
        <v>90</v>
      </c>
      <c r="D224" s="31" t="s">
        <v>26</v>
      </c>
      <c r="E224" s="19" t="s">
        <v>99</v>
      </c>
      <c r="F224" s="19" t="s">
        <v>12</v>
      </c>
      <c r="G224" s="31" t="str">
        <f t="shared" si="191"/>
        <v>Statlig 90 - 4L A</v>
      </c>
      <c r="H224" s="48">
        <f t="shared" si="157"/>
        <v>0.23163228200641425</v>
      </c>
      <c r="I224" s="40">
        <f t="shared" si="158"/>
        <v>0.37618029749918042</v>
      </c>
      <c r="J224" s="99">
        <f t="shared" si="159"/>
        <v>1.4348498512692496E-2</v>
      </c>
      <c r="K224" s="48">
        <f t="shared" si="160"/>
        <v>0.11237054672168818</v>
      </c>
      <c r="L224" s="48">
        <f t="shared" si="161"/>
        <v>0.24946125226479973</v>
      </c>
      <c r="M224" s="48">
        <f t="shared" si="192"/>
        <v>0.42759745333012888</v>
      </c>
      <c r="N224" s="99">
        <f t="shared" si="162"/>
        <v>1.2597289028981483E-2</v>
      </c>
      <c r="O224" s="48">
        <f t="shared" si="163"/>
        <v>6.7721472233184532E-2</v>
      </c>
      <c r="P224" s="48">
        <f t="shared" si="164"/>
        <v>0.19102992942686992</v>
      </c>
      <c r="Q224" s="48">
        <f t="shared" si="165"/>
        <v>0.42408412885015956</v>
      </c>
      <c r="R224" s="40">
        <f t="shared" si="193"/>
        <v>2.9931821733109021</v>
      </c>
      <c r="S224" s="99">
        <f t="shared" si="166"/>
        <v>2.1415391349268519E-2</v>
      </c>
      <c r="T224" s="48">
        <f t="shared" si="167"/>
        <v>0.1151265027964137</v>
      </c>
      <c r="U224" s="44">
        <v>18.651600000000002</v>
      </c>
      <c r="V224" s="19">
        <v>1.25</v>
      </c>
      <c r="W224" s="19">
        <v>0.55000000000000004</v>
      </c>
      <c r="X224" s="44">
        <v>1.7040666584760553</v>
      </c>
      <c r="Y224" s="46">
        <v>3.3414711666409205</v>
      </c>
      <c r="Z224" s="46">
        <v>29.890144385576317</v>
      </c>
      <c r="AA224" s="46">
        <v>66.768384447782765</v>
      </c>
      <c r="AB224" s="46">
        <v>1.2222222222222223</v>
      </c>
      <c r="AC224" s="125">
        <v>1</v>
      </c>
      <c r="AD224" s="94">
        <f t="shared" si="194"/>
        <v>0.20530444632279382</v>
      </c>
      <c r="AE224" s="94">
        <f t="shared" si="195"/>
        <v>0.34985246181555996</v>
      </c>
      <c r="AF224" s="96">
        <f t="shared" si="168"/>
        <v>1.1690219137350372E-2</v>
      </c>
      <c r="AG224" s="95">
        <f t="shared" si="208"/>
        <v>0.10457140597316412</v>
      </c>
      <c r="AH224" s="94">
        <f t="shared" si="196"/>
        <v>0.23359083670504546</v>
      </c>
      <c r="AI224" s="94">
        <f t="shared" si="197"/>
        <v>0.42759745333012888</v>
      </c>
      <c r="AJ224" s="96">
        <f t="shared" si="169"/>
        <v>1.1758224315517353E-2</v>
      </c>
      <c r="AK224" s="95">
        <f t="shared" si="170"/>
        <v>6.2783944623336793E-2</v>
      </c>
      <c r="AL224" s="95">
        <f t="shared" si="171"/>
        <v>0.17777139015437901</v>
      </c>
      <c r="AM224" s="94">
        <f t="shared" si="172"/>
        <v>0.39710442239857729</v>
      </c>
      <c r="AN224" s="93">
        <f t="shared" si="173"/>
        <v>2.9931821733109021</v>
      </c>
      <c r="AO224" s="96">
        <f t="shared" si="174"/>
        <v>1.99889813363795E-2</v>
      </c>
      <c r="AP224" s="95">
        <f t="shared" si="175"/>
        <v>0.10673270585967254</v>
      </c>
      <c r="AQ224" s="93">
        <f t="shared" si="176"/>
        <v>0.33231615552217236</v>
      </c>
      <c r="AR224" s="31">
        <v>1.7</v>
      </c>
      <c r="AS224" s="31">
        <v>1.7</v>
      </c>
      <c r="AT224" s="31">
        <v>7</v>
      </c>
      <c r="AU224" s="43">
        <v>7.0000000000000007E-2</v>
      </c>
      <c r="AV224" s="44">
        <v>0.31</v>
      </c>
      <c r="AW224" s="19">
        <v>1.9E-2</v>
      </c>
      <c r="AX224" s="44">
        <v>0.13</v>
      </c>
      <c r="AY224" s="44">
        <v>6.6385405308393919</v>
      </c>
      <c r="AZ224" s="46">
        <v>0.5</v>
      </c>
      <c r="BA224" s="44">
        <v>0.72</v>
      </c>
      <c r="BB224" s="47">
        <v>1</v>
      </c>
      <c r="BC224" s="46">
        <v>24.789531138900781</v>
      </c>
      <c r="BD224" s="47">
        <v>37.617868674255881</v>
      </c>
      <c r="BE224" s="47">
        <v>37.592600186843342</v>
      </c>
      <c r="BF224" s="125">
        <v>1</v>
      </c>
      <c r="BG224" s="48">
        <f t="shared" si="198"/>
        <v>3.8496430727001664E-3</v>
      </c>
      <c r="BH224" s="48">
        <f t="shared" si="199"/>
        <v>3.8496430727001664E-3</v>
      </c>
      <c r="BI224" s="99">
        <f t="shared" si="200"/>
        <v>9.5430846824354459E-4</v>
      </c>
      <c r="BJ224" s="99">
        <f t="shared" si="201"/>
        <v>1.4481536755159374E-3</v>
      </c>
      <c r="BK224" s="48">
        <f t="shared" si="202"/>
        <v>1.4471809289406845E-3</v>
      </c>
      <c r="BL224" s="99">
        <f t="shared" si="177"/>
        <v>2.2444436477346525E-4</v>
      </c>
      <c r="BM224" s="48">
        <f t="shared" si="178"/>
        <v>8.6874629332327452E-4</v>
      </c>
      <c r="BN224" s="48">
        <f t="shared" si="179"/>
        <v>2.4618612483770937E-3</v>
      </c>
      <c r="BO224" s="48">
        <f t="shared" si="180"/>
        <v>2.4602075791991637E-3</v>
      </c>
      <c r="BP224" s="99">
        <f t="shared" si="181"/>
        <v>3.8155542011489096E-4</v>
      </c>
      <c r="BQ224" s="48">
        <f t="shared" si="182"/>
        <v>1.4768686986495667E-3</v>
      </c>
      <c r="BR224" s="40">
        <f t="shared" si="183"/>
        <v>0.62407399813156661</v>
      </c>
      <c r="BS224" s="31">
        <v>1.7</v>
      </c>
      <c r="BT224" s="31">
        <v>1.7</v>
      </c>
      <c r="BU224" s="43">
        <v>0.13500000000000001</v>
      </c>
      <c r="BV224" s="44">
        <v>0.45</v>
      </c>
      <c r="BW224" s="19">
        <v>0.02</v>
      </c>
      <c r="BX224" s="44">
        <v>0.15</v>
      </c>
      <c r="BY224" s="44">
        <v>17.112011361211739</v>
      </c>
      <c r="BZ224" s="44">
        <v>0.52</v>
      </c>
      <c r="CA224" s="44">
        <v>0.65</v>
      </c>
      <c r="CB224" s="47">
        <v>1</v>
      </c>
      <c r="CC224" s="46">
        <v>7.5805512328903273</v>
      </c>
      <c r="CD224" s="46">
        <v>28.253993472423129</v>
      </c>
      <c r="CE224" s="46">
        <v>64.165455294686552</v>
      </c>
      <c r="CF224" s="125">
        <v>1</v>
      </c>
      <c r="CG224" s="40">
        <f t="shared" si="203"/>
        <v>2.2478192610920277E-2</v>
      </c>
      <c r="CH224" s="40">
        <f t="shared" si="204"/>
        <v>2.2478192610920277E-2</v>
      </c>
      <c r="CI224" s="99">
        <f t="shared" si="205"/>
        <v>1.7039709070985796E-3</v>
      </c>
      <c r="CJ224" s="100">
        <f t="shared" si="206"/>
        <v>6.3509870730081132E-3</v>
      </c>
      <c r="CK224" s="100">
        <f t="shared" si="207"/>
        <v>1.4423234630813587E-2</v>
      </c>
      <c r="CL224" s="101">
        <f t="shared" si="184"/>
        <v>6.146203486906642E-4</v>
      </c>
      <c r="CM224" s="100">
        <f t="shared" si="185"/>
        <v>4.068781316524472E-3</v>
      </c>
      <c r="CN224" s="100">
        <f t="shared" si="186"/>
        <v>1.0796678024113791E-2</v>
      </c>
      <c r="CO224" s="100">
        <f t="shared" si="187"/>
        <v>2.4519498872383097E-2</v>
      </c>
      <c r="CP224" s="101">
        <f t="shared" si="188"/>
        <v>1.0448545927741291E-3</v>
      </c>
      <c r="CQ224" s="100">
        <f t="shared" si="189"/>
        <v>6.9169282380916013E-3</v>
      </c>
      <c r="CR224" s="99">
        <f t="shared" si="190"/>
        <v>0.35834544705313459</v>
      </c>
      <c r="CS224" s="31">
        <v>1.7</v>
      </c>
      <c r="CT224" s="31">
        <v>1.7</v>
      </c>
      <c r="CU224" s="43">
        <v>0.04</v>
      </c>
      <c r="CV224" s="44">
        <v>0.3</v>
      </c>
      <c r="CW224" s="19">
        <v>2.5000000000000001E-2</v>
      </c>
      <c r="CX224" s="44">
        <v>0.15</v>
      </c>
    </row>
    <row r="225" spans="1:102" s="27" customFormat="1" x14ac:dyDescent="0.25">
      <c r="A225" s="31">
        <v>211</v>
      </c>
      <c r="B225" s="84" t="s">
        <v>91</v>
      </c>
      <c r="C225" s="19">
        <v>90</v>
      </c>
      <c r="D225" s="31" t="s">
        <v>26</v>
      </c>
      <c r="E225" s="19" t="s">
        <v>99</v>
      </c>
      <c r="F225" s="19" t="s">
        <v>13</v>
      </c>
      <c r="G225" s="31" t="str">
        <f t="shared" si="191"/>
        <v>Statlig 90 - 4L B</v>
      </c>
      <c r="H225" s="48">
        <f t="shared" si="157"/>
        <v>0.22136705969027454</v>
      </c>
      <c r="I225" s="40">
        <f t="shared" si="158"/>
        <v>0.35868767440840243</v>
      </c>
      <c r="J225" s="99">
        <f t="shared" si="159"/>
        <v>1.3763987555824978E-2</v>
      </c>
      <c r="K225" s="48">
        <f t="shared" si="160"/>
        <v>0.10714197642302997</v>
      </c>
      <c r="L225" s="48">
        <f t="shared" si="161"/>
        <v>0.23778171042954749</v>
      </c>
      <c r="M225" s="48">
        <f t="shared" si="192"/>
        <v>0.40621758066362246</v>
      </c>
      <c r="N225" s="99">
        <f t="shared" si="162"/>
        <v>1.2009377813205617E-2</v>
      </c>
      <c r="O225" s="48">
        <f t="shared" si="163"/>
        <v>6.45822750020177E-2</v>
      </c>
      <c r="P225" s="48">
        <f t="shared" si="164"/>
        <v>0.18214135991915095</v>
      </c>
      <c r="Q225" s="48">
        <f t="shared" si="165"/>
        <v>0.40422890773023074</v>
      </c>
      <c r="R225" s="40">
        <f t="shared" si="193"/>
        <v>2.8435230646453573</v>
      </c>
      <c r="S225" s="99">
        <f t="shared" si="166"/>
        <v>2.0415942282449542E-2</v>
      </c>
      <c r="T225" s="48">
        <f t="shared" si="167"/>
        <v>0.10978986750343009</v>
      </c>
      <c r="U225" s="44">
        <v>17.71902</v>
      </c>
      <c r="V225" s="19">
        <v>1.25</v>
      </c>
      <c r="W225" s="19">
        <v>0.55000000000000004</v>
      </c>
      <c r="X225" s="44">
        <v>1.7040666584760558</v>
      </c>
      <c r="Y225" s="46">
        <v>3.3414711666409214</v>
      </c>
      <c r="Z225" s="46">
        <v>29.890144385576317</v>
      </c>
      <c r="AA225" s="46">
        <v>66.768384447782765</v>
      </c>
      <c r="AB225" s="46">
        <v>1.2222222222222223</v>
      </c>
      <c r="AC225" s="125">
        <v>1</v>
      </c>
      <c r="AD225" s="94">
        <f t="shared" si="194"/>
        <v>0.1950392240066541</v>
      </c>
      <c r="AE225" s="94">
        <f t="shared" si="195"/>
        <v>0.33235983872478198</v>
      </c>
      <c r="AF225" s="96">
        <f t="shared" si="168"/>
        <v>1.1105708180482857E-2</v>
      </c>
      <c r="AG225" s="95">
        <f t="shared" si="208"/>
        <v>9.9342835674505914E-2</v>
      </c>
      <c r="AH225" s="94">
        <f t="shared" si="196"/>
        <v>0.22191129486979322</v>
      </c>
      <c r="AI225" s="94">
        <f t="shared" si="197"/>
        <v>0.40621758066362246</v>
      </c>
      <c r="AJ225" s="96">
        <f t="shared" si="169"/>
        <v>1.1170313099741487E-2</v>
      </c>
      <c r="AK225" s="95">
        <f t="shared" si="170"/>
        <v>5.9644747392169954E-2</v>
      </c>
      <c r="AL225" s="95">
        <f t="shared" si="171"/>
        <v>0.16888282064666005</v>
      </c>
      <c r="AM225" s="94">
        <f t="shared" si="172"/>
        <v>0.37724920127864847</v>
      </c>
      <c r="AN225" s="93">
        <f t="shared" si="173"/>
        <v>2.8435230646453573</v>
      </c>
      <c r="AO225" s="96">
        <f t="shared" si="174"/>
        <v>1.8989532269560523E-2</v>
      </c>
      <c r="AP225" s="95">
        <f t="shared" si="175"/>
        <v>0.10139607056668892</v>
      </c>
      <c r="AQ225" s="93">
        <f t="shared" si="176"/>
        <v>0.33231615552217236</v>
      </c>
      <c r="AR225" s="31">
        <v>1.7</v>
      </c>
      <c r="AS225" s="31">
        <v>1.7</v>
      </c>
      <c r="AT225" s="31">
        <v>7</v>
      </c>
      <c r="AU225" s="43">
        <v>7.0000000000000007E-2</v>
      </c>
      <c r="AV225" s="44">
        <v>0.31</v>
      </c>
      <c r="AW225" s="19">
        <v>1.9E-2</v>
      </c>
      <c r="AX225" s="44">
        <v>0.13</v>
      </c>
      <c r="AY225" s="44">
        <v>6.6385405308393919</v>
      </c>
      <c r="AZ225" s="46">
        <v>0.5</v>
      </c>
      <c r="BA225" s="44">
        <v>0.72</v>
      </c>
      <c r="BB225" s="47">
        <v>1</v>
      </c>
      <c r="BC225" s="46">
        <v>24.789531138900781</v>
      </c>
      <c r="BD225" s="47">
        <v>37.617868674255881</v>
      </c>
      <c r="BE225" s="47">
        <v>37.592600186843342</v>
      </c>
      <c r="BF225" s="125">
        <v>1</v>
      </c>
      <c r="BG225" s="48">
        <f t="shared" si="198"/>
        <v>3.8496430727001664E-3</v>
      </c>
      <c r="BH225" s="48">
        <f t="shared" si="199"/>
        <v>3.8496430727001664E-3</v>
      </c>
      <c r="BI225" s="99">
        <f t="shared" si="200"/>
        <v>9.5430846824354459E-4</v>
      </c>
      <c r="BJ225" s="99">
        <f t="shared" si="201"/>
        <v>1.4481536755159374E-3</v>
      </c>
      <c r="BK225" s="48">
        <f t="shared" si="202"/>
        <v>1.4471809289406845E-3</v>
      </c>
      <c r="BL225" s="99">
        <f t="shared" si="177"/>
        <v>2.2444436477346525E-4</v>
      </c>
      <c r="BM225" s="48">
        <f t="shared" si="178"/>
        <v>8.6874629332327452E-4</v>
      </c>
      <c r="BN225" s="48">
        <f t="shared" si="179"/>
        <v>2.4618612483770937E-3</v>
      </c>
      <c r="BO225" s="48">
        <f t="shared" si="180"/>
        <v>2.4602075791991637E-3</v>
      </c>
      <c r="BP225" s="99">
        <f t="shared" si="181"/>
        <v>3.8155542011489096E-4</v>
      </c>
      <c r="BQ225" s="48">
        <f t="shared" si="182"/>
        <v>1.4768686986495667E-3</v>
      </c>
      <c r="BR225" s="40">
        <f t="shared" si="183"/>
        <v>0.62407399813156661</v>
      </c>
      <c r="BS225" s="31">
        <v>1.7</v>
      </c>
      <c r="BT225" s="31">
        <v>1.7</v>
      </c>
      <c r="BU225" s="43">
        <v>0.13500000000000001</v>
      </c>
      <c r="BV225" s="44">
        <v>0.45</v>
      </c>
      <c r="BW225" s="19">
        <v>0.02</v>
      </c>
      <c r="BX225" s="44">
        <v>0.15</v>
      </c>
      <c r="BY225" s="44">
        <v>17.112011361211735</v>
      </c>
      <c r="BZ225" s="44">
        <v>0.52</v>
      </c>
      <c r="CA225" s="44">
        <v>0.65</v>
      </c>
      <c r="CB225" s="47">
        <v>1</v>
      </c>
      <c r="CC225" s="46">
        <v>7.5805512328903255</v>
      </c>
      <c r="CD225" s="46">
        <v>28.253993472423133</v>
      </c>
      <c r="CE225" s="46">
        <v>64.165455294686552</v>
      </c>
      <c r="CF225" s="125">
        <v>1</v>
      </c>
      <c r="CG225" s="40">
        <f t="shared" si="203"/>
        <v>2.2478192610920267E-2</v>
      </c>
      <c r="CH225" s="40">
        <f t="shared" si="204"/>
        <v>2.2478192610920267E-2</v>
      </c>
      <c r="CI225" s="99">
        <f t="shared" si="205"/>
        <v>1.7039709070985783E-3</v>
      </c>
      <c r="CJ225" s="100">
        <f t="shared" si="206"/>
        <v>6.3509870730081115E-3</v>
      </c>
      <c r="CK225" s="100">
        <f t="shared" si="207"/>
        <v>1.442323463081358E-2</v>
      </c>
      <c r="CL225" s="101">
        <f t="shared" si="184"/>
        <v>6.1462034869066398E-4</v>
      </c>
      <c r="CM225" s="100">
        <f t="shared" si="185"/>
        <v>4.0687813165244703E-3</v>
      </c>
      <c r="CN225" s="100">
        <f t="shared" si="186"/>
        <v>1.079667802411379E-2</v>
      </c>
      <c r="CO225" s="100">
        <f t="shared" si="187"/>
        <v>2.4519498872383087E-2</v>
      </c>
      <c r="CP225" s="101">
        <f t="shared" si="188"/>
        <v>1.0448545927741288E-3</v>
      </c>
      <c r="CQ225" s="100">
        <f t="shared" si="189"/>
        <v>6.9169282380915995E-3</v>
      </c>
      <c r="CR225" s="99">
        <f t="shared" si="190"/>
        <v>0.35834544705313459</v>
      </c>
      <c r="CS225" s="31">
        <v>1.7</v>
      </c>
      <c r="CT225" s="31">
        <v>1.7</v>
      </c>
      <c r="CU225" s="43">
        <v>0.04</v>
      </c>
      <c r="CV225" s="44">
        <v>0.3</v>
      </c>
      <c r="CW225" s="19">
        <v>2.5000000000000001E-2</v>
      </c>
      <c r="CX225" s="44">
        <v>0.15</v>
      </c>
    </row>
    <row r="226" spans="1:102" s="27" customFormat="1" x14ac:dyDescent="0.25">
      <c r="A226" s="31">
        <v>212</v>
      </c>
      <c r="B226" s="84" t="s">
        <v>91</v>
      </c>
      <c r="C226" s="19">
        <v>90</v>
      </c>
      <c r="D226" s="31" t="s">
        <v>26</v>
      </c>
      <c r="E226" s="19" t="s">
        <v>99</v>
      </c>
      <c r="F226" s="19" t="s">
        <v>70</v>
      </c>
      <c r="G226" s="31" t="str">
        <f t="shared" si="191"/>
        <v>Statlig 90 - 4L Ck</v>
      </c>
      <c r="H226" s="48">
        <f t="shared" si="157"/>
        <v>0.21110183737413485</v>
      </c>
      <c r="I226" s="40">
        <f t="shared" si="158"/>
        <v>0.3411950513176244</v>
      </c>
      <c r="J226" s="99">
        <f t="shared" si="159"/>
        <v>1.3179476598957459E-2</v>
      </c>
      <c r="K226" s="48">
        <f t="shared" si="160"/>
        <v>0.10191340612437176</v>
      </c>
      <c r="L226" s="48">
        <f t="shared" si="161"/>
        <v>0.22610216859429519</v>
      </c>
      <c r="M226" s="48">
        <f t="shared" si="192"/>
        <v>0.38483770799711597</v>
      </c>
      <c r="N226" s="99">
        <f t="shared" si="162"/>
        <v>1.1421466597429748E-2</v>
      </c>
      <c r="O226" s="48">
        <f t="shared" si="163"/>
        <v>6.1443077770850854E-2</v>
      </c>
      <c r="P226" s="48">
        <f t="shared" si="164"/>
        <v>0.17325279041143199</v>
      </c>
      <c r="Q226" s="48">
        <f t="shared" si="165"/>
        <v>0.3843736866103018</v>
      </c>
      <c r="R226" s="40">
        <f t="shared" si="193"/>
        <v>2.6938639559798117</v>
      </c>
      <c r="S226" s="99">
        <f t="shared" si="166"/>
        <v>1.9416493215630569E-2</v>
      </c>
      <c r="T226" s="48">
        <f t="shared" si="167"/>
        <v>0.10445323221044645</v>
      </c>
      <c r="U226" s="44">
        <v>16.786439999999999</v>
      </c>
      <c r="V226" s="19">
        <v>1.25</v>
      </c>
      <c r="W226" s="19">
        <v>0.55000000000000004</v>
      </c>
      <c r="X226" s="44">
        <v>1.7040666584760555</v>
      </c>
      <c r="Y226" s="46">
        <v>3.3414711666409214</v>
      </c>
      <c r="Z226" s="46">
        <v>29.890144385576317</v>
      </c>
      <c r="AA226" s="46">
        <v>66.768384447782765</v>
      </c>
      <c r="AB226" s="46">
        <v>1.2222222222222223</v>
      </c>
      <c r="AC226" s="125">
        <v>1</v>
      </c>
      <c r="AD226" s="94">
        <f t="shared" si="194"/>
        <v>0.18477400169051442</v>
      </c>
      <c r="AE226" s="94">
        <f t="shared" si="195"/>
        <v>0.31486721563400394</v>
      </c>
      <c r="AF226" s="96">
        <f t="shared" si="168"/>
        <v>1.0521197223615338E-2</v>
      </c>
      <c r="AG226" s="95">
        <f t="shared" si="208"/>
        <v>9.4114265375847703E-2</v>
      </c>
      <c r="AH226" s="94">
        <f t="shared" si="196"/>
        <v>0.21023175303454092</v>
      </c>
      <c r="AI226" s="94">
        <f t="shared" si="197"/>
        <v>0.38483770799711597</v>
      </c>
      <c r="AJ226" s="96">
        <f t="shared" si="169"/>
        <v>1.0582401883965618E-2</v>
      </c>
      <c r="AK226" s="95">
        <f t="shared" si="170"/>
        <v>5.6505550161003108E-2</v>
      </c>
      <c r="AL226" s="95">
        <f t="shared" si="171"/>
        <v>0.15999425113894108</v>
      </c>
      <c r="AM226" s="94">
        <f t="shared" si="172"/>
        <v>0.35739398015871954</v>
      </c>
      <c r="AN226" s="93">
        <f t="shared" si="173"/>
        <v>2.6938639559798117</v>
      </c>
      <c r="AO226" s="96">
        <f t="shared" si="174"/>
        <v>1.799008320274155E-2</v>
      </c>
      <c r="AP226" s="95">
        <f t="shared" si="175"/>
        <v>9.6059435273705279E-2</v>
      </c>
      <c r="AQ226" s="93">
        <f t="shared" si="176"/>
        <v>0.33231615552217242</v>
      </c>
      <c r="AR226" s="31">
        <v>1.7</v>
      </c>
      <c r="AS226" s="31">
        <v>1.7</v>
      </c>
      <c r="AT226" s="31">
        <v>7</v>
      </c>
      <c r="AU226" s="43">
        <v>7.0000000000000007E-2</v>
      </c>
      <c r="AV226" s="44">
        <v>0.31</v>
      </c>
      <c r="AW226" s="19">
        <v>1.9E-2</v>
      </c>
      <c r="AX226" s="44">
        <v>0.13</v>
      </c>
      <c r="AY226" s="44">
        <v>6.6385405308393919</v>
      </c>
      <c r="AZ226" s="46">
        <v>0.5</v>
      </c>
      <c r="BA226" s="44">
        <v>0.72</v>
      </c>
      <c r="BB226" s="47">
        <v>1</v>
      </c>
      <c r="BC226" s="46">
        <v>24.789531138900781</v>
      </c>
      <c r="BD226" s="47">
        <v>37.617868674255881</v>
      </c>
      <c r="BE226" s="47">
        <v>37.592600186843342</v>
      </c>
      <c r="BF226" s="125">
        <v>1</v>
      </c>
      <c r="BG226" s="48">
        <f t="shared" si="198"/>
        <v>3.8496430727001664E-3</v>
      </c>
      <c r="BH226" s="48">
        <f t="shared" si="199"/>
        <v>3.8496430727001664E-3</v>
      </c>
      <c r="BI226" s="99">
        <f t="shared" si="200"/>
        <v>9.5430846824354459E-4</v>
      </c>
      <c r="BJ226" s="99">
        <f t="shared" si="201"/>
        <v>1.4481536755159374E-3</v>
      </c>
      <c r="BK226" s="48">
        <f t="shared" si="202"/>
        <v>1.4471809289406845E-3</v>
      </c>
      <c r="BL226" s="99">
        <f t="shared" si="177"/>
        <v>2.2444436477346525E-4</v>
      </c>
      <c r="BM226" s="48">
        <f t="shared" si="178"/>
        <v>8.6874629332327452E-4</v>
      </c>
      <c r="BN226" s="48">
        <f t="shared" si="179"/>
        <v>2.4618612483770937E-3</v>
      </c>
      <c r="BO226" s="48">
        <f t="shared" si="180"/>
        <v>2.4602075791991637E-3</v>
      </c>
      <c r="BP226" s="99">
        <f t="shared" si="181"/>
        <v>3.8155542011489096E-4</v>
      </c>
      <c r="BQ226" s="48">
        <f t="shared" si="182"/>
        <v>1.4768686986495667E-3</v>
      </c>
      <c r="BR226" s="40">
        <f t="shared" si="183"/>
        <v>0.62407399813156661</v>
      </c>
      <c r="BS226" s="31">
        <v>1.7</v>
      </c>
      <c r="BT226" s="31">
        <v>1.7</v>
      </c>
      <c r="BU226" s="43">
        <v>0.13500000000000001</v>
      </c>
      <c r="BV226" s="44">
        <v>0.45</v>
      </c>
      <c r="BW226" s="19">
        <v>0.02</v>
      </c>
      <c r="BX226" s="44">
        <v>0.15</v>
      </c>
      <c r="BY226" s="44">
        <v>17.112011361211735</v>
      </c>
      <c r="BZ226" s="44">
        <v>0.52</v>
      </c>
      <c r="CA226" s="44">
        <v>0.65</v>
      </c>
      <c r="CB226" s="47">
        <v>1</v>
      </c>
      <c r="CC226" s="46">
        <v>7.5805512328903255</v>
      </c>
      <c r="CD226" s="46">
        <v>28.253993472423133</v>
      </c>
      <c r="CE226" s="46">
        <v>64.165455294686552</v>
      </c>
      <c r="CF226" s="125">
        <v>1</v>
      </c>
      <c r="CG226" s="40">
        <f t="shared" si="203"/>
        <v>2.2478192610920267E-2</v>
      </c>
      <c r="CH226" s="40">
        <f t="shared" si="204"/>
        <v>2.2478192610920267E-2</v>
      </c>
      <c r="CI226" s="99">
        <f t="shared" si="205"/>
        <v>1.7039709070985783E-3</v>
      </c>
      <c r="CJ226" s="100">
        <f t="shared" si="206"/>
        <v>6.3509870730081115E-3</v>
      </c>
      <c r="CK226" s="100">
        <f t="shared" si="207"/>
        <v>1.442323463081358E-2</v>
      </c>
      <c r="CL226" s="101">
        <f t="shared" si="184"/>
        <v>6.1462034869066398E-4</v>
      </c>
      <c r="CM226" s="100">
        <f t="shared" si="185"/>
        <v>4.0687813165244703E-3</v>
      </c>
      <c r="CN226" s="100">
        <f t="shared" si="186"/>
        <v>1.079667802411379E-2</v>
      </c>
      <c r="CO226" s="100">
        <f t="shared" si="187"/>
        <v>2.4519498872383087E-2</v>
      </c>
      <c r="CP226" s="101">
        <f t="shared" si="188"/>
        <v>1.0448545927741288E-3</v>
      </c>
      <c r="CQ226" s="100">
        <f t="shared" si="189"/>
        <v>6.9169282380915995E-3</v>
      </c>
      <c r="CR226" s="99">
        <f t="shared" si="190"/>
        <v>0.35834544705313459</v>
      </c>
      <c r="CS226" s="31">
        <v>1.7</v>
      </c>
      <c r="CT226" s="31">
        <v>1.7</v>
      </c>
      <c r="CU226" s="43">
        <v>0.04</v>
      </c>
      <c r="CV226" s="44">
        <v>0.3</v>
      </c>
      <c r="CW226" s="19">
        <v>2.5000000000000001E-2</v>
      </c>
      <c r="CX226" s="44">
        <v>0.15</v>
      </c>
    </row>
    <row r="227" spans="1:102" s="27" customFormat="1" x14ac:dyDescent="0.25">
      <c r="A227" s="31">
        <v>213</v>
      </c>
      <c r="B227" s="84" t="s">
        <v>91</v>
      </c>
      <c r="C227" s="19">
        <v>90</v>
      </c>
      <c r="D227" s="31" t="s">
        <v>26</v>
      </c>
      <c r="E227" s="19" t="s">
        <v>99</v>
      </c>
      <c r="F227" s="31" t="s">
        <v>71</v>
      </c>
      <c r="G227" s="31" t="str">
        <f t="shared" si="191"/>
        <v>Statlig 90 - 4L Cm</v>
      </c>
      <c r="H227" s="48">
        <f t="shared" si="157"/>
        <v>0.21110183737413485</v>
      </c>
      <c r="I227" s="40">
        <f t="shared" si="158"/>
        <v>0.3411950513176244</v>
      </c>
      <c r="J227" s="99">
        <f t="shared" si="159"/>
        <v>1.3179476598957459E-2</v>
      </c>
      <c r="K227" s="48">
        <f t="shared" si="160"/>
        <v>0.10191340612437176</v>
      </c>
      <c r="L227" s="48">
        <f t="shared" si="161"/>
        <v>0.22610216859429519</v>
      </c>
      <c r="M227" s="48">
        <f t="shared" si="192"/>
        <v>0.38483770799711597</v>
      </c>
      <c r="N227" s="99">
        <f t="shared" si="162"/>
        <v>1.1421466597429748E-2</v>
      </c>
      <c r="O227" s="48">
        <f t="shared" si="163"/>
        <v>6.1443077770850854E-2</v>
      </c>
      <c r="P227" s="48">
        <f t="shared" si="164"/>
        <v>0.17325279041143199</v>
      </c>
      <c r="Q227" s="48">
        <f t="shared" si="165"/>
        <v>0.3843736866103018</v>
      </c>
      <c r="R227" s="40">
        <f t="shared" si="193"/>
        <v>2.6938639559798117</v>
      </c>
      <c r="S227" s="99">
        <f t="shared" si="166"/>
        <v>1.9416493215630569E-2</v>
      </c>
      <c r="T227" s="48">
        <f t="shared" si="167"/>
        <v>0.10445323221044645</v>
      </c>
      <c r="U227" s="44">
        <v>16.786439999999999</v>
      </c>
      <c r="V227" s="19">
        <v>1.25</v>
      </c>
      <c r="W227" s="19">
        <v>0.55000000000000004</v>
      </c>
      <c r="X227" s="44">
        <v>1.7040666584760555</v>
      </c>
      <c r="Y227" s="46">
        <v>3.3414711666409214</v>
      </c>
      <c r="Z227" s="46">
        <v>29.890144385576317</v>
      </c>
      <c r="AA227" s="46">
        <v>66.768384447782765</v>
      </c>
      <c r="AB227" s="46">
        <v>1.2222222222222223</v>
      </c>
      <c r="AC227" s="125">
        <v>1</v>
      </c>
      <c r="AD227" s="94">
        <f t="shared" si="194"/>
        <v>0.18477400169051442</v>
      </c>
      <c r="AE227" s="94">
        <f t="shared" si="195"/>
        <v>0.31486721563400394</v>
      </c>
      <c r="AF227" s="96">
        <f t="shared" si="168"/>
        <v>1.0521197223615338E-2</v>
      </c>
      <c r="AG227" s="95">
        <f t="shared" si="208"/>
        <v>9.4114265375847703E-2</v>
      </c>
      <c r="AH227" s="94">
        <f t="shared" si="196"/>
        <v>0.21023175303454092</v>
      </c>
      <c r="AI227" s="94">
        <f t="shared" si="197"/>
        <v>0.38483770799711597</v>
      </c>
      <c r="AJ227" s="96">
        <f t="shared" si="169"/>
        <v>1.0582401883965618E-2</v>
      </c>
      <c r="AK227" s="95">
        <f t="shared" si="170"/>
        <v>5.6505550161003108E-2</v>
      </c>
      <c r="AL227" s="95">
        <f t="shared" si="171"/>
        <v>0.15999425113894108</v>
      </c>
      <c r="AM227" s="94">
        <f t="shared" si="172"/>
        <v>0.35739398015871954</v>
      </c>
      <c r="AN227" s="93">
        <f t="shared" si="173"/>
        <v>2.6938639559798117</v>
      </c>
      <c r="AO227" s="96">
        <f t="shared" si="174"/>
        <v>1.799008320274155E-2</v>
      </c>
      <c r="AP227" s="95">
        <f t="shared" si="175"/>
        <v>9.6059435273705279E-2</v>
      </c>
      <c r="AQ227" s="93">
        <f t="shared" si="176"/>
        <v>0.33231615552217242</v>
      </c>
      <c r="AR227" s="31">
        <v>1.7</v>
      </c>
      <c r="AS227" s="31">
        <v>1.7</v>
      </c>
      <c r="AT227" s="31">
        <v>7</v>
      </c>
      <c r="AU227" s="43">
        <v>7.0000000000000007E-2</v>
      </c>
      <c r="AV227" s="44">
        <v>0.31</v>
      </c>
      <c r="AW227" s="19">
        <v>1.9E-2</v>
      </c>
      <c r="AX227" s="44">
        <v>0.13</v>
      </c>
      <c r="AY227" s="44">
        <v>6.6385405308393919</v>
      </c>
      <c r="AZ227" s="46">
        <v>0.5</v>
      </c>
      <c r="BA227" s="44">
        <v>0.72</v>
      </c>
      <c r="BB227" s="47">
        <v>1</v>
      </c>
      <c r="BC227" s="46">
        <v>24.789531138900781</v>
      </c>
      <c r="BD227" s="47">
        <v>37.617868674255881</v>
      </c>
      <c r="BE227" s="47">
        <v>37.592600186843342</v>
      </c>
      <c r="BF227" s="125">
        <v>1</v>
      </c>
      <c r="BG227" s="48">
        <f t="shared" si="198"/>
        <v>3.8496430727001664E-3</v>
      </c>
      <c r="BH227" s="48">
        <f t="shared" si="199"/>
        <v>3.8496430727001664E-3</v>
      </c>
      <c r="BI227" s="99">
        <f t="shared" si="200"/>
        <v>9.5430846824354459E-4</v>
      </c>
      <c r="BJ227" s="99">
        <f t="shared" si="201"/>
        <v>1.4481536755159374E-3</v>
      </c>
      <c r="BK227" s="48">
        <f t="shared" si="202"/>
        <v>1.4471809289406845E-3</v>
      </c>
      <c r="BL227" s="99">
        <f t="shared" si="177"/>
        <v>2.2444436477346525E-4</v>
      </c>
      <c r="BM227" s="48">
        <f t="shared" si="178"/>
        <v>8.6874629332327452E-4</v>
      </c>
      <c r="BN227" s="48">
        <f t="shared" si="179"/>
        <v>2.4618612483770937E-3</v>
      </c>
      <c r="BO227" s="48">
        <f t="shared" si="180"/>
        <v>2.4602075791991637E-3</v>
      </c>
      <c r="BP227" s="99">
        <f t="shared" si="181"/>
        <v>3.8155542011489096E-4</v>
      </c>
      <c r="BQ227" s="48">
        <f t="shared" si="182"/>
        <v>1.4768686986495667E-3</v>
      </c>
      <c r="BR227" s="40">
        <f t="shared" si="183"/>
        <v>0.62407399813156661</v>
      </c>
      <c r="BS227" s="31">
        <v>1.7</v>
      </c>
      <c r="BT227" s="31">
        <v>1.7</v>
      </c>
      <c r="BU227" s="43">
        <v>0.13500000000000001</v>
      </c>
      <c r="BV227" s="44">
        <v>0.45</v>
      </c>
      <c r="BW227" s="19">
        <v>0.02</v>
      </c>
      <c r="BX227" s="44">
        <v>0.15</v>
      </c>
      <c r="BY227" s="44">
        <v>17.112011361211735</v>
      </c>
      <c r="BZ227" s="44">
        <v>0.52</v>
      </c>
      <c r="CA227" s="44">
        <v>0.65</v>
      </c>
      <c r="CB227" s="47">
        <v>1</v>
      </c>
      <c r="CC227" s="46">
        <v>7.5805512328903255</v>
      </c>
      <c r="CD227" s="46">
        <v>28.253993472423133</v>
      </c>
      <c r="CE227" s="46">
        <v>64.165455294686552</v>
      </c>
      <c r="CF227" s="125">
        <v>1</v>
      </c>
      <c r="CG227" s="40">
        <f t="shared" si="203"/>
        <v>2.2478192610920267E-2</v>
      </c>
      <c r="CH227" s="40">
        <f t="shared" si="204"/>
        <v>2.2478192610920267E-2</v>
      </c>
      <c r="CI227" s="99">
        <f t="shared" si="205"/>
        <v>1.7039709070985783E-3</v>
      </c>
      <c r="CJ227" s="100">
        <f t="shared" si="206"/>
        <v>6.3509870730081115E-3</v>
      </c>
      <c r="CK227" s="100">
        <f t="shared" si="207"/>
        <v>1.442323463081358E-2</v>
      </c>
      <c r="CL227" s="101">
        <f t="shared" si="184"/>
        <v>6.1462034869066398E-4</v>
      </c>
      <c r="CM227" s="100">
        <f t="shared" si="185"/>
        <v>4.0687813165244703E-3</v>
      </c>
      <c r="CN227" s="100">
        <f t="shared" si="186"/>
        <v>1.079667802411379E-2</v>
      </c>
      <c r="CO227" s="100">
        <f t="shared" si="187"/>
        <v>2.4519498872383087E-2</v>
      </c>
      <c r="CP227" s="101">
        <f t="shared" si="188"/>
        <v>1.0448545927741288E-3</v>
      </c>
      <c r="CQ227" s="100">
        <f t="shared" si="189"/>
        <v>6.9169282380915995E-3</v>
      </c>
      <c r="CR227" s="99">
        <f t="shared" si="190"/>
        <v>0.35834544705313459</v>
      </c>
      <c r="CS227" s="31">
        <v>1.7</v>
      </c>
      <c r="CT227" s="31">
        <v>1.7</v>
      </c>
      <c r="CU227" s="43">
        <v>0.04</v>
      </c>
      <c r="CV227" s="44">
        <v>0.3</v>
      </c>
      <c r="CW227" s="19">
        <v>2.5000000000000001E-2</v>
      </c>
      <c r="CX227" s="44">
        <v>0.15</v>
      </c>
    </row>
    <row r="228" spans="1:102" s="27" customFormat="1" x14ac:dyDescent="0.25">
      <c r="A228" s="31">
        <v>214</v>
      </c>
      <c r="B228" s="84" t="s">
        <v>91</v>
      </c>
      <c r="C228" s="19">
        <v>90</v>
      </c>
      <c r="D228" s="31" t="s">
        <v>26</v>
      </c>
      <c r="E228" s="19" t="s">
        <v>99</v>
      </c>
      <c r="F228" s="19" t="s">
        <v>64</v>
      </c>
      <c r="G228" s="31" t="str">
        <f t="shared" si="191"/>
        <v>Statlig 90 - 4L F</v>
      </c>
      <c r="H228" s="48">
        <f t="shared" si="157"/>
        <v>7.2754535514898924E-2</v>
      </c>
      <c r="I228" s="40">
        <f t="shared" si="158"/>
        <v>8.6875778453616576E-2</v>
      </c>
      <c r="J228" s="99">
        <f t="shared" si="159"/>
        <v>3.1539502295655228E-3</v>
      </c>
      <c r="K228" s="48">
        <f t="shared" si="160"/>
        <v>1.8329599510933062E-2</v>
      </c>
      <c r="L228" s="48">
        <f t="shared" si="161"/>
        <v>6.5392228713117992E-2</v>
      </c>
      <c r="M228" s="48">
        <f t="shared" si="192"/>
        <v>0.14127853312999092</v>
      </c>
      <c r="N228" s="99">
        <f t="shared" si="162"/>
        <v>2.517111276746671E-3</v>
      </c>
      <c r="O228" s="48">
        <f t="shared" si="163"/>
        <v>1.4639805536131822E-2</v>
      </c>
      <c r="P228" s="48">
        <f t="shared" si="164"/>
        <v>3.1160319168586206E-2</v>
      </c>
      <c r="Q228" s="48">
        <f t="shared" si="165"/>
        <v>0.11116678881230059</v>
      </c>
      <c r="R228" s="40">
        <f t="shared" si="193"/>
        <v>0.9889497319099364</v>
      </c>
      <c r="S228" s="99">
        <f t="shared" si="166"/>
        <v>4.2790891704693407E-3</v>
      </c>
      <c r="T228" s="48">
        <f t="shared" si="167"/>
        <v>2.4887669411424101E-2</v>
      </c>
      <c r="U228" s="44">
        <v>3.3858000000000015</v>
      </c>
      <c r="V228" s="19">
        <v>1.25</v>
      </c>
      <c r="W228" s="19">
        <v>0.45</v>
      </c>
      <c r="X228" s="44">
        <v>1.304162109088872</v>
      </c>
      <c r="Y228" s="46">
        <v>0.81864194148809855</v>
      </c>
      <c r="Z228" s="46">
        <v>17.391934854683896</v>
      </c>
      <c r="AA228" s="46">
        <v>81.789423203828022</v>
      </c>
      <c r="AB228" s="46">
        <v>2.3333333333333326</v>
      </c>
      <c r="AC228" s="125">
        <v>1</v>
      </c>
      <c r="AD228" s="94">
        <f t="shared" si="194"/>
        <v>4.6426699831278485E-2</v>
      </c>
      <c r="AE228" s="94">
        <f t="shared" si="195"/>
        <v>6.054794276999613E-2</v>
      </c>
      <c r="AF228" s="96">
        <f t="shared" si="168"/>
        <v>4.9567085422339908E-4</v>
      </c>
      <c r="AG228" s="95">
        <f t="shared" si="208"/>
        <v>1.0530458762409014E-2</v>
      </c>
      <c r="AH228" s="94">
        <f t="shared" si="196"/>
        <v>4.9521813153363722E-2</v>
      </c>
      <c r="AI228" s="94">
        <f t="shared" si="197"/>
        <v>0.14127853312999092</v>
      </c>
      <c r="AJ228" s="96">
        <f t="shared" si="169"/>
        <v>1.6780465632825416E-3</v>
      </c>
      <c r="AK228" s="95">
        <f t="shared" si="170"/>
        <v>9.7022779262840777E-3</v>
      </c>
      <c r="AL228" s="95">
        <f t="shared" si="171"/>
        <v>1.7901779896095323E-2</v>
      </c>
      <c r="AM228" s="94">
        <f t="shared" si="172"/>
        <v>8.4187082360718327E-2</v>
      </c>
      <c r="AN228" s="93">
        <f t="shared" si="173"/>
        <v>0.9889497319099364</v>
      </c>
      <c r="AO228" s="96">
        <f t="shared" si="174"/>
        <v>2.8526791575803206E-3</v>
      </c>
      <c r="AP228" s="95">
        <f t="shared" si="175"/>
        <v>1.6493872474682932E-2</v>
      </c>
      <c r="AQ228" s="93">
        <f t="shared" si="176"/>
        <v>0.18210576796171993</v>
      </c>
      <c r="AR228" s="31">
        <v>1.7</v>
      </c>
      <c r="AS228" s="31">
        <v>1.7</v>
      </c>
      <c r="AT228" s="31">
        <v>7</v>
      </c>
      <c r="AU228" s="43">
        <v>7.0000000000000007E-2</v>
      </c>
      <c r="AV228" s="44">
        <v>0.31</v>
      </c>
      <c r="AW228" s="19">
        <v>1.9E-2</v>
      </c>
      <c r="AX228" s="44">
        <v>0.13</v>
      </c>
      <c r="AY228" s="44">
        <v>6.6385405308393919</v>
      </c>
      <c r="AZ228" s="46">
        <v>0.5</v>
      </c>
      <c r="BA228" s="44">
        <v>0.72</v>
      </c>
      <c r="BB228" s="47">
        <v>1</v>
      </c>
      <c r="BC228" s="46">
        <v>24.789531138900777</v>
      </c>
      <c r="BD228" s="47">
        <v>37.617868674255881</v>
      </c>
      <c r="BE228" s="47">
        <v>37.592600186843342</v>
      </c>
      <c r="BF228" s="125">
        <v>1</v>
      </c>
      <c r="BG228" s="48">
        <f t="shared" si="198"/>
        <v>3.8496430727001664E-3</v>
      </c>
      <c r="BH228" s="48">
        <f t="shared" si="199"/>
        <v>3.8496430727001664E-3</v>
      </c>
      <c r="BI228" s="99">
        <f t="shared" si="200"/>
        <v>9.5430846824354448E-4</v>
      </c>
      <c r="BJ228" s="99">
        <f t="shared" si="201"/>
        <v>1.4481536755159374E-3</v>
      </c>
      <c r="BK228" s="48">
        <f t="shared" si="202"/>
        <v>1.4471809289406845E-3</v>
      </c>
      <c r="BL228" s="99">
        <f t="shared" si="177"/>
        <v>2.2444436477346525E-4</v>
      </c>
      <c r="BM228" s="48">
        <f t="shared" si="178"/>
        <v>8.6874629332327452E-4</v>
      </c>
      <c r="BN228" s="48">
        <f t="shared" si="179"/>
        <v>2.4618612483770937E-3</v>
      </c>
      <c r="BO228" s="48">
        <f t="shared" si="180"/>
        <v>2.4602075791991637E-3</v>
      </c>
      <c r="BP228" s="99">
        <f t="shared" si="181"/>
        <v>3.8155542011489096E-4</v>
      </c>
      <c r="BQ228" s="48">
        <f t="shared" si="182"/>
        <v>1.4768686986495667E-3</v>
      </c>
      <c r="BR228" s="40">
        <f t="shared" si="183"/>
        <v>0.62407399813156661</v>
      </c>
      <c r="BS228" s="31">
        <v>1.7</v>
      </c>
      <c r="BT228" s="31">
        <v>1.7</v>
      </c>
      <c r="BU228" s="43">
        <v>0.13500000000000001</v>
      </c>
      <c r="BV228" s="44">
        <v>0.45</v>
      </c>
      <c r="BW228" s="19">
        <v>0.02</v>
      </c>
      <c r="BX228" s="44">
        <v>0.15</v>
      </c>
      <c r="BY228" s="44">
        <v>17.112011361211739</v>
      </c>
      <c r="BZ228" s="44">
        <v>0.52</v>
      </c>
      <c r="CA228" s="44">
        <v>0.65</v>
      </c>
      <c r="CB228" s="47">
        <v>1</v>
      </c>
      <c r="CC228" s="46">
        <v>7.5805512328903255</v>
      </c>
      <c r="CD228" s="46">
        <v>28.253993472423122</v>
      </c>
      <c r="CE228" s="46">
        <v>64.165455294686552</v>
      </c>
      <c r="CF228" s="125">
        <v>1</v>
      </c>
      <c r="CG228" s="40">
        <f t="shared" si="203"/>
        <v>2.2478192610920277E-2</v>
      </c>
      <c r="CH228" s="40">
        <f t="shared" si="204"/>
        <v>2.2478192610920277E-2</v>
      </c>
      <c r="CI228" s="99">
        <f t="shared" si="205"/>
        <v>1.7039709070985792E-3</v>
      </c>
      <c r="CJ228" s="100">
        <f t="shared" si="206"/>
        <v>6.3509870730081115E-3</v>
      </c>
      <c r="CK228" s="100">
        <f t="shared" si="207"/>
        <v>1.4423234630813587E-2</v>
      </c>
      <c r="CL228" s="101">
        <f t="shared" si="184"/>
        <v>6.146203486906642E-4</v>
      </c>
      <c r="CM228" s="100">
        <f t="shared" si="185"/>
        <v>4.0687813165244712E-3</v>
      </c>
      <c r="CN228" s="100">
        <f t="shared" si="186"/>
        <v>1.079667802411379E-2</v>
      </c>
      <c r="CO228" s="100">
        <f t="shared" si="187"/>
        <v>2.4519498872383097E-2</v>
      </c>
      <c r="CP228" s="101">
        <f t="shared" si="188"/>
        <v>1.0448545927741291E-3</v>
      </c>
      <c r="CQ228" s="100">
        <f t="shared" si="189"/>
        <v>6.9169282380916013E-3</v>
      </c>
      <c r="CR228" s="99">
        <f t="shared" si="190"/>
        <v>0.35834544705313442</v>
      </c>
      <c r="CS228" s="31">
        <v>1.7</v>
      </c>
      <c r="CT228" s="31">
        <v>1.7</v>
      </c>
      <c r="CU228" s="43">
        <v>0.04</v>
      </c>
      <c r="CV228" s="44">
        <v>0.3</v>
      </c>
      <c r="CW228" s="19">
        <v>2.5000000000000001E-2</v>
      </c>
      <c r="CX228" s="44">
        <v>0.15</v>
      </c>
    </row>
    <row r="229" spans="1:102" s="27" customFormat="1" x14ac:dyDescent="0.25">
      <c r="A229" s="31">
        <v>215</v>
      </c>
      <c r="B229" s="84" t="s">
        <v>91</v>
      </c>
      <c r="C229" s="19">
        <v>100</v>
      </c>
      <c r="D229" s="31" t="s">
        <v>26</v>
      </c>
      <c r="E229" s="19" t="s">
        <v>99</v>
      </c>
      <c r="F229" s="19" t="s">
        <v>12</v>
      </c>
      <c r="G229" s="31" t="str">
        <f t="shared" si="191"/>
        <v>Statlig 100 - 4L A</v>
      </c>
      <c r="H229" s="48">
        <f t="shared" si="157"/>
        <v>0.26028824112079918</v>
      </c>
      <c r="I229" s="40">
        <f t="shared" si="158"/>
        <v>0.36225093464754671</v>
      </c>
      <c r="J229" s="99">
        <f t="shared" si="159"/>
        <v>1.6846768891746702E-2</v>
      </c>
      <c r="K229" s="48">
        <f t="shared" si="160"/>
        <v>0.10410409819478275</v>
      </c>
      <c r="L229" s="48">
        <f t="shared" si="161"/>
        <v>0.24130006756101727</v>
      </c>
      <c r="M229" s="48">
        <f t="shared" si="192"/>
        <v>0.31311081882028541</v>
      </c>
      <c r="N229" s="99">
        <f t="shared" si="162"/>
        <v>1.1807130579656794E-2</v>
      </c>
      <c r="O229" s="48">
        <f t="shared" si="163"/>
        <v>6.3948998391303705E-2</v>
      </c>
      <c r="P229" s="48">
        <f t="shared" si="164"/>
        <v>0.17697696693113066</v>
      </c>
      <c r="Q229" s="48">
        <f t="shared" si="165"/>
        <v>0.41021011485372927</v>
      </c>
      <c r="R229" s="40">
        <f t="shared" si="193"/>
        <v>2.1917757317419979</v>
      </c>
      <c r="S229" s="99">
        <f t="shared" si="166"/>
        <v>2.0072121985416549E-2</v>
      </c>
      <c r="T229" s="48">
        <f t="shared" si="167"/>
        <v>0.10871329726521629</v>
      </c>
      <c r="U229" s="44">
        <v>21.552960000000002</v>
      </c>
      <c r="V229" s="19">
        <v>1.25</v>
      </c>
      <c r="W229" s="19">
        <v>0.55000000000000004</v>
      </c>
      <c r="X229" s="44">
        <v>1.4297858517028492</v>
      </c>
      <c r="Y229" s="46">
        <v>3.7990894236228026</v>
      </c>
      <c r="Z229" s="46">
        <v>28.49711915779957</v>
      </c>
      <c r="AA229" s="46">
        <v>67.703791418577623</v>
      </c>
      <c r="AB229" s="46">
        <v>0.92307692307692291</v>
      </c>
      <c r="AC229" s="125">
        <v>1</v>
      </c>
      <c r="AD229" s="94">
        <f t="shared" si="194"/>
        <v>0.23724069352856175</v>
      </c>
      <c r="AE229" s="94">
        <f t="shared" si="195"/>
        <v>0.33920338705530928</v>
      </c>
      <c r="AF229" s="96">
        <f t="shared" si="168"/>
        <v>1.2886640002188574E-2</v>
      </c>
      <c r="AG229" s="95">
        <f t="shared" si="208"/>
        <v>9.6663193396443567E-2</v>
      </c>
      <c r="AH229" s="94">
        <f t="shared" si="196"/>
        <v>0.22965355365667711</v>
      </c>
      <c r="AI229" s="94">
        <f t="shared" si="197"/>
        <v>0.31311081882028541</v>
      </c>
      <c r="AJ229" s="96">
        <f t="shared" si="169"/>
        <v>1.1129841057227915E-2</v>
      </c>
      <c r="AK229" s="95">
        <f t="shared" si="170"/>
        <v>5.9820551928265533E-2</v>
      </c>
      <c r="AL229" s="95">
        <f t="shared" si="171"/>
        <v>0.16432742877395407</v>
      </c>
      <c r="AM229" s="94">
        <f t="shared" si="172"/>
        <v>0.39041104121635106</v>
      </c>
      <c r="AN229" s="93">
        <f t="shared" si="173"/>
        <v>2.1917757317419979</v>
      </c>
      <c r="AO229" s="96">
        <f t="shared" si="174"/>
        <v>1.8920729797287456E-2</v>
      </c>
      <c r="AP229" s="95">
        <f t="shared" si="175"/>
        <v>0.1016949382780514</v>
      </c>
      <c r="AQ229" s="93">
        <f t="shared" si="176"/>
        <v>0.3229620858142237</v>
      </c>
      <c r="AR229" s="31">
        <v>1.7</v>
      </c>
      <c r="AS229" s="31">
        <v>1.7</v>
      </c>
      <c r="AT229" s="31">
        <v>7</v>
      </c>
      <c r="AU229" s="43">
        <v>7.0000000000000007E-2</v>
      </c>
      <c r="AV229" s="44">
        <v>0.31</v>
      </c>
      <c r="AW229" s="19">
        <v>1.9E-2</v>
      </c>
      <c r="AX229" s="44">
        <v>0.13</v>
      </c>
      <c r="AY229" s="44">
        <v>5.736401521228756</v>
      </c>
      <c r="AZ229" s="46">
        <v>0.5</v>
      </c>
      <c r="BA229" s="44">
        <v>0.72</v>
      </c>
      <c r="BB229" s="47">
        <v>1</v>
      </c>
      <c r="BC229" s="46">
        <v>34.015858318041694</v>
      </c>
      <c r="BD229" s="47">
        <v>29.900893458486223</v>
      </c>
      <c r="BE229" s="47">
        <v>36.083248223472076</v>
      </c>
      <c r="BF229" s="125">
        <v>1</v>
      </c>
      <c r="BG229" s="48">
        <f t="shared" si="198"/>
        <v>3.3264989911318266E-3</v>
      </c>
      <c r="BH229" s="48">
        <f t="shared" si="199"/>
        <v>3.3264989911318266E-3</v>
      </c>
      <c r="BI229" s="99">
        <f t="shared" si="200"/>
        <v>1.1315371837744884E-3</v>
      </c>
      <c r="BJ229" s="99">
        <f t="shared" si="201"/>
        <v>9.9465291923594664E-4</v>
      </c>
      <c r="BK229" s="48">
        <f t="shared" si="202"/>
        <v>1.2003088881213913E-3</v>
      </c>
      <c r="BL229" s="99">
        <f t="shared" si="177"/>
        <v>1.5828432185928062E-4</v>
      </c>
      <c r="BM229" s="48">
        <f t="shared" si="178"/>
        <v>6.2764014687438467E-4</v>
      </c>
      <c r="BN229" s="48">
        <f t="shared" si="179"/>
        <v>1.6909099627011091E-3</v>
      </c>
      <c r="BO229" s="48">
        <f t="shared" si="180"/>
        <v>2.040525109806365E-3</v>
      </c>
      <c r="BP229" s="99">
        <f t="shared" si="181"/>
        <v>2.6908334716077705E-4</v>
      </c>
      <c r="BQ229" s="48">
        <f t="shared" si="182"/>
        <v>1.0669882496864539E-3</v>
      </c>
      <c r="BR229" s="40">
        <f t="shared" si="183"/>
        <v>0.63916751776527925</v>
      </c>
      <c r="BS229" s="31">
        <v>1.7</v>
      </c>
      <c r="BT229" s="31">
        <v>1.7</v>
      </c>
      <c r="BU229" s="43">
        <v>0.13500000000000001</v>
      </c>
      <c r="BV229" s="44">
        <v>0.45</v>
      </c>
      <c r="BW229" s="19">
        <v>0.02</v>
      </c>
      <c r="BX229" s="44">
        <v>0.15</v>
      </c>
      <c r="BY229" s="44">
        <v>15.013075720028375</v>
      </c>
      <c r="BZ229" s="44">
        <v>0.52</v>
      </c>
      <c r="CA229" s="44">
        <v>0.65</v>
      </c>
      <c r="CB229" s="47">
        <v>1</v>
      </c>
      <c r="CC229" s="46">
        <v>14.343008645215042</v>
      </c>
      <c r="CD229" s="46">
        <v>32.687165928599939</v>
      </c>
      <c r="CE229" s="46">
        <v>52.969825426185011</v>
      </c>
      <c r="CF229" s="125">
        <v>1</v>
      </c>
      <c r="CG229" s="40">
        <f t="shared" si="203"/>
        <v>1.9721048601105629E-2</v>
      </c>
      <c r="CH229" s="40">
        <f t="shared" si="204"/>
        <v>1.9721048601105629E-2</v>
      </c>
      <c r="CI229" s="99">
        <f t="shared" si="205"/>
        <v>2.8285917057836404E-3</v>
      </c>
      <c r="CJ229" s="100">
        <f t="shared" si="206"/>
        <v>6.4462518791032338E-3</v>
      </c>
      <c r="CK229" s="100">
        <f t="shared" si="207"/>
        <v>1.0446205016218754E-2</v>
      </c>
      <c r="CL229" s="101">
        <f t="shared" si="184"/>
        <v>5.1900520056959816E-4</v>
      </c>
      <c r="CM229" s="100">
        <f t="shared" si="185"/>
        <v>3.5008063161637831E-3</v>
      </c>
      <c r="CN229" s="100">
        <f t="shared" si="186"/>
        <v>1.0958628194475498E-2</v>
      </c>
      <c r="CO229" s="100">
        <f t="shared" si="187"/>
        <v>1.7758548527571881E-2</v>
      </c>
      <c r="CP229" s="101">
        <f t="shared" si="188"/>
        <v>8.8230884096831695E-4</v>
      </c>
      <c r="CQ229" s="100">
        <f t="shared" si="189"/>
        <v>5.9513707374784317E-3</v>
      </c>
      <c r="CR229" s="99">
        <f t="shared" si="190"/>
        <v>0.47030174573814981</v>
      </c>
      <c r="CS229" s="31">
        <v>1.7</v>
      </c>
      <c r="CT229" s="31">
        <v>1.7</v>
      </c>
      <c r="CU229" s="43">
        <v>0.04</v>
      </c>
      <c r="CV229" s="44">
        <v>0.3</v>
      </c>
      <c r="CW229" s="19">
        <v>2.5000000000000001E-2</v>
      </c>
      <c r="CX229" s="44">
        <v>0.15</v>
      </c>
    </row>
    <row r="230" spans="1:102" s="27" customFormat="1" x14ac:dyDescent="0.25">
      <c r="A230" s="31">
        <v>216</v>
      </c>
      <c r="B230" s="84" t="s">
        <v>91</v>
      </c>
      <c r="C230" s="19">
        <v>100</v>
      </c>
      <c r="D230" s="31" t="s">
        <v>26</v>
      </c>
      <c r="E230" s="19" t="s">
        <v>99</v>
      </c>
      <c r="F230" s="19" t="s">
        <v>13</v>
      </c>
      <c r="G230" s="31" t="str">
        <f t="shared" si="191"/>
        <v>Statlig 100 - 4L B</v>
      </c>
      <c r="H230" s="48">
        <f t="shared" si="157"/>
        <v>0.24842620644437113</v>
      </c>
      <c r="I230" s="40">
        <f t="shared" si="158"/>
        <v>0.34529076529478125</v>
      </c>
      <c r="J230" s="99">
        <f t="shared" si="159"/>
        <v>1.6202436891637272E-2</v>
      </c>
      <c r="K230" s="48">
        <f t="shared" si="160"/>
        <v>9.9270938524960578E-2</v>
      </c>
      <c r="L230" s="48">
        <f t="shared" si="161"/>
        <v>0.22981738987818343</v>
      </c>
      <c r="M230" s="48">
        <f t="shared" si="192"/>
        <v>0.29745527787927123</v>
      </c>
      <c r="N230" s="99">
        <f t="shared" si="162"/>
        <v>1.1250638526795399E-2</v>
      </c>
      <c r="O230" s="48">
        <f t="shared" si="163"/>
        <v>6.0957970794890431E-2</v>
      </c>
      <c r="P230" s="48">
        <f t="shared" si="164"/>
        <v>0.16876059549243297</v>
      </c>
      <c r="Q230" s="48">
        <f t="shared" si="165"/>
        <v>0.39068956279291178</v>
      </c>
      <c r="R230" s="40">
        <f t="shared" si="193"/>
        <v>2.0821869451548984</v>
      </c>
      <c r="S230" s="99">
        <f t="shared" si="166"/>
        <v>1.9126085495552177E-2</v>
      </c>
      <c r="T230" s="48">
        <f t="shared" si="167"/>
        <v>0.10362855035131373</v>
      </c>
      <c r="U230" s="44">
        <v>20.475312000000002</v>
      </c>
      <c r="V230" s="19">
        <v>1.25</v>
      </c>
      <c r="W230" s="19">
        <v>0.55000000000000004</v>
      </c>
      <c r="X230" s="44">
        <v>1.4297858517028492</v>
      </c>
      <c r="Y230" s="46">
        <v>3.7990894236228021</v>
      </c>
      <c r="Z230" s="46">
        <v>28.49711915779957</v>
      </c>
      <c r="AA230" s="46">
        <v>67.703791418577623</v>
      </c>
      <c r="AB230" s="46">
        <v>0.92307692307692313</v>
      </c>
      <c r="AC230" s="125">
        <v>1</v>
      </c>
      <c r="AD230" s="94">
        <f t="shared" si="194"/>
        <v>0.22537865885213368</v>
      </c>
      <c r="AE230" s="94">
        <f t="shared" si="195"/>
        <v>0.32224321770254383</v>
      </c>
      <c r="AF230" s="96">
        <f t="shared" si="168"/>
        <v>1.2242308002079143E-2</v>
      </c>
      <c r="AG230" s="95">
        <f t="shared" si="208"/>
        <v>9.1830033726621393E-2</v>
      </c>
      <c r="AH230" s="94">
        <f t="shared" si="196"/>
        <v>0.21817087597384327</v>
      </c>
      <c r="AI230" s="94">
        <f t="shared" si="197"/>
        <v>0.29745527787927123</v>
      </c>
      <c r="AJ230" s="96">
        <f t="shared" si="169"/>
        <v>1.057334900436652E-2</v>
      </c>
      <c r="AK230" s="95">
        <f t="shared" si="170"/>
        <v>5.682952433185226E-2</v>
      </c>
      <c r="AL230" s="95">
        <f t="shared" si="171"/>
        <v>0.15611105733525638</v>
      </c>
      <c r="AM230" s="94">
        <f t="shared" si="172"/>
        <v>0.37089048915553358</v>
      </c>
      <c r="AN230" s="93">
        <f t="shared" si="173"/>
        <v>2.0821869451548984</v>
      </c>
      <c r="AO230" s="96">
        <f t="shared" si="174"/>
        <v>1.7974693307423083E-2</v>
      </c>
      <c r="AP230" s="95">
        <f t="shared" si="175"/>
        <v>9.6610191364148834E-2</v>
      </c>
      <c r="AQ230" s="93">
        <f t="shared" si="176"/>
        <v>0.3229620858142237</v>
      </c>
      <c r="AR230" s="31">
        <v>1.7</v>
      </c>
      <c r="AS230" s="31">
        <v>1.7</v>
      </c>
      <c r="AT230" s="31">
        <v>7</v>
      </c>
      <c r="AU230" s="43">
        <v>7.0000000000000007E-2</v>
      </c>
      <c r="AV230" s="44">
        <v>0.31</v>
      </c>
      <c r="AW230" s="19">
        <v>1.9E-2</v>
      </c>
      <c r="AX230" s="44">
        <v>0.13</v>
      </c>
      <c r="AY230" s="44">
        <v>5.736401521228756</v>
      </c>
      <c r="AZ230" s="46">
        <v>0.5</v>
      </c>
      <c r="BA230" s="44">
        <v>0.72</v>
      </c>
      <c r="BB230" s="47">
        <v>1</v>
      </c>
      <c r="BC230" s="46">
        <v>34.015858318041694</v>
      </c>
      <c r="BD230" s="47">
        <v>29.900893458486223</v>
      </c>
      <c r="BE230" s="47">
        <v>36.083248223472076</v>
      </c>
      <c r="BF230" s="125">
        <v>1</v>
      </c>
      <c r="BG230" s="48">
        <f t="shared" si="198"/>
        <v>3.3264989911318266E-3</v>
      </c>
      <c r="BH230" s="48">
        <f t="shared" si="199"/>
        <v>3.3264989911318266E-3</v>
      </c>
      <c r="BI230" s="99">
        <f t="shared" si="200"/>
        <v>1.1315371837744884E-3</v>
      </c>
      <c r="BJ230" s="99">
        <f t="shared" si="201"/>
        <v>9.9465291923594664E-4</v>
      </c>
      <c r="BK230" s="48">
        <f t="shared" si="202"/>
        <v>1.2003088881213913E-3</v>
      </c>
      <c r="BL230" s="99">
        <f t="shared" si="177"/>
        <v>1.5828432185928062E-4</v>
      </c>
      <c r="BM230" s="48">
        <f t="shared" si="178"/>
        <v>6.2764014687438467E-4</v>
      </c>
      <c r="BN230" s="48">
        <f t="shared" si="179"/>
        <v>1.6909099627011091E-3</v>
      </c>
      <c r="BO230" s="48">
        <f t="shared" si="180"/>
        <v>2.040525109806365E-3</v>
      </c>
      <c r="BP230" s="99">
        <f t="shared" si="181"/>
        <v>2.6908334716077705E-4</v>
      </c>
      <c r="BQ230" s="48">
        <f t="shared" si="182"/>
        <v>1.0669882496864539E-3</v>
      </c>
      <c r="BR230" s="40">
        <f t="shared" si="183"/>
        <v>0.63916751776527925</v>
      </c>
      <c r="BS230" s="31">
        <v>1.7</v>
      </c>
      <c r="BT230" s="31">
        <v>1.7</v>
      </c>
      <c r="BU230" s="43">
        <v>0.13500000000000001</v>
      </c>
      <c r="BV230" s="44">
        <v>0.45</v>
      </c>
      <c r="BW230" s="19">
        <v>0.02</v>
      </c>
      <c r="BX230" s="44">
        <v>0.15</v>
      </c>
      <c r="BY230" s="44">
        <v>15.013075720028375</v>
      </c>
      <c r="BZ230" s="44">
        <v>0.52</v>
      </c>
      <c r="CA230" s="44">
        <v>0.65</v>
      </c>
      <c r="CB230" s="47">
        <v>1</v>
      </c>
      <c r="CC230" s="46">
        <v>14.343008645215042</v>
      </c>
      <c r="CD230" s="46">
        <v>32.687165928599939</v>
      </c>
      <c r="CE230" s="46">
        <v>52.969825426185011</v>
      </c>
      <c r="CF230" s="125">
        <v>1</v>
      </c>
      <c r="CG230" s="40">
        <f t="shared" si="203"/>
        <v>1.9721048601105629E-2</v>
      </c>
      <c r="CH230" s="40">
        <f t="shared" si="204"/>
        <v>1.9721048601105629E-2</v>
      </c>
      <c r="CI230" s="99">
        <f t="shared" si="205"/>
        <v>2.8285917057836404E-3</v>
      </c>
      <c r="CJ230" s="100">
        <f t="shared" si="206"/>
        <v>6.4462518791032338E-3</v>
      </c>
      <c r="CK230" s="100">
        <f t="shared" si="207"/>
        <v>1.0446205016218754E-2</v>
      </c>
      <c r="CL230" s="101">
        <f t="shared" si="184"/>
        <v>5.1900520056959816E-4</v>
      </c>
      <c r="CM230" s="100">
        <f t="shared" si="185"/>
        <v>3.5008063161637831E-3</v>
      </c>
      <c r="CN230" s="100">
        <f t="shared" si="186"/>
        <v>1.0958628194475498E-2</v>
      </c>
      <c r="CO230" s="100">
        <f t="shared" si="187"/>
        <v>1.7758548527571881E-2</v>
      </c>
      <c r="CP230" s="101">
        <f t="shared" si="188"/>
        <v>8.8230884096831695E-4</v>
      </c>
      <c r="CQ230" s="100">
        <f t="shared" si="189"/>
        <v>5.9513707374784317E-3</v>
      </c>
      <c r="CR230" s="99">
        <f t="shared" si="190"/>
        <v>0.47030174573814981</v>
      </c>
      <c r="CS230" s="31">
        <v>1.7</v>
      </c>
      <c r="CT230" s="31">
        <v>1.7</v>
      </c>
      <c r="CU230" s="43">
        <v>0.04</v>
      </c>
      <c r="CV230" s="44">
        <v>0.3</v>
      </c>
      <c r="CW230" s="19">
        <v>2.5000000000000001E-2</v>
      </c>
      <c r="CX230" s="44">
        <v>0.15</v>
      </c>
    </row>
    <row r="231" spans="1:102" s="27" customFormat="1" x14ac:dyDescent="0.25">
      <c r="A231" s="31">
        <v>217</v>
      </c>
      <c r="B231" s="84" t="s">
        <v>91</v>
      </c>
      <c r="C231" s="19">
        <v>100</v>
      </c>
      <c r="D231" s="31" t="s">
        <v>26</v>
      </c>
      <c r="E231" s="19" t="s">
        <v>99</v>
      </c>
      <c r="F231" s="19" t="s">
        <v>70</v>
      </c>
      <c r="G231" s="31" t="str">
        <f t="shared" si="191"/>
        <v>Statlig 100 - 4L Ck</v>
      </c>
      <c r="H231" s="48">
        <f t="shared" si="157"/>
        <v>0.23656417176794303</v>
      </c>
      <c r="I231" s="40">
        <f t="shared" si="158"/>
        <v>0.32833059594201591</v>
      </c>
      <c r="J231" s="99">
        <f t="shared" si="159"/>
        <v>1.5558104891527848E-2</v>
      </c>
      <c r="K231" s="48">
        <f t="shared" si="160"/>
        <v>9.4437778855138432E-2</v>
      </c>
      <c r="L231" s="48">
        <f t="shared" si="161"/>
        <v>0.21833471219534964</v>
      </c>
      <c r="M231" s="48">
        <f t="shared" si="192"/>
        <v>0.28179973693825694</v>
      </c>
      <c r="N231" s="99">
        <f t="shared" si="162"/>
        <v>1.0694146473934008E-2</v>
      </c>
      <c r="O231" s="48">
        <f t="shared" si="163"/>
        <v>5.7966943198477172E-2</v>
      </c>
      <c r="P231" s="48">
        <f t="shared" si="164"/>
        <v>0.16054422405373531</v>
      </c>
      <c r="Q231" s="48">
        <f t="shared" si="165"/>
        <v>0.3711690107320943</v>
      </c>
      <c r="R231" s="40">
        <f t="shared" si="193"/>
        <v>1.9725981585677985</v>
      </c>
      <c r="S231" s="99">
        <f t="shared" si="166"/>
        <v>1.8180049005687812E-2</v>
      </c>
      <c r="T231" s="48">
        <f t="shared" si="167"/>
        <v>9.854380343741119E-2</v>
      </c>
      <c r="U231" s="44">
        <v>19.397663999999999</v>
      </c>
      <c r="V231" s="19">
        <v>1.25</v>
      </c>
      <c r="W231" s="19">
        <v>0.55000000000000004</v>
      </c>
      <c r="X231" s="44">
        <v>1.4297858517028494</v>
      </c>
      <c r="Y231" s="46">
        <v>3.7990894236228021</v>
      </c>
      <c r="Z231" s="46">
        <v>28.49711915779957</v>
      </c>
      <c r="AA231" s="46">
        <v>67.703791418577623</v>
      </c>
      <c r="AB231" s="46">
        <v>0.92307692307692291</v>
      </c>
      <c r="AC231" s="125">
        <v>1</v>
      </c>
      <c r="AD231" s="94">
        <f t="shared" si="194"/>
        <v>0.21351662417570558</v>
      </c>
      <c r="AE231" s="94">
        <f t="shared" si="195"/>
        <v>0.30528304834977843</v>
      </c>
      <c r="AF231" s="96">
        <f t="shared" si="168"/>
        <v>1.1597976001969719E-2</v>
      </c>
      <c r="AG231" s="95">
        <f t="shared" si="208"/>
        <v>8.6996874056799248E-2</v>
      </c>
      <c r="AH231" s="94">
        <f t="shared" si="196"/>
        <v>0.20668819829100948</v>
      </c>
      <c r="AI231" s="94">
        <f t="shared" si="197"/>
        <v>0.28179973693825694</v>
      </c>
      <c r="AJ231" s="96">
        <f t="shared" si="169"/>
        <v>1.0016856951505129E-2</v>
      </c>
      <c r="AK231" s="95">
        <f t="shared" si="170"/>
        <v>5.3838496735439001E-2</v>
      </c>
      <c r="AL231" s="95">
        <f t="shared" si="171"/>
        <v>0.14789468589655871</v>
      </c>
      <c r="AM231" s="94">
        <f t="shared" si="172"/>
        <v>0.35136993709471609</v>
      </c>
      <c r="AN231" s="93">
        <f t="shared" si="173"/>
        <v>1.9725981585677985</v>
      </c>
      <c r="AO231" s="96">
        <f t="shared" si="174"/>
        <v>1.7028656817558718E-2</v>
      </c>
      <c r="AP231" s="95">
        <f t="shared" si="175"/>
        <v>9.1525444450246296E-2</v>
      </c>
      <c r="AQ231" s="93">
        <f t="shared" si="176"/>
        <v>0.32296208581422381</v>
      </c>
      <c r="AR231" s="31">
        <v>1.7</v>
      </c>
      <c r="AS231" s="31">
        <v>1.7</v>
      </c>
      <c r="AT231" s="31">
        <v>7</v>
      </c>
      <c r="AU231" s="43">
        <v>7.0000000000000007E-2</v>
      </c>
      <c r="AV231" s="44">
        <v>0.31</v>
      </c>
      <c r="AW231" s="19">
        <v>1.9E-2</v>
      </c>
      <c r="AX231" s="44">
        <v>0.13</v>
      </c>
      <c r="AY231" s="44">
        <v>5.736401521228756</v>
      </c>
      <c r="AZ231" s="46">
        <v>0.5</v>
      </c>
      <c r="BA231" s="44">
        <v>0.72</v>
      </c>
      <c r="BB231" s="47">
        <v>1</v>
      </c>
      <c r="BC231" s="46">
        <v>34.015858318041694</v>
      </c>
      <c r="BD231" s="47">
        <v>29.900893458486223</v>
      </c>
      <c r="BE231" s="47">
        <v>36.083248223472076</v>
      </c>
      <c r="BF231" s="125">
        <v>1</v>
      </c>
      <c r="BG231" s="48">
        <f t="shared" si="198"/>
        <v>3.3264989911318266E-3</v>
      </c>
      <c r="BH231" s="48">
        <f t="shared" si="199"/>
        <v>3.3264989911318266E-3</v>
      </c>
      <c r="BI231" s="99">
        <f t="shared" si="200"/>
        <v>1.1315371837744884E-3</v>
      </c>
      <c r="BJ231" s="99">
        <f t="shared" si="201"/>
        <v>9.9465291923594664E-4</v>
      </c>
      <c r="BK231" s="48">
        <f t="shared" si="202"/>
        <v>1.2003088881213913E-3</v>
      </c>
      <c r="BL231" s="99">
        <f t="shared" si="177"/>
        <v>1.5828432185928062E-4</v>
      </c>
      <c r="BM231" s="48">
        <f t="shared" si="178"/>
        <v>6.2764014687438467E-4</v>
      </c>
      <c r="BN231" s="48">
        <f t="shared" si="179"/>
        <v>1.6909099627011091E-3</v>
      </c>
      <c r="BO231" s="48">
        <f t="shared" si="180"/>
        <v>2.040525109806365E-3</v>
      </c>
      <c r="BP231" s="99">
        <f t="shared" si="181"/>
        <v>2.6908334716077705E-4</v>
      </c>
      <c r="BQ231" s="48">
        <f t="shared" si="182"/>
        <v>1.0669882496864539E-3</v>
      </c>
      <c r="BR231" s="40">
        <f t="shared" si="183"/>
        <v>0.63916751776527925</v>
      </c>
      <c r="BS231" s="31">
        <v>1.7</v>
      </c>
      <c r="BT231" s="31">
        <v>1.7</v>
      </c>
      <c r="BU231" s="43">
        <v>0.13500000000000001</v>
      </c>
      <c r="BV231" s="44">
        <v>0.45</v>
      </c>
      <c r="BW231" s="19">
        <v>0.02</v>
      </c>
      <c r="BX231" s="44">
        <v>0.15</v>
      </c>
      <c r="BY231" s="44">
        <v>15.013075720028375</v>
      </c>
      <c r="BZ231" s="44">
        <v>0.52</v>
      </c>
      <c r="CA231" s="44">
        <v>0.65</v>
      </c>
      <c r="CB231" s="47">
        <v>1</v>
      </c>
      <c r="CC231" s="46">
        <v>14.343008645215042</v>
      </c>
      <c r="CD231" s="46">
        <v>32.687165928599939</v>
      </c>
      <c r="CE231" s="46">
        <v>52.969825426185011</v>
      </c>
      <c r="CF231" s="125">
        <v>1</v>
      </c>
      <c r="CG231" s="40">
        <f t="shared" si="203"/>
        <v>1.9721048601105629E-2</v>
      </c>
      <c r="CH231" s="40">
        <f t="shared" si="204"/>
        <v>1.9721048601105629E-2</v>
      </c>
      <c r="CI231" s="99">
        <f t="shared" si="205"/>
        <v>2.8285917057836404E-3</v>
      </c>
      <c r="CJ231" s="100">
        <f t="shared" si="206"/>
        <v>6.4462518791032338E-3</v>
      </c>
      <c r="CK231" s="100">
        <f t="shared" si="207"/>
        <v>1.0446205016218754E-2</v>
      </c>
      <c r="CL231" s="101">
        <f t="shared" si="184"/>
        <v>5.1900520056959816E-4</v>
      </c>
      <c r="CM231" s="100">
        <f t="shared" si="185"/>
        <v>3.5008063161637831E-3</v>
      </c>
      <c r="CN231" s="100">
        <f t="shared" si="186"/>
        <v>1.0958628194475498E-2</v>
      </c>
      <c r="CO231" s="100">
        <f t="shared" si="187"/>
        <v>1.7758548527571881E-2</v>
      </c>
      <c r="CP231" s="101">
        <f t="shared" si="188"/>
        <v>8.8230884096831695E-4</v>
      </c>
      <c r="CQ231" s="100">
        <f t="shared" si="189"/>
        <v>5.9513707374784317E-3</v>
      </c>
      <c r="CR231" s="99">
        <f t="shared" si="190"/>
        <v>0.47030174573814981</v>
      </c>
      <c r="CS231" s="31">
        <v>1.7</v>
      </c>
      <c r="CT231" s="31">
        <v>1.7</v>
      </c>
      <c r="CU231" s="43">
        <v>0.04</v>
      </c>
      <c r="CV231" s="44">
        <v>0.3</v>
      </c>
      <c r="CW231" s="19">
        <v>2.5000000000000001E-2</v>
      </c>
      <c r="CX231" s="44">
        <v>0.15</v>
      </c>
    </row>
    <row r="232" spans="1:102" s="27" customFormat="1" x14ac:dyDescent="0.25">
      <c r="A232" s="31">
        <v>218</v>
      </c>
      <c r="B232" s="84" t="s">
        <v>91</v>
      </c>
      <c r="C232" s="19">
        <v>100</v>
      </c>
      <c r="D232" s="31" t="s">
        <v>26</v>
      </c>
      <c r="E232" s="19" t="s">
        <v>99</v>
      </c>
      <c r="F232" s="31" t="s">
        <v>71</v>
      </c>
      <c r="G232" s="31" t="str">
        <f t="shared" si="191"/>
        <v>Statlig 100 - 4L Cm</v>
      </c>
      <c r="H232" s="48">
        <f t="shared" si="157"/>
        <v>0.23656417176794303</v>
      </c>
      <c r="I232" s="40">
        <f t="shared" si="158"/>
        <v>0.32833059594201591</v>
      </c>
      <c r="J232" s="99">
        <f t="shared" si="159"/>
        <v>1.5558104891527848E-2</v>
      </c>
      <c r="K232" s="48">
        <f t="shared" si="160"/>
        <v>9.4437778855138432E-2</v>
      </c>
      <c r="L232" s="48">
        <f t="shared" si="161"/>
        <v>0.21833471219534964</v>
      </c>
      <c r="M232" s="48">
        <f t="shared" si="192"/>
        <v>0.28179973693825694</v>
      </c>
      <c r="N232" s="99">
        <f t="shared" si="162"/>
        <v>1.0694146473934008E-2</v>
      </c>
      <c r="O232" s="48">
        <f t="shared" si="163"/>
        <v>5.7966943198477172E-2</v>
      </c>
      <c r="P232" s="48">
        <f t="shared" si="164"/>
        <v>0.16054422405373531</v>
      </c>
      <c r="Q232" s="48">
        <f t="shared" si="165"/>
        <v>0.3711690107320943</v>
      </c>
      <c r="R232" s="40">
        <f t="shared" si="193"/>
        <v>1.9725981585677985</v>
      </c>
      <c r="S232" s="99">
        <f t="shared" si="166"/>
        <v>1.8180049005687812E-2</v>
      </c>
      <c r="T232" s="48">
        <f t="shared" si="167"/>
        <v>9.854380343741119E-2</v>
      </c>
      <c r="U232" s="44">
        <v>19.397663999999999</v>
      </c>
      <c r="V232" s="19">
        <v>1.25</v>
      </c>
      <c r="W232" s="19">
        <v>0.55000000000000004</v>
      </c>
      <c r="X232" s="44">
        <v>1.4297858517028494</v>
      </c>
      <c r="Y232" s="46">
        <v>3.7990894236228021</v>
      </c>
      <c r="Z232" s="46">
        <v>28.49711915779957</v>
      </c>
      <c r="AA232" s="46">
        <v>67.703791418577623</v>
      </c>
      <c r="AB232" s="46">
        <v>0.92307692307692291</v>
      </c>
      <c r="AC232" s="125">
        <v>1</v>
      </c>
      <c r="AD232" s="94">
        <f t="shared" si="194"/>
        <v>0.21351662417570558</v>
      </c>
      <c r="AE232" s="94">
        <f t="shared" si="195"/>
        <v>0.30528304834977843</v>
      </c>
      <c r="AF232" s="96">
        <f t="shared" si="168"/>
        <v>1.1597976001969719E-2</v>
      </c>
      <c r="AG232" s="95">
        <f t="shared" si="208"/>
        <v>8.6996874056799248E-2</v>
      </c>
      <c r="AH232" s="94">
        <f t="shared" si="196"/>
        <v>0.20668819829100948</v>
      </c>
      <c r="AI232" s="94">
        <f t="shared" si="197"/>
        <v>0.28179973693825694</v>
      </c>
      <c r="AJ232" s="96">
        <f t="shared" si="169"/>
        <v>1.0016856951505129E-2</v>
      </c>
      <c r="AK232" s="95">
        <f t="shared" si="170"/>
        <v>5.3838496735439001E-2</v>
      </c>
      <c r="AL232" s="95">
        <f t="shared" si="171"/>
        <v>0.14789468589655871</v>
      </c>
      <c r="AM232" s="94">
        <f t="shared" si="172"/>
        <v>0.35136993709471609</v>
      </c>
      <c r="AN232" s="93">
        <f t="shared" si="173"/>
        <v>1.9725981585677985</v>
      </c>
      <c r="AO232" s="96">
        <f t="shared" si="174"/>
        <v>1.7028656817558718E-2</v>
      </c>
      <c r="AP232" s="95">
        <f t="shared" si="175"/>
        <v>9.1525444450246296E-2</v>
      </c>
      <c r="AQ232" s="93">
        <f t="shared" si="176"/>
        <v>0.32296208581422381</v>
      </c>
      <c r="AR232" s="31">
        <v>1.7</v>
      </c>
      <c r="AS232" s="31">
        <v>1.7</v>
      </c>
      <c r="AT232" s="31">
        <v>7</v>
      </c>
      <c r="AU232" s="43">
        <v>7.0000000000000007E-2</v>
      </c>
      <c r="AV232" s="44">
        <v>0.31</v>
      </c>
      <c r="AW232" s="19">
        <v>1.9E-2</v>
      </c>
      <c r="AX232" s="44">
        <v>0.13</v>
      </c>
      <c r="AY232" s="44">
        <v>5.736401521228756</v>
      </c>
      <c r="AZ232" s="46">
        <v>0.5</v>
      </c>
      <c r="BA232" s="44">
        <v>0.72</v>
      </c>
      <c r="BB232" s="47">
        <v>1</v>
      </c>
      <c r="BC232" s="46">
        <v>34.015858318041694</v>
      </c>
      <c r="BD232" s="47">
        <v>29.900893458486223</v>
      </c>
      <c r="BE232" s="47">
        <v>36.083248223472076</v>
      </c>
      <c r="BF232" s="125">
        <v>1</v>
      </c>
      <c r="BG232" s="48">
        <f t="shared" si="198"/>
        <v>3.3264989911318266E-3</v>
      </c>
      <c r="BH232" s="48">
        <f t="shared" si="199"/>
        <v>3.3264989911318266E-3</v>
      </c>
      <c r="BI232" s="99">
        <f t="shared" si="200"/>
        <v>1.1315371837744884E-3</v>
      </c>
      <c r="BJ232" s="99">
        <f t="shared" si="201"/>
        <v>9.9465291923594664E-4</v>
      </c>
      <c r="BK232" s="48">
        <f t="shared" si="202"/>
        <v>1.2003088881213913E-3</v>
      </c>
      <c r="BL232" s="99">
        <f t="shared" si="177"/>
        <v>1.5828432185928062E-4</v>
      </c>
      <c r="BM232" s="48">
        <f t="shared" si="178"/>
        <v>6.2764014687438467E-4</v>
      </c>
      <c r="BN232" s="48">
        <f t="shared" si="179"/>
        <v>1.6909099627011091E-3</v>
      </c>
      <c r="BO232" s="48">
        <f t="shared" si="180"/>
        <v>2.040525109806365E-3</v>
      </c>
      <c r="BP232" s="99">
        <f t="shared" si="181"/>
        <v>2.6908334716077705E-4</v>
      </c>
      <c r="BQ232" s="48">
        <f t="shared" si="182"/>
        <v>1.0669882496864539E-3</v>
      </c>
      <c r="BR232" s="40">
        <f t="shared" si="183"/>
        <v>0.63916751776527925</v>
      </c>
      <c r="BS232" s="31">
        <v>1.7</v>
      </c>
      <c r="BT232" s="31">
        <v>1.7</v>
      </c>
      <c r="BU232" s="43">
        <v>0.13500000000000001</v>
      </c>
      <c r="BV232" s="44">
        <v>0.45</v>
      </c>
      <c r="BW232" s="19">
        <v>0.02</v>
      </c>
      <c r="BX232" s="44">
        <v>0.15</v>
      </c>
      <c r="BY232" s="44">
        <v>15.013075720028375</v>
      </c>
      <c r="BZ232" s="44">
        <v>0.52</v>
      </c>
      <c r="CA232" s="44">
        <v>0.65</v>
      </c>
      <c r="CB232" s="47">
        <v>1</v>
      </c>
      <c r="CC232" s="46">
        <v>14.343008645215042</v>
      </c>
      <c r="CD232" s="46">
        <v>32.687165928599939</v>
      </c>
      <c r="CE232" s="46">
        <v>52.969825426185011</v>
      </c>
      <c r="CF232" s="125">
        <v>1</v>
      </c>
      <c r="CG232" s="40">
        <f t="shared" si="203"/>
        <v>1.9721048601105629E-2</v>
      </c>
      <c r="CH232" s="40">
        <f t="shared" si="204"/>
        <v>1.9721048601105629E-2</v>
      </c>
      <c r="CI232" s="99">
        <f t="shared" si="205"/>
        <v>2.8285917057836404E-3</v>
      </c>
      <c r="CJ232" s="100">
        <f t="shared" si="206"/>
        <v>6.4462518791032338E-3</v>
      </c>
      <c r="CK232" s="100">
        <f t="shared" si="207"/>
        <v>1.0446205016218754E-2</v>
      </c>
      <c r="CL232" s="101">
        <f t="shared" si="184"/>
        <v>5.1900520056959816E-4</v>
      </c>
      <c r="CM232" s="100">
        <f t="shared" si="185"/>
        <v>3.5008063161637831E-3</v>
      </c>
      <c r="CN232" s="100">
        <f t="shared" si="186"/>
        <v>1.0958628194475498E-2</v>
      </c>
      <c r="CO232" s="100">
        <f t="shared" si="187"/>
        <v>1.7758548527571881E-2</v>
      </c>
      <c r="CP232" s="101">
        <f t="shared" si="188"/>
        <v>8.8230884096831695E-4</v>
      </c>
      <c r="CQ232" s="100">
        <f t="shared" si="189"/>
        <v>5.9513707374784317E-3</v>
      </c>
      <c r="CR232" s="99">
        <f t="shared" si="190"/>
        <v>0.47030174573814981</v>
      </c>
      <c r="CS232" s="31">
        <v>1.7</v>
      </c>
      <c r="CT232" s="31">
        <v>1.7</v>
      </c>
      <c r="CU232" s="43">
        <v>0.04</v>
      </c>
      <c r="CV232" s="44">
        <v>0.3</v>
      </c>
      <c r="CW232" s="19">
        <v>2.5000000000000001E-2</v>
      </c>
      <c r="CX232" s="44">
        <v>0.15</v>
      </c>
    </row>
    <row r="233" spans="1:102" s="27" customFormat="1" x14ac:dyDescent="0.25">
      <c r="A233" s="31">
        <v>219</v>
      </c>
      <c r="B233" s="84" t="s">
        <v>91</v>
      </c>
      <c r="C233" s="19">
        <v>100</v>
      </c>
      <c r="D233" s="31" t="s">
        <v>26</v>
      </c>
      <c r="E233" s="19" t="s">
        <v>99</v>
      </c>
      <c r="F233" s="31" t="s">
        <v>64</v>
      </c>
      <c r="G233" s="31" t="str">
        <f t="shared" si="191"/>
        <v>Statlig 100 - 4L F</v>
      </c>
      <c r="H233" s="48">
        <f t="shared" si="157"/>
        <v>7.3807406074435242E-2</v>
      </c>
      <c r="I233" s="40">
        <f t="shared" si="158"/>
        <v>8.1798130183199799E-2</v>
      </c>
      <c r="J233" s="99">
        <f t="shared" si="159"/>
        <v>4.8240831884695133E-3</v>
      </c>
      <c r="K233" s="48">
        <f t="shared" si="160"/>
        <v>1.7060478877799809E-2</v>
      </c>
      <c r="L233" s="48">
        <f t="shared" si="161"/>
        <v>5.9913568116930487E-2</v>
      </c>
      <c r="M233" s="48">
        <f t="shared" si="192"/>
        <v>0.12036704725953265</v>
      </c>
      <c r="N233" s="99">
        <f t="shared" si="162"/>
        <v>2.2677337380303392E-3</v>
      </c>
      <c r="O233" s="48">
        <f t="shared" si="163"/>
        <v>1.3385231475307707E-2</v>
      </c>
      <c r="P233" s="48">
        <f t="shared" si="164"/>
        <v>2.9002814092259674E-2</v>
      </c>
      <c r="Q233" s="48">
        <f t="shared" si="165"/>
        <v>0.10185306579878181</v>
      </c>
      <c r="R233" s="40">
        <f t="shared" si="193"/>
        <v>0.84256933081672858</v>
      </c>
      <c r="S233" s="99">
        <f t="shared" si="166"/>
        <v>3.8551473546515765E-3</v>
      </c>
      <c r="T233" s="48">
        <f t="shared" si="167"/>
        <v>2.2754893508023101E-2</v>
      </c>
      <c r="U233" s="44">
        <v>3.7018080000000002</v>
      </c>
      <c r="V233" s="19">
        <v>1.25</v>
      </c>
      <c r="W233" s="19">
        <v>0.45</v>
      </c>
      <c r="X233" s="44">
        <v>1.1574221116390035</v>
      </c>
      <c r="Y233" s="46">
        <v>1.4705459262020781</v>
      </c>
      <c r="Z233" s="46">
        <v>16.37358074631317</v>
      </c>
      <c r="AA233" s="46">
        <v>82.155873327484755</v>
      </c>
      <c r="AB233" s="46">
        <v>2.0487804878048785</v>
      </c>
      <c r="AC233" s="125">
        <v>1</v>
      </c>
      <c r="AD233" s="94">
        <f t="shared" si="194"/>
        <v>5.0759858482197787E-2</v>
      </c>
      <c r="AE233" s="94">
        <f t="shared" si="195"/>
        <v>5.8750582590962351E-2</v>
      </c>
      <c r="AF233" s="96">
        <f t="shared" si="168"/>
        <v>8.6395429891138425E-4</v>
      </c>
      <c r="AG233" s="95">
        <f t="shared" si="208"/>
        <v>9.6195740794606296E-3</v>
      </c>
      <c r="AH233" s="94">
        <f t="shared" si="196"/>
        <v>4.8267054212590345E-2</v>
      </c>
      <c r="AI233" s="94">
        <f t="shared" si="197"/>
        <v>0.12036704725953265</v>
      </c>
      <c r="AJ233" s="96">
        <f t="shared" si="169"/>
        <v>1.5904442156014606E-3</v>
      </c>
      <c r="AK233" s="95">
        <f t="shared" si="170"/>
        <v>9.2567850122695396E-3</v>
      </c>
      <c r="AL233" s="95">
        <f t="shared" si="171"/>
        <v>1.635327593508307E-2</v>
      </c>
      <c r="AM233" s="94">
        <f t="shared" si="172"/>
        <v>8.2053992161403577E-2</v>
      </c>
      <c r="AN233" s="93">
        <f t="shared" si="173"/>
        <v>0.84256933081672858</v>
      </c>
      <c r="AO233" s="96">
        <f t="shared" si="174"/>
        <v>2.7037551665224828E-3</v>
      </c>
      <c r="AP233" s="95">
        <f t="shared" si="175"/>
        <v>1.5736534520858218E-2</v>
      </c>
      <c r="AQ233" s="93">
        <f t="shared" si="176"/>
        <v>0.17844126672515248</v>
      </c>
      <c r="AR233" s="31">
        <v>1.7</v>
      </c>
      <c r="AS233" s="31">
        <v>1.7</v>
      </c>
      <c r="AT233" s="31">
        <v>7</v>
      </c>
      <c r="AU233" s="43">
        <v>7.0000000000000007E-2</v>
      </c>
      <c r="AV233" s="44">
        <v>0.31</v>
      </c>
      <c r="AW233" s="19">
        <v>1.9E-2</v>
      </c>
      <c r="AX233" s="44">
        <v>0.13</v>
      </c>
      <c r="AY233" s="44">
        <v>5.736401521228756</v>
      </c>
      <c r="AZ233" s="46">
        <v>0.5</v>
      </c>
      <c r="BA233" s="44">
        <v>0.72</v>
      </c>
      <c r="BB233" s="47">
        <v>1</v>
      </c>
      <c r="BC233" s="46">
        <v>34.015858318041701</v>
      </c>
      <c r="BD233" s="47">
        <v>29.900893458486227</v>
      </c>
      <c r="BE233" s="47">
        <v>36.083248223472076</v>
      </c>
      <c r="BF233" s="125">
        <v>1</v>
      </c>
      <c r="BG233" s="48">
        <f t="shared" si="198"/>
        <v>3.3264989911318266E-3</v>
      </c>
      <c r="BH233" s="48">
        <f t="shared" si="199"/>
        <v>3.3264989911318266E-3</v>
      </c>
      <c r="BI233" s="99">
        <f t="shared" si="200"/>
        <v>1.1315371837744886E-3</v>
      </c>
      <c r="BJ233" s="99">
        <f t="shared" si="201"/>
        <v>9.9465291923594664E-4</v>
      </c>
      <c r="BK233" s="48">
        <f t="shared" si="202"/>
        <v>1.2003088881213913E-3</v>
      </c>
      <c r="BL233" s="99">
        <f t="shared" si="177"/>
        <v>1.5828432185928062E-4</v>
      </c>
      <c r="BM233" s="48">
        <f t="shared" si="178"/>
        <v>6.2764014687438467E-4</v>
      </c>
      <c r="BN233" s="48">
        <f t="shared" si="179"/>
        <v>1.6909099627011091E-3</v>
      </c>
      <c r="BO233" s="48">
        <f t="shared" si="180"/>
        <v>2.040525109806365E-3</v>
      </c>
      <c r="BP233" s="99">
        <f t="shared" si="181"/>
        <v>2.6908334716077705E-4</v>
      </c>
      <c r="BQ233" s="48">
        <f t="shared" si="182"/>
        <v>1.0669882496864539E-3</v>
      </c>
      <c r="BR233" s="40">
        <f t="shared" si="183"/>
        <v>0.63916751776527925</v>
      </c>
      <c r="BS233" s="31">
        <v>1.7</v>
      </c>
      <c r="BT233" s="31">
        <v>1.7</v>
      </c>
      <c r="BU233" s="43">
        <v>0.13500000000000001</v>
      </c>
      <c r="BV233" s="44">
        <v>0.45</v>
      </c>
      <c r="BW233" s="19">
        <v>0.02</v>
      </c>
      <c r="BX233" s="44">
        <v>0.15</v>
      </c>
      <c r="BY233" s="44">
        <v>15.013075720028374</v>
      </c>
      <c r="BZ233" s="44">
        <v>0.52</v>
      </c>
      <c r="CA233" s="44">
        <v>0.65</v>
      </c>
      <c r="CB233" s="47">
        <v>1</v>
      </c>
      <c r="CC233" s="46">
        <v>14.343008645215043</v>
      </c>
      <c r="CD233" s="46">
        <v>32.687165928599939</v>
      </c>
      <c r="CE233" s="46">
        <v>52.969825426185011</v>
      </c>
      <c r="CF233" s="125">
        <v>1</v>
      </c>
      <c r="CG233" s="40">
        <f t="shared" si="203"/>
        <v>1.9721048601105625E-2</v>
      </c>
      <c r="CH233" s="40">
        <f t="shared" si="204"/>
        <v>1.9721048601105625E-2</v>
      </c>
      <c r="CI233" s="99">
        <f t="shared" si="205"/>
        <v>2.8285917057836404E-3</v>
      </c>
      <c r="CJ233" s="100">
        <f t="shared" si="206"/>
        <v>6.4462518791032321E-3</v>
      </c>
      <c r="CK233" s="100">
        <f t="shared" si="207"/>
        <v>1.044620501621875E-2</v>
      </c>
      <c r="CL233" s="101">
        <f t="shared" si="184"/>
        <v>5.1900520056959805E-4</v>
      </c>
      <c r="CM233" s="100">
        <f t="shared" si="185"/>
        <v>3.5008063161637822E-3</v>
      </c>
      <c r="CN233" s="100">
        <f t="shared" si="186"/>
        <v>1.0958628194475495E-2</v>
      </c>
      <c r="CO233" s="100">
        <f t="shared" si="187"/>
        <v>1.7758548527571874E-2</v>
      </c>
      <c r="CP233" s="101">
        <f t="shared" si="188"/>
        <v>8.8230884096831663E-4</v>
      </c>
      <c r="CQ233" s="100">
        <f t="shared" si="189"/>
        <v>5.9513707374784291E-3</v>
      </c>
      <c r="CR233" s="99">
        <f t="shared" si="190"/>
        <v>0.47030174573814981</v>
      </c>
      <c r="CS233" s="31">
        <v>1.7</v>
      </c>
      <c r="CT233" s="31">
        <v>1.7</v>
      </c>
      <c r="CU233" s="43">
        <v>0.04</v>
      </c>
      <c r="CV233" s="44">
        <v>0.3</v>
      </c>
      <c r="CW233" s="19">
        <v>2.5000000000000001E-2</v>
      </c>
      <c r="CX233" s="44">
        <v>0.15</v>
      </c>
    </row>
    <row r="234" spans="1:102" s="27" customFormat="1" x14ac:dyDescent="0.25">
      <c r="A234" s="31">
        <v>220</v>
      </c>
      <c r="B234" s="84" t="s">
        <v>91</v>
      </c>
      <c r="C234" s="19">
        <v>110</v>
      </c>
      <c r="D234" s="31" t="s">
        <v>26</v>
      </c>
      <c r="E234" s="19" t="s">
        <v>99</v>
      </c>
      <c r="F234" s="19" t="s">
        <v>12</v>
      </c>
      <c r="G234" s="31" t="str">
        <f t="shared" si="191"/>
        <v>Statlig 110 - 4L A</v>
      </c>
      <c r="H234" s="48">
        <f t="shared" si="157"/>
        <v>0.25382996364063909</v>
      </c>
      <c r="I234" s="40">
        <f t="shared" si="158"/>
        <v>0.39665939443327308</v>
      </c>
      <c r="J234" s="99">
        <f t="shared" si="159"/>
        <v>2.0297311917767114E-2</v>
      </c>
      <c r="K234" s="48">
        <f t="shared" si="160"/>
        <v>0.11965988298250889</v>
      </c>
      <c r="L234" s="48">
        <f t="shared" si="161"/>
        <v>0.25670219953299711</v>
      </c>
      <c r="M234" s="48">
        <f t="shared" si="192"/>
        <v>0.37094548226240492</v>
      </c>
      <c r="N234" s="99">
        <f t="shared" si="162"/>
        <v>1.317351703019351E-2</v>
      </c>
      <c r="O234" s="48">
        <f t="shared" si="163"/>
        <v>7.0799612073311494E-2</v>
      </c>
      <c r="P234" s="48">
        <f t="shared" si="164"/>
        <v>0.20342180107026508</v>
      </c>
      <c r="Q234" s="48">
        <f t="shared" si="165"/>
        <v>0.43639373920609503</v>
      </c>
      <c r="R234" s="40">
        <f t="shared" si="193"/>
        <v>2.5966183758368344</v>
      </c>
      <c r="S234" s="99">
        <f t="shared" si="166"/>
        <v>2.2394978951328963E-2</v>
      </c>
      <c r="T234" s="48">
        <f t="shared" si="167"/>
        <v>0.12035934052462953</v>
      </c>
      <c r="U234" s="44">
        <v>20.724</v>
      </c>
      <c r="V234" s="19">
        <v>1.25</v>
      </c>
      <c r="W234" s="19">
        <v>0.55000000000000004</v>
      </c>
      <c r="X234" s="44">
        <v>1.6261261751304743</v>
      </c>
      <c r="Y234" s="46">
        <v>4.1855402031316284</v>
      </c>
      <c r="Z234" s="46">
        <v>29.95241192016735</v>
      </c>
      <c r="AA234" s="46">
        <v>65.862047876701013</v>
      </c>
      <c r="AB234" s="46">
        <v>1</v>
      </c>
      <c r="AC234" s="125">
        <v>1</v>
      </c>
      <c r="AD234" s="94">
        <f t="shared" si="194"/>
        <v>0.22811605146977088</v>
      </c>
      <c r="AE234" s="94">
        <f t="shared" si="195"/>
        <v>0.37094548226240492</v>
      </c>
      <c r="AF234" s="96">
        <f t="shared" si="168"/>
        <v>1.5526072291793463E-2</v>
      </c>
      <c r="AG234" s="95">
        <f t="shared" si="208"/>
        <v>0.11110711884648683</v>
      </c>
      <c r="AH234" s="94">
        <f t="shared" si="196"/>
        <v>0.24431229112412459</v>
      </c>
      <c r="AI234" s="94">
        <f t="shared" si="197"/>
        <v>0.37094548226240492</v>
      </c>
      <c r="AJ234" s="96">
        <f t="shared" si="169"/>
        <v>1.2419431850612447E-2</v>
      </c>
      <c r="AK234" s="95">
        <f t="shared" si="170"/>
        <v>6.6203804688547113E-2</v>
      </c>
      <c r="AL234" s="95">
        <f t="shared" si="171"/>
        <v>0.18888210203902761</v>
      </c>
      <c r="AM234" s="94">
        <f t="shared" si="172"/>
        <v>0.41533089491101177</v>
      </c>
      <c r="AN234" s="93">
        <f t="shared" si="173"/>
        <v>2.5966183758368344</v>
      </c>
      <c r="AO234" s="96">
        <f t="shared" si="174"/>
        <v>2.1113034146041158E-2</v>
      </c>
      <c r="AP234" s="95">
        <f t="shared" si="175"/>
        <v>0.11254646797053008</v>
      </c>
      <c r="AQ234" s="93">
        <f t="shared" si="176"/>
        <v>0.34137952123298976</v>
      </c>
      <c r="AR234" s="31">
        <v>1.7</v>
      </c>
      <c r="AS234" s="31">
        <v>1.7</v>
      </c>
      <c r="AT234" s="31">
        <v>7</v>
      </c>
      <c r="AU234" s="43">
        <v>7.0000000000000007E-2</v>
      </c>
      <c r="AV234" s="44">
        <v>0.31</v>
      </c>
      <c r="AW234" s="19">
        <v>1.9E-2</v>
      </c>
      <c r="AX234" s="44">
        <v>0.13</v>
      </c>
      <c r="AY234" s="44">
        <v>6.5244820816790945</v>
      </c>
      <c r="AZ234" s="46">
        <v>0.5</v>
      </c>
      <c r="BA234" s="44">
        <v>0.72</v>
      </c>
      <c r="BB234" s="47">
        <v>1</v>
      </c>
      <c r="BC234" s="46">
        <v>36.032702923698999</v>
      </c>
      <c r="BD234" s="47">
        <v>30.217491767106104</v>
      </c>
      <c r="BE234" s="47">
        <v>33.74980530919489</v>
      </c>
      <c r="BF234" s="125">
        <v>1</v>
      </c>
      <c r="BG234" s="48">
        <f t="shared" si="198"/>
        <v>3.7835013783543846E-3</v>
      </c>
      <c r="BH234" s="48">
        <f t="shared" si="199"/>
        <v>3.7835013783543846E-3</v>
      </c>
      <c r="BI234" s="99">
        <f t="shared" si="200"/>
        <v>1.363297811776492E-3</v>
      </c>
      <c r="BJ234" s="99">
        <f t="shared" si="201"/>
        <v>1.143279217512582E-3</v>
      </c>
      <c r="BK234" s="48">
        <f t="shared" si="202"/>
        <v>1.2769243490653099E-3</v>
      </c>
      <c r="BL234" s="99">
        <f t="shared" si="177"/>
        <v>1.7988118134550478E-4</v>
      </c>
      <c r="BM234" s="48">
        <f t="shared" si="178"/>
        <v>7.060143002404584E-4</v>
      </c>
      <c r="BN234" s="48">
        <f t="shared" si="179"/>
        <v>1.9435746697713894E-3</v>
      </c>
      <c r="BO234" s="48">
        <f t="shared" si="180"/>
        <v>2.1707713934110266E-3</v>
      </c>
      <c r="BP234" s="99">
        <f t="shared" si="181"/>
        <v>3.0579800828735813E-4</v>
      </c>
      <c r="BQ234" s="48">
        <f t="shared" si="182"/>
        <v>1.2002243104087791E-3</v>
      </c>
      <c r="BR234" s="40">
        <f t="shared" si="183"/>
        <v>0.66250194690805098</v>
      </c>
      <c r="BS234" s="31">
        <v>1.7</v>
      </c>
      <c r="BT234" s="31">
        <v>1.7</v>
      </c>
      <c r="BU234" s="43">
        <v>0.13500000000000001</v>
      </c>
      <c r="BV234" s="44">
        <v>0.45</v>
      </c>
      <c r="BW234" s="19">
        <v>0.02</v>
      </c>
      <c r="BX234" s="44">
        <v>0.15</v>
      </c>
      <c r="BY234" s="44">
        <v>16.695000578259251</v>
      </c>
      <c r="BZ234" s="44">
        <v>0.52</v>
      </c>
      <c r="CA234" s="44">
        <v>0.65</v>
      </c>
      <c r="CB234" s="47">
        <v>1</v>
      </c>
      <c r="CC234" s="46">
        <v>15.539799260670925</v>
      </c>
      <c r="CD234" s="46">
        <v>33.786348047063377</v>
      </c>
      <c r="CE234" s="46">
        <v>50.673852692265697</v>
      </c>
      <c r="CF234" s="125">
        <v>1</v>
      </c>
      <c r="CG234" s="40">
        <f t="shared" si="203"/>
        <v>2.1930410792513809E-2</v>
      </c>
      <c r="CH234" s="40">
        <f t="shared" si="204"/>
        <v>2.1930410792513809E-2</v>
      </c>
      <c r="CI234" s="99">
        <f t="shared" si="205"/>
        <v>3.4079418141971574E-3</v>
      </c>
      <c r="CJ234" s="100">
        <f t="shared" si="206"/>
        <v>7.4094849185094647E-3</v>
      </c>
      <c r="CK234" s="100">
        <f t="shared" si="207"/>
        <v>1.1112984059807186E-2</v>
      </c>
      <c r="CL234" s="101">
        <f t="shared" si="184"/>
        <v>5.7420399823555825E-4</v>
      </c>
      <c r="CM234" s="100">
        <f t="shared" si="185"/>
        <v>3.8897930845239173E-3</v>
      </c>
      <c r="CN234" s="100">
        <f t="shared" si="186"/>
        <v>1.259612436146609E-2</v>
      </c>
      <c r="CO234" s="100">
        <f t="shared" si="187"/>
        <v>1.8892072901672215E-2</v>
      </c>
      <c r="CP234" s="101">
        <f t="shared" si="188"/>
        <v>9.7614679700044893E-4</v>
      </c>
      <c r="CQ234" s="100">
        <f t="shared" si="189"/>
        <v>6.6126482436906584E-3</v>
      </c>
      <c r="CR234" s="99">
        <f t="shared" si="190"/>
        <v>0.49326147307734303</v>
      </c>
      <c r="CS234" s="31">
        <v>1.7</v>
      </c>
      <c r="CT234" s="31">
        <v>1.7</v>
      </c>
      <c r="CU234" s="43">
        <v>0.04</v>
      </c>
      <c r="CV234" s="44">
        <v>0.3</v>
      </c>
      <c r="CW234" s="19">
        <v>2.5000000000000001E-2</v>
      </c>
      <c r="CX234" s="44">
        <v>0.15</v>
      </c>
    </row>
    <row r="235" spans="1:102" s="27" customFormat="1" x14ac:dyDescent="0.25">
      <c r="A235" s="31">
        <v>221</v>
      </c>
      <c r="B235" s="84" t="s">
        <v>91</v>
      </c>
      <c r="C235" s="19">
        <v>110</v>
      </c>
      <c r="D235" s="31" t="s">
        <v>26</v>
      </c>
      <c r="E235" s="19" t="s">
        <v>99</v>
      </c>
      <c r="F235" s="19" t="s">
        <v>13</v>
      </c>
      <c r="G235" s="31" t="str">
        <f t="shared" si="191"/>
        <v>Statlig 110 - 4L B</v>
      </c>
      <c r="H235" s="48">
        <f t="shared" si="157"/>
        <v>0.24242416106715059</v>
      </c>
      <c r="I235" s="40">
        <f t="shared" si="158"/>
        <v>0.37811212032015296</v>
      </c>
      <c r="J235" s="99">
        <f t="shared" si="159"/>
        <v>1.9521008303177441E-2</v>
      </c>
      <c r="K235" s="48">
        <f t="shared" si="160"/>
        <v>0.1141045270401846</v>
      </c>
      <c r="L235" s="48">
        <f t="shared" si="161"/>
        <v>0.24448658497679093</v>
      </c>
      <c r="M235" s="48">
        <f t="shared" si="192"/>
        <v>0.35239820814928485</v>
      </c>
      <c r="N235" s="99">
        <f t="shared" si="162"/>
        <v>1.2552545437662894E-2</v>
      </c>
      <c r="O235" s="48">
        <f t="shared" si="163"/>
        <v>6.7489421838884164E-2</v>
      </c>
      <c r="P235" s="48">
        <f t="shared" si="164"/>
        <v>0.1939776959683138</v>
      </c>
      <c r="Q235" s="48">
        <f t="shared" si="165"/>
        <v>0.41562719446054458</v>
      </c>
      <c r="R235" s="40">
        <f t="shared" si="193"/>
        <v>2.4667874570449939</v>
      </c>
      <c r="S235" s="99">
        <f t="shared" si="166"/>
        <v>2.1339327244026915E-2</v>
      </c>
      <c r="T235" s="48">
        <f t="shared" si="167"/>
        <v>0.11473201712610308</v>
      </c>
      <c r="U235" s="44">
        <v>19.687800000000003</v>
      </c>
      <c r="V235" s="19">
        <v>1.25</v>
      </c>
      <c r="W235" s="19">
        <v>0.55000000000000004</v>
      </c>
      <c r="X235" s="44">
        <v>1.6261261751304745</v>
      </c>
      <c r="Y235" s="46">
        <v>4.1855402031316276</v>
      </c>
      <c r="Z235" s="46">
        <v>29.952411920167354</v>
      </c>
      <c r="AA235" s="46">
        <v>65.862047876701013</v>
      </c>
      <c r="AB235" s="46">
        <v>1.0000000000000002</v>
      </c>
      <c r="AC235" s="125">
        <v>1</v>
      </c>
      <c r="AD235" s="94">
        <f t="shared" si="194"/>
        <v>0.21671024889628238</v>
      </c>
      <c r="AE235" s="94">
        <f t="shared" si="195"/>
        <v>0.3523982081492848</v>
      </c>
      <c r="AF235" s="96">
        <f t="shared" si="168"/>
        <v>1.4749768677203791E-2</v>
      </c>
      <c r="AG235" s="95">
        <f t="shared" si="208"/>
        <v>0.10555176290416254</v>
      </c>
      <c r="AH235" s="94">
        <f t="shared" si="196"/>
        <v>0.23209667656791844</v>
      </c>
      <c r="AI235" s="94">
        <f t="shared" si="197"/>
        <v>0.35239820814928485</v>
      </c>
      <c r="AJ235" s="96">
        <f t="shared" si="169"/>
        <v>1.179846025808183E-2</v>
      </c>
      <c r="AK235" s="95">
        <f t="shared" si="170"/>
        <v>6.2893614454119784E-2</v>
      </c>
      <c r="AL235" s="95">
        <f t="shared" si="171"/>
        <v>0.17943799693707632</v>
      </c>
      <c r="AM235" s="94">
        <f t="shared" si="172"/>
        <v>0.39456435016546132</v>
      </c>
      <c r="AN235" s="93">
        <f t="shared" si="173"/>
        <v>2.4667874570449939</v>
      </c>
      <c r="AO235" s="96">
        <f t="shared" si="174"/>
        <v>2.005738243873911E-2</v>
      </c>
      <c r="AP235" s="95">
        <f t="shared" si="175"/>
        <v>0.10691914457200363</v>
      </c>
      <c r="AQ235" s="93">
        <f t="shared" si="176"/>
        <v>0.34137952123298981</v>
      </c>
      <c r="AR235" s="31">
        <v>1.7</v>
      </c>
      <c r="AS235" s="31">
        <v>1.7</v>
      </c>
      <c r="AT235" s="31">
        <v>7</v>
      </c>
      <c r="AU235" s="43">
        <v>7.0000000000000007E-2</v>
      </c>
      <c r="AV235" s="44">
        <v>0.31</v>
      </c>
      <c r="AW235" s="19">
        <v>1.9E-2</v>
      </c>
      <c r="AX235" s="44">
        <v>0.13</v>
      </c>
      <c r="AY235" s="44">
        <v>6.5244820816790945</v>
      </c>
      <c r="AZ235" s="46">
        <v>0.5</v>
      </c>
      <c r="BA235" s="44">
        <v>0.72</v>
      </c>
      <c r="BB235" s="47">
        <v>1</v>
      </c>
      <c r="BC235" s="46">
        <v>36.032702923698999</v>
      </c>
      <c r="BD235" s="47">
        <v>30.217491767106104</v>
      </c>
      <c r="BE235" s="47">
        <v>33.74980530919489</v>
      </c>
      <c r="BF235" s="125">
        <v>1</v>
      </c>
      <c r="BG235" s="48">
        <f t="shared" si="198"/>
        <v>3.7835013783543846E-3</v>
      </c>
      <c r="BH235" s="48">
        <f t="shared" si="199"/>
        <v>3.7835013783543846E-3</v>
      </c>
      <c r="BI235" s="99">
        <f t="shared" si="200"/>
        <v>1.363297811776492E-3</v>
      </c>
      <c r="BJ235" s="99">
        <f t="shared" si="201"/>
        <v>1.143279217512582E-3</v>
      </c>
      <c r="BK235" s="48">
        <f t="shared" si="202"/>
        <v>1.2769243490653099E-3</v>
      </c>
      <c r="BL235" s="99">
        <f t="shared" si="177"/>
        <v>1.7988118134550478E-4</v>
      </c>
      <c r="BM235" s="48">
        <f t="shared" si="178"/>
        <v>7.060143002404584E-4</v>
      </c>
      <c r="BN235" s="48">
        <f t="shared" si="179"/>
        <v>1.9435746697713894E-3</v>
      </c>
      <c r="BO235" s="48">
        <f t="shared" si="180"/>
        <v>2.1707713934110266E-3</v>
      </c>
      <c r="BP235" s="99">
        <f t="shared" si="181"/>
        <v>3.0579800828735813E-4</v>
      </c>
      <c r="BQ235" s="48">
        <f t="shared" si="182"/>
        <v>1.2002243104087791E-3</v>
      </c>
      <c r="BR235" s="40">
        <f t="shared" si="183"/>
        <v>0.66250194690805098</v>
      </c>
      <c r="BS235" s="31">
        <v>1.7</v>
      </c>
      <c r="BT235" s="31">
        <v>1.7</v>
      </c>
      <c r="BU235" s="43">
        <v>0.13500000000000001</v>
      </c>
      <c r="BV235" s="44">
        <v>0.45</v>
      </c>
      <c r="BW235" s="19">
        <v>0.02</v>
      </c>
      <c r="BX235" s="44">
        <v>0.15</v>
      </c>
      <c r="BY235" s="44">
        <v>16.695000578259251</v>
      </c>
      <c r="BZ235" s="44">
        <v>0.52</v>
      </c>
      <c r="CA235" s="44">
        <v>0.65</v>
      </c>
      <c r="CB235" s="47">
        <v>1</v>
      </c>
      <c r="CC235" s="46">
        <v>15.539799260670925</v>
      </c>
      <c r="CD235" s="46">
        <v>33.786348047063377</v>
      </c>
      <c r="CE235" s="46">
        <v>50.673852692265697</v>
      </c>
      <c r="CF235" s="125">
        <v>1</v>
      </c>
      <c r="CG235" s="40">
        <f t="shared" si="203"/>
        <v>2.1930410792513809E-2</v>
      </c>
      <c r="CH235" s="40">
        <f t="shared" si="204"/>
        <v>2.1930410792513809E-2</v>
      </c>
      <c r="CI235" s="99">
        <f t="shared" si="205"/>
        <v>3.4079418141971574E-3</v>
      </c>
      <c r="CJ235" s="100">
        <f t="shared" si="206"/>
        <v>7.4094849185094647E-3</v>
      </c>
      <c r="CK235" s="100">
        <f t="shared" si="207"/>
        <v>1.1112984059807186E-2</v>
      </c>
      <c r="CL235" s="101">
        <f t="shared" si="184"/>
        <v>5.7420399823555825E-4</v>
      </c>
      <c r="CM235" s="100">
        <f t="shared" si="185"/>
        <v>3.8897930845239173E-3</v>
      </c>
      <c r="CN235" s="100">
        <f t="shared" si="186"/>
        <v>1.259612436146609E-2</v>
      </c>
      <c r="CO235" s="100">
        <f t="shared" si="187"/>
        <v>1.8892072901672215E-2</v>
      </c>
      <c r="CP235" s="101">
        <f t="shared" si="188"/>
        <v>9.7614679700044893E-4</v>
      </c>
      <c r="CQ235" s="100">
        <f t="shared" si="189"/>
        <v>6.6126482436906584E-3</v>
      </c>
      <c r="CR235" s="99">
        <f t="shared" si="190"/>
        <v>0.49326147307734303</v>
      </c>
      <c r="CS235" s="31">
        <v>1.7</v>
      </c>
      <c r="CT235" s="31">
        <v>1.7</v>
      </c>
      <c r="CU235" s="43">
        <v>0.04</v>
      </c>
      <c r="CV235" s="44">
        <v>0.3</v>
      </c>
      <c r="CW235" s="19">
        <v>2.5000000000000001E-2</v>
      </c>
      <c r="CX235" s="44">
        <v>0.15</v>
      </c>
    </row>
    <row r="236" spans="1:102" s="27" customFormat="1" x14ac:dyDescent="0.25">
      <c r="A236" s="31">
        <v>222</v>
      </c>
      <c r="B236" s="84" t="s">
        <v>91</v>
      </c>
      <c r="C236" s="19">
        <v>110</v>
      </c>
      <c r="D236" s="31" t="s">
        <v>26</v>
      </c>
      <c r="E236" s="19" t="s">
        <v>99</v>
      </c>
      <c r="F236" s="19" t="s">
        <v>70</v>
      </c>
      <c r="G236" s="31" t="str">
        <f t="shared" si="191"/>
        <v>Statlig 110 - 4L Ck</v>
      </c>
      <c r="H236" s="48">
        <f t="shared" si="157"/>
        <v>0.23101835849366201</v>
      </c>
      <c r="I236" s="40">
        <f t="shared" si="158"/>
        <v>0.35956484620703261</v>
      </c>
      <c r="J236" s="99">
        <f t="shared" si="159"/>
        <v>1.8744704688587764E-2</v>
      </c>
      <c r="K236" s="48">
        <f t="shared" si="160"/>
        <v>0.10854917109786023</v>
      </c>
      <c r="L236" s="48">
        <f t="shared" si="161"/>
        <v>0.2322709704205847</v>
      </c>
      <c r="M236" s="48">
        <f t="shared" si="192"/>
        <v>0.33385093403616445</v>
      </c>
      <c r="N236" s="99">
        <f t="shared" si="162"/>
        <v>1.1931573845132267E-2</v>
      </c>
      <c r="O236" s="48">
        <f t="shared" si="163"/>
        <v>6.4179231604456793E-2</v>
      </c>
      <c r="P236" s="48">
        <f t="shared" si="164"/>
        <v>0.18453359086636237</v>
      </c>
      <c r="Q236" s="48">
        <f t="shared" si="165"/>
        <v>0.39486064971499402</v>
      </c>
      <c r="R236" s="40">
        <f t="shared" si="193"/>
        <v>2.3369565382531512</v>
      </c>
      <c r="S236" s="99">
        <f t="shared" si="166"/>
        <v>2.0283675536724853E-2</v>
      </c>
      <c r="T236" s="48">
        <f t="shared" si="167"/>
        <v>0.10910469372757656</v>
      </c>
      <c r="U236" s="44">
        <v>18.651599999999998</v>
      </c>
      <c r="V236" s="19">
        <v>1.25</v>
      </c>
      <c r="W236" s="19">
        <v>0.55000000000000004</v>
      </c>
      <c r="X236" s="44">
        <v>1.6261261751304743</v>
      </c>
      <c r="Y236" s="46">
        <v>4.1855402031316276</v>
      </c>
      <c r="Z236" s="46">
        <v>29.952411920167354</v>
      </c>
      <c r="AA236" s="46">
        <v>65.862047876701027</v>
      </c>
      <c r="AB236" s="46">
        <v>1</v>
      </c>
      <c r="AC236" s="125">
        <v>1</v>
      </c>
      <c r="AD236" s="94">
        <f t="shared" si="194"/>
        <v>0.20530444632279379</v>
      </c>
      <c r="AE236" s="94">
        <f t="shared" si="195"/>
        <v>0.33385093403616445</v>
      </c>
      <c r="AF236" s="96">
        <f t="shared" si="168"/>
        <v>1.3973465062614114E-2</v>
      </c>
      <c r="AG236" s="95">
        <f t="shared" si="208"/>
        <v>9.9996406961838175E-2</v>
      </c>
      <c r="AH236" s="94">
        <f t="shared" si="196"/>
        <v>0.2198810620117122</v>
      </c>
      <c r="AI236" s="94">
        <f t="shared" si="197"/>
        <v>0.33385093403616445</v>
      </c>
      <c r="AJ236" s="96">
        <f t="shared" si="169"/>
        <v>1.1177488665551204E-2</v>
      </c>
      <c r="AK236" s="95">
        <f t="shared" si="170"/>
        <v>5.9583424219692427E-2</v>
      </c>
      <c r="AL236" s="95">
        <f t="shared" si="171"/>
        <v>0.16999389183512489</v>
      </c>
      <c r="AM236" s="94">
        <f t="shared" si="172"/>
        <v>0.37379780541991076</v>
      </c>
      <c r="AN236" s="93">
        <f t="shared" si="173"/>
        <v>2.3369565382531512</v>
      </c>
      <c r="AO236" s="96">
        <f t="shared" si="174"/>
        <v>1.9001730731437048E-2</v>
      </c>
      <c r="AP236" s="95">
        <f t="shared" si="175"/>
        <v>0.10129182117347711</v>
      </c>
      <c r="AQ236" s="93">
        <f t="shared" si="176"/>
        <v>0.34137952123298981</v>
      </c>
      <c r="AR236" s="31">
        <v>1.7</v>
      </c>
      <c r="AS236" s="31">
        <v>1.7</v>
      </c>
      <c r="AT236" s="31">
        <v>7</v>
      </c>
      <c r="AU236" s="43">
        <v>7.0000000000000007E-2</v>
      </c>
      <c r="AV236" s="44">
        <v>0.31</v>
      </c>
      <c r="AW236" s="19">
        <v>1.9E-2</v>
      </c>
      <c r="AX236" s="44">
        <v>0.13</v>
      </c>
      <c r="AY236" s="44">
        <v>6.5244820816790945</v>
      </c>
      <c r="AZ236" s="46">
        <v>0.5</v>
      </c>
      <c r="BA236" s="44">
        <v>0.72</v>
      </c>
      <c r="BB236" s="47">
        <v>1</v>
      </c>
      <c r="BC236" s="46">
        <v>36.032702923698999</v>
      </c>
      <c r="BD236" s="47">
        <v>30.217491767106104</v>
      </c>
      <c r="BE236" s="47">
        <v>33.74980530919489</v>
      </c>
      <c r="BF236" s="125">
        <v>1</v>
      </c>
      <c r="BG236" s="48">
        <f t="shared" si="198"/>
        <v>3.7835013783543846E-3</v>
      </c>
      <c r="BH236" s="48">
        <f t="shared" si="199"/>
        <v>3.7835013783543846E-3</v>
      </c>
      <c r="BI236" s="99">
        <f t="shared" si="200"/>
        <v>1.363297811776492E-3</v>
      </c>
      <c r="BJ236" s="99">
        <f t="shared" si="201"/>
        <v>1.143279217512582E-3</v>
      </c>
      <c r="BK236" s="48">
        <f t="shared" si="202"/>
        <v>1.2769243490653099E-3</v>
      </c>
      <c r="BL236" s="99">
        <f t="shared" si="177"/>
        <v>1.7988118134550478E-4</v>
      </c>
      <c r="BM236" s="48">
        <f t="shared" si="178"/>
        <v>7.060143002404584E-4</v>
      </c>
      <c r="BN236" s="48">
        <f t="shared" si="179"/>
        <v>1.9435746697713894E-3</v>
      </c>
      <c r="BO236" s="48">
        <f t="shared" si="180"/>
        <v>2.1707713934110266E-3</v>
      </c>
      <c r="BP236" s="99">
        <f t="shared" si="181"/>
        <v>3.0579800828735813E-4</v>
      </c>
      <c r="BQ236" s="48">
        <f t="shared" si="182"/>
        <v>1.2002243104087791E-3</v>
      </c>
      <c r="BR236" s="40">
        <f t="shared" si="183"/>
        <v>0.66250194690805098</v>
      </c>
      <c r="BS236" s="31">
        <v>1.7</v>
      </c>
      <c r="BT236" s="31">
        <v>1.7</v>
      </c>
      <c r="BU236" s="43">
        <v>0.13500000000000001</v>
      </c>
      <c r="BV236" s="44">
        <v>0.45</v>
      </c>
      <c r="BW236" s="19">
        <v>0.02</v>
      </c>
      <c r="BX236" s="44">
        <v>0.15</v>
      </c>
      <c r="BY236" s="44">
        <v>16.695000578259251</v>
      </c>
      <c r="BZ236" s="44">
        <v>0.52</v>
      </c>
      <c r="CA236" s="44">
        <v>0.65</v>
      </c>
      <c r="CB236" s="47">
        <v>1</v>
      </c>
      <c r="CC236" s="46">
        <v>15.539799260670925</v>
      </c>
      <c r="CD236" s="46">
        <v>33.786348047063377</v>
      </c>
      <c r="CE236" s="46">
        <v>50.673852692265697</v>
      </c>
      <c r="CF236" s="125">
        <v>1</v>
      </c>
      <c r="CG236" s="40">
        <f t="shared" si="203"/>
        <v>2.1930410792513809E-2</v>
      </c>
      <c r="CH236" s="40">
        <f t="shared" si="204"/>
        <v>2.1930410792513809E-2</v>
      </c>
      <c r="CI236" s="99">
        <f t="shared" si="205"/>
        <v>3.4079418141971574E-3</v>
      </c>
      <c r="CJ236" s="100">
        <f t="shared" si="206"/>
        <v>7.4094849185094647E-3</v>
      </c>
      <c r="CK236" s="100">
        <f t="shared" si="207"/>
        <v>1.1112984059807186E-2</v>
      </c>
      <c r="CL236" s="101">
        <f t="shared" si="184"/>
        <v>5.7420399823555825E-4</v>
      </c>
      <c r="CM236" s="100">
        <f t="shared" si="185"/>
        <v>3.8897930845239173E-3</v>
      </c>
      <c r="CN236" s="100">
        <f t="shared" si="186"/>
        <v>1.259612436146609E-2</v>
      </c>
      <c r="CO236" s="100">
        <f t="shared" si="187"/>
        <v>1.8892072901672215E-2</v>
      </c>
      <c r="CP236" s="101">
        <f t="shared" si="188"/>
        <v>9.7614679700044893E-4</v>
      </c>
      <c r="CQ236" s="100">
        <f t="shared" si="189"/>
        <v>6.6126482436906584E-3</v>
      </c>
      <c r="CR236" s="99">
        <f t="shared" si="190"/>
        <v>0.49326147307734303</v>
      </c>
      <c r="CS236" s="31">
        <v>1.7</v>
      </c>
      <c r="CT236" s="31">
        <v>1.7</v>
      </c>
      <c r="CU236" s="43">
        <v>0.04</v>
      </c>
      <c r="CV236" s="44">
        <v>0.3</v>
      </c>
      <c r="CW236" s="19">
        <v>2.5000000000000001E-2</v>
      </c>
      <c r="CX236" s="44">
        <v>0.15</v>
      </c>
    </row>
    <row r="237" spans="1:102" s="27" customFormat="1" x14ac:dyDescent="0.25">
      <c r="A237" s="31">
        <v>223</v>
      </c>
      <c r="B237" s="84" t="s">
        <v>91</v>
      </c>
      <c r="C237" s="19">
        <v>110</v>
      </c>
      <c r="D237" s="31" t="s">
        <v>26</v>
      </c>
      <c r="E237" s="19" t="s">
        <v>99</v>
      </c>
      <c r="F237" s="31" t="s">
        <v>71</v>
      </c>
      <c r="G237" s="31" t="str">
        <f t="shared" si="191"/>
        <v>Statlig 110 - 4L Cm</v>
      </c>
      <c r="H237" s="48">
        <f t="shared" si="157"/>
        <v>0.23101835849366201</v>
      </c>
      <c r="I237" s="40">
        <f t="shared" si="158"/>
        <v>0.35956484620703261</v>
      </c>
      <c r="J237" s="99">
        <f t="shared" si="159"/>
        <v>1.8744704688587764E-2</v>
      </c>
      <c r="K237" s="48">
        <f t="shared" si="160"/>
        <v>0.10854917109786023</v>
      </c>
      <c r="L237" s="48">
        <f t="shared" si="161"/>
        <v>0.2322709704205847</v>
      </c>
      <c r="M237" s="48">
        <f t="shared" si="192"/>
        <v>0.33385093403616445</v>
      </c>
      <c r="N237" s="99">
        <f t="shared" si="162"/>
        <v>1.1931573845132267E-2</v>
      </c>
      <c r="O237" s="48">
        <f t="shared" si="163"/>
        <v>6.4179231604456793E-2</v>
      </c>
      <c r="P237" s="48">
        <f t="shared" si="164"/>
        <v>0.18453359086636237</v>
      </c>
      <c r="Q237" s="48">
        <f t="shared" si="165"/>
        <v>0.39486064971499402</v>
      </c>
      <c r="R237" s="40">
        <f t="shared" si="193"/>
        <v>2.3369565382531512</v>
      </c>
      <c r="S237" s="99">
        <f t="shared" si="166"/>
        <v>2.0283675536724853E-2</v>
      </c>
      <c r="T237" s="48">
        <f t="shared" si="167"/>
        <v>0.10910469372757656</v>
      </c>
      <c r="U237" s="44">
        <v>18.651599999999998</v>
      </c>
      <c r="V237" s="19">
        <v>1.25</v>
      </c>
      <c r="W237" s="19">
        <v>0.55000000000000004</v>
      </c>
      <c r="X237" s="44">
        <v>1.6261261751304743</v>
      </c>
      <c r="Y237" s="46">
        <v>4.1855402031316276</v>
      </c>
      <c r="Z237" s="46">
        <v>29.952411920167354</v>
      </c>
      <c r="AA237" s="46">
        <v>65.862047876701027</v>
      </c>
      <c r="AB237" s="46">
        <v>1</v>
      </c>
      <c r="AC237" s="125">
        <v>1</v>
      </c>
      <c r="AD237" s="94">
        <f t="shared" si="194"/>
        <v>0.20530444632279379</v>
      </c>
      <c r="AE237" s="94">
        <f t="shared" si="195"/>
        <v>0.33385093403616445</v>
      </c>
      <c r="AF237" s="96">
        <f t="shared" si="168"/>
        <v>1.3973465062614114E-2</v>
      </c>
      <c r="AG237" s="95">
        <f t="shared" si="208"/>
        <v>9.9996406961838175E-2</v>
      </c>
      <c r="AH237" s="94">
        <f t="shared" si="196"/>
        <v>0.2198810620117122</v>
      </c>
      <c r="AI237" s="94">
        <f t="shared" si="197"/>
        <v>0.33385093403616445</v>
      </c>
      <c r="AJ237" s="96">
        <f t="shared" si="169"/>
        <v>1.1177488665551204E-2</v>
      </c>
      <c r="AK237" s="95">
        <f t="shared" si="170"/>
        <v>5.9583424219692427E-2</v>
      </c>
      <c r="AL237" s="95">
        <f t="shared" si="171"/>
        <v>0.16999389183512489</v>
      </c>
      <c r="AM237" s="94">
        <f t="shared" si="172"/>
        <v>0.37379780541991076</v>
      </c>
      <c r="AN237" s="93">
        <f t="shared" si="173"/>
        <v>2.3369565382531512</v>
      </c>
      <c r="AO237" s="96">
        <f t="shared" si="174"/>
        <v>1.9001730731437048E-2</v>
      </c>
      <c r="AP237" s="95">
        <f t="shared" si="175"/>
        <v>0.10129182117347711</v>
      </c>
      <c r="AQ237" s="93">
        <f t="shared" si="176"/>
        <v>0.34137952123298981</v>
      </c>
      <c r="AR237" s="31">
        <v>1.7</v>
      </c>
      <c r="AS237" s="31">
        <v>1.7</v>
      </c>
      <c r="AT237" s="31">
        <v>7</v>
      </c>
      <c r="AU237" s="43">
        <v>7.0000000000000007E-2</v>
      </c>
      <c r="AV237" s="44">
        <v>0.31</v>
      </c>
      <c r="AW237" s="19">
        <v>1.9E-2</v>
      </c>
      <c r="AX237" s="44">
        <v>0.13</v>
      </c>
      <c r="AY237" s="44">
        <v>6.5244820816790945</v>
      </c>
      <c r="AZ237" s="46">
        <v>0.5</v>
      </c>
      <c r="BA237" s="44">
        <v>0.72</v>
      </c>
      <c r="BB237" s="47">
        <v>1</v>
      </c>
      <c r="BC237" s="46">
        <v>36.032702923698999</v>
      </c>
      <c r="BD237" s="47">
        <v>30.217491767106104</v>
      </c>
      <c r="BE237" s="47">
        <v>33.74980530919489</v>
      </c>
      <c r="BF237" s="125">
        <v>1</v>
      </c>
      <c r="BG237" s="48">
        <f t="shared" si="198"/>
        <v>3.7835013783543846E-3</v>
      </c>
      <c r="BH237" s="48">
        <f t="shared" si="199"/>
        <v>3.7835013783543846E-3</v>
      </c>
      <c r="BI237" s="99">
        <f t="shared" si="200"/>
        <v>1.363297811776492E-3</v>
      </c>
      <c r="BJ237" s="99">
        <f t="shared" si="201"/>
        <v>1.143279217512582E-3</v>
      </c>
      <c r="BK237" s="48">
        <f t="shared" si="202"/>
        <v>1.2769243490653099E-3</v>
      </c>
      <c r="BL237" s="99">
        <f t="shared" si="177"/>
        <v>1.7988118134550478E-4</v>
      </c>
      <c r="BM237" s="48">
        <f t="shared" si="178"/>
        <v>7.060143002404584E-4</v>
      </c>
      <c r="BN237" s="48">
        <f t="shared" si="179"/>
        <v>1.9435746697713894E-3</v>
      </c>
      <c r="BO237" s="48">
        <f t="shared" si="180"/>
        <v>2.1707713934110266E-3</v>
      </c>
      <c r="BP237" s="99">
        <f t="shared" si="181"/>
        <v>3.0579800828735813E-4</v>
      </c>
      <c r="BQ237" s="48">
        <f t="shared" si="182"/>
        <v>1.2002243104087791E-3</v>
      </c>
      <c r="BR237" s="40">
        <f t="shared" si="183"/>
        <v>0.66250194690805098</v>
      </c>
      <c r="BS237" s="31">
        <v>1.7</v>
      </c>
      <c r="BT237" s="31">
        <v>1.7</v>
      </c>
      <c r="BU237" s="43">
        <v>0.13500000000000001</v>
      </c>
      <c r="BV237" s="44">
        <v>0.45</v>
      </c>
      <c r="BW237" s="19">
        <v>0.02</v>
      </c>
      <c r="BX237" s="44">
        <v>0.15</v>
      </c>
      <c r="BY237" s="44">
        <v>16.695000578259251</v>
      </c>
      <c r="BZ237" s="44">
        <v>0.52</v>
      </c>
      <c r="CA237" s="44">
        <v>0.65</v>
      </c>
      <c r="CB237" s="47">
        <v>1</v>
      </c>
      <c r="CC237" s="46">
        <v>15.539799260670925</v>
      </c>
      <c r="CD237" s="46">
        <v>33.786348047063377</v>
      </c>
      <c r="CE237" s="46">
        <v>50.673852692265697</v>
      </c>
      <c r="CF237" s="125">
        <v>1</v>
      </c>
      <c r="CG237" s="40">
        <f t="shared" si="203"/>
        <v>2.1930410792513809E-2</v>
      </c>
      <c r="CH237" s="40">
        <f t="shared" si="204"/>
        <v>2.1930410792513809E-2</v>
      </c>
      <c r="CI237" s="99">
        <f t="shared" si="205"/>
        <v>3.4079418141971574E-3</v>
      </c>
      <c r="CJ237" s="100">
        <f t="shared" si="206"/>
        <v>7.4094849185094647E-3</v>
      </c>
      <c r="CK237" s="100">
        <f t="shared" si="207"/>
        <v>1.1112984059807186E-2</v>
      </c>
      <c r="CL237" s="101">
        <f t="shared" si="184"/>
        <v>5.7420399823555825E-4</v>
      </c>
      <c r="CM237" s="100">
        <f t="shared" si="185"/>
        <v>3.8897930845239173E-3</v>
      </c>
      <c r="CN237" s="100">
        <f t="shared" si="186"/>
        <v>1.259612436146609E-2</v>
      </c>
      <c r="CO237" s="100">
        <f t="shared" si="187"/>
        <v>1.8892072901672215E-2</v>
      </c>
      <c r="CP237" s="101">
        <f t="shared" si="188"/>
        <v>9.7614679700044893E-4</v>
      </c>
      <c r="CQ237" s="100">
        <f t="shared" si="189"/>
        <v>6.6126482436906584E-3</v>
      </c>
      <c r="CR237" s="99">
        <f t="shared" si="190"/>
        <v>0.49326147307734303</v>
      </c>
      <c r="CS237" s="31">
        <v>1.7</v>
      </c>
      <c r="CT237" s="31">
        <v>1.7</v>
      </c>
      <c r="CU237" s="43">
        <v>0.04</v>
      </c>
      <c r="CV237" s="44">
        <v>0.3</v>
      </c>
      <c r="CW237" s="19">
        <v>2.5000000000000001E-2</v>
      </c>
      <c r="CX237" s="44">
        <v>0.15</v>
      </c>
    </row>
    <row r="238" spans="1:102" s="27" customFormat="1" x14ac:dyDescent="0.25">
      <c r="A238" s="31">
        <v>224</v>
      </c>
      <c r="B238" s="84" t="s">
        <v>91</v>
      </c>
      <c r="C238" s="19">
        <v>110</v>
      </c>
      <c r="D238" s="31" t="s">
        <v>26</v>
      </c>
      <c r="E238" s="19" t="s">
        <v>99</v>
      </c>
      <c r="F238" s="31" t="s">
        <v>64</v>
      </c>
      <c r="G238" s="31" t="str">
        <f t="shared" si="191"/>
        <v>Statlig 110 - 4L F</v>
      </c>
      <c r="H238" s="48">
        <f t="shared" si="157"/>
        <v>7.2140612002146678E-2</v>
      </c>
      <c r="I238" s="40">
        <f t="shared" si="158"/>
        <v>8.9159732678660758E-2</v>
      </c>
      <c r="J238" s="99">
        <f t="shared" si="159"/>
        <v>5.8121484198427878E-3</v>
      </c>
      <c r="K238" s="48">
        <f t="shared" si="160"/>
        <v>1.96097458365515E-2</v>
      </c>
      <c r="L238" s="48">
        <f t="shared" si="161"/>
        <v>6.3737838422266463E-2</v>
      </c>
      <c r="M238" s="48">
        <f t="shared" si="192"/>
        <v>0.14804024785151595</v>
      </c>
      <c r="N238" s="99">
        <f t="shared" si="162"/>
        <v>2.5036845688726104E-3</v>
      </c>
      <c r="O238" s="48">
        <f t="shared" si="163"/>
        <v>1.4698702613669724E-2</v>
      </c>
      <c r="P238" s="48">
        <f t="shared" si="164"/>
        <v>3.3336567922137551E-2</v>
      </c>
      <c r="Q238" s="48">
        <f t="shared" si="165"/>
        <v>0.108354325317853</v>
      </c>
      <c r="R238" s="40">
        <f t="shared" si="193"/>
        <v>1.0362817349606117</v>
      </c>
      <c r="S238" s="99">
        <f t="shared" si="166"/>
        <v>4.2562637670834373E-3</v>
      </c>
      <c r="T238" s="48">
        <f t="shared" si="167"/>
        <v>2.498779444323853E-2</v>
      </c>
      <c r="U238" s="44">
        <v>3.3858000000000015</v>
      </c>
      <c r="V238" s="19">
        <v>1.25</v>
      </c>
      <c r="W238" s="19">
        <v>0.45</v>
      </c>
      <c r="X238" s="44">
        <v>1.3665804534538122</v>
      </c>
      <c r="Y238" s="46">
        <v>1.6406262627516817</v>
      </c>
      <c r="Z238" s="46">
        <v>17.427439052776393</v>
      </c>
      <c r="AA238" s="46">
        <v>80.931934684471912</v>
      </c>
      <c r="AB238" s="46">
        <v>2.3333333333333326</v>
      </c>
      <c r="AC238" s="125">
        <v>1</v>
      </c>
      <c r="AD238" s="94">
        <f t="shared" si="194"/>
        <v>4.6426699831278485E-2</v>
      </c>
      <c r="AE238" s="94">
        <f t="shared" si="195"/>
        <v>6.3445820507792572E-2</v>
      </c>
      <c r="AF238" s="96">
        <f t="shared" si="168"/>
        <v>1.0409087938691374E-3</v>
      </c>
      <c r="AG238" s="95">
        <f t="shared" si="208"/>
        <v>1.1056981700529456E-2</v>
      </c>
      <c r="AH238" s="94">
        <f t="shared" si="196"/>
        <v>5.1347930013393973E-2</v>
      </c>
      <c r="AI238" s="94">
        <f t="shared" si="197"/>
        <v>0.14804024785151595</v>
      </c>
      <c r="AJ238" s="96">
        <f t="shared" si="169"/>
        <v>1.7495993892915475E-3</v>
      </c>
      <c r="AK238" s="95">
        <f t="shared" si="170"/>
        <v>1.0102895228905348E-2</v>
      </c>
      <c r="AL238" s="95">
        <f t="shared" si="171"/>
        <v>1.8796868890900074E-2</v>
      </c>
      <c r="AM238" s="94">
        <f t="shared" si="172"/>
        <v>8.7291481022769749E-2</v>
      </c>
      <c r="AN238" s="93">
        <f t="shared" si="173"/>
        <v>1.0362817349606117</v>
      </c>
      <c r="AO238" s="96">
        <f t="shared" si="174"/>
        <v>2.9743189617956302E-3</v>
      </c>
      <c r="AP238" s="95">
        <f t="shared" si="175"/>
        <v>1.7174921889139091E-2</v>
      </c>
      <c r="AQ238" s="93">
        <f t="shared" si="176"/>
        <v>0.19068065315528074</v>
      </c>
      <c r="AR238" s="31">
        <v>1.7</v>
      </c>
      <c r="AS238" s="31">
        <v>1.7</v>
      </c>
      <c r="AT238" s="31">
        <v>7</v>
      </c>
      <c r="AU238" s="43">
        <v>7.0000000000000007E-2</v>
      </c>
      <c r="AV238" s="44">
        <v>0.31</v>
      </c>
      <c r="AW238" s="19">
        <v>1.9E-2</v>
      </c>
      <c r="AX238" s="44">
        <v>0.13</v>
      </c>
      <c r="AY238" s="44">
        <v>6.5244820816790945</v>
      </c>
      <c r="AZ238" s="46">
        <v>0.5</v>
      </c>
      <c r="BA238" s="44">
        <v>0.72</v>
      </c>
      <c r="BB238" s="47">
        <v>1</v>
      </c>
      <c r="BC238" s="46">
        <v>36.032702923698999</v>
      </c>
      <c r="BD238" s="47">
        <v>30.217491767106104</v>
      </c>
      <c r="BE238" s="47">
        <v>33.74980530919489</v>
      </c>
      <c r="BF238" s="125">
        <v>1</v>
      </c>
      <c r="BG238" s="48">
        <f t="shared" si="198"/>
        <v>3.7835013783543846E-3</v>
      </c>
      <c r="BH238" s="48">
        <f t="shared" si="199"/>
        <v>3.7835013783543846E-3</v>
      </c>
      <c r="BI238" s="99">
        <f t="shared" si="200"/>
        <v>1.363297811776492E-3</v>
      </c>
      <c r="BJ238" s="99">
        <f t="shared" si="201"/>
        <v>1.143279217512582E-3</v>
      </c>
      <c r="BK238" s="48">
        <f t="shared" si="202"/>
        <v>1.2769243490653099E-3</v>
      </c>
      <c r="BL238" s="99">
        <f t="shared" si="177"/>
        <v>1.7988118134550478E-4</v>
      </c>
      <c r="BM238" s="48">
        <f t="shared" si="178"/>
        <v>7.060143002404584E-4</v>
      </c>
      <c r="BN238" s="48">
        <f t="shared" si="179"/>
        <v>1.9435746697713894E-3</v>
      </c>
      <c r="BO238" s="48">
        <f t="shared" si="180"/>
        <v>2.1707713934110266E-3</v>
      </c>
      <c r="BP238" s="99">
        <f t="shared" si="181"/>
        <v>3.0579800828735813E-4</v>
      </c>
      <c r="BQ238" s="48">
        <f t="shared" si="182"/>
        <v>1.2002243104087791E-3</v>
      </c>
      <c r="BR238" s="40">
        <f t="shared" si="183"/>
        <v>0.66250194690805098</v>
      </c>
      <c r="BS238" s="31">
        <v>1.7</v>
      </c>
      <c r="BT238" s="31">
        <v>1.7</v>
      </c>
      <c r="BU238" s="43">
        <v>0.13500000000000001</v>
      </c>
      <c r="BV238" s="44">
        <v>0.45</v>
      </c>
      <c r="BW238" s="19">
        <v>0.02</v>
      </c>
      <c r="BX238" s="44">
        <v>0.15</v>
      </c>
      <c r="BY238" s="44">
        <v>16.695000578259251</v>
      </c>
      <c r="BZ238" s="44">
        <v>0.52</v>
      </c>
      <c r="CA238" s="44">
        <v>0.65</v>
      </c>
      <c r="CB238" s="47">
        <v>1</v>
      </c>
      <c r="CC238" s="46">
        <v>15.539799260670929</v>
      </c>
      <c r="CD238" s="46">
        <v>33.78634804706337</v>
      </c>
      <c r="CE238" s="46">
        <v>50.673852692265697</v>
      </c>
      <c r="CF238" s="125">
        <v>1</v>
      </c>
      <c r="CG238" s="40">
        <f t="shared" si="203"/>
        <v>2.1930410792513809E-2</v>
      </c>
      <c r="CH238" s="40">
        <f t="shared" si="204"/>
        <v>2.1930410792513809E-2</v>
      </c>
      <c r="CI238" s="99">
        <f t="shared" si="205"/>
        <v>3.4079418141971583E-3</v>
      </c>
      <c r="CJ238" s="100">
        <f t="shared" si="206"/>
        <v>7.4094849185094638E-3</v>
      </c>
      <c r="CK238" s="100">
        <f t="shared" si="207"/>
        <v>1.1112984059807186E-2</v>
      </c>
      <c r="CL238" s="101">
        <f t="shared" si="184"/>
        <v>5.7420399823555814E-4</v>
      </c>
      <c r="CM238" s="100">
        <f t="shared" si="185"/>
        <v>3.8897930845239173E-3</v>
      </c>
      <c r="CN238" s="100">
        <f t="shared" si="186"/>
        <v>1.2596124361466088E-2</v>
      </c>
      <c r="CO238" s="100">
        <f t="shared" si="187"/>
        <v>1.8892072901672215E-2</v>
      </c>
      <c r="CP238" s="101">
        <f t="shared" si="188"/>
        <v>9.7614679700044893E-4</v>
      </c>
      <c r="CQ238" s="100">
        <f t="shared" si="189"/>
        <v>6.6126482436906584E-3</v>
      </c>
      <c r="CR238" s="99">
        <f t="shared" si="190"/>
        <v>0.49326147307734303</v>
      </c>
      <c r="CS238" s="31">
        <v>1.7</v>
      </c>
      <c r="CT238" s="31">
        <v>1.7</v>
      </c>
      <c r="CU238" s="43">
        <v>0.04</v>
      </c>
      <c r="CV238" s="44">
        <v>0.3</v>
      </c>
      <c r="CW238" s="19">
        <v>2.5000000000000001E-2</v>
      </c>
      <c r="CX238" s="44">
        <v>0.15</v>
      </c>
    </row>
    <row r="239" spans="1:102" s="55" customFormat="1" x14ac:dyDescent="0.25">
      <c r="A239" s="31">
        <v>225</v>
      </c>
      <c r="B239" s="83" t="s">
        <v>254</v>
      </c>
      <c r="C239" s="31">
        <v>40</v>
      </c>
      <c r="D239" s="31" t="s">
        <v>36</v>
      </c>
      <c r="E239" s="31" t="s">
        <v>4</v>
      </c>
      <c r="F239" s="31" t="s">
        <v>12</v>
      </c>
      <c r="G239" s="31" t="str">
        <f t="shared" si="191"/>
        <v>Kommunal 40 C 4S A</v>
      </c>
      <c r="H239" s="48">
        <f t="shared" si="157"/>
        <v>5.6420434990907084E-2</v>
      </c>
      <c r="I239" s="40">
        <f t="shared" si="158"/>
        <v>5.0862101649053845E-2</v>
      </c>
      <c r="J239" s="99">
        <f t="shared" si="159"/>
        <v>4.490771701717275E-4</v>
      </c>
      <c r="K239" s="48">
        <f t="shared" si="160"/>
        <v>8.951642443773191E-3</v>
      </c>
      <c r="L239" s="48">
        <f t="shared" si="161"/>
        <v>4.1461382035108935E-2</v>
      </c>
      <c r="M239" s="48">
        <f t="shared" si="192"/>
        <v>8.6747986806374841E-2</v>
      </c>
      <c r="N239" s="99">
        <f t="shared" si="162"/>
        <v>1.6422162308238624E-3</v>
      </c>
      <c r="O239" s="48">
        <f t="shared" si="163"/>
        <v>9.1281325024516191E-3</v>
      </c>
      <c r="P239" s="48">
        <f t="shared" si="164"/>
        <v>1.3427463665659787E-2</v>
      </c>
      <c r="Q239" s="48">
        <f t="shared" si="165"/>
        <v>6.2192073052663395E-2</v>
      </c>
      <c r="R239" s="40">
        <f t="shared" si="193"/>
        <v>0.60723590764462387</v>
      </c>
      <c r="S239" s="99">
        <f t="shared" si="166"/>
        <v>2.4633243462357938E-3</v>
      </c>
      <c r="T239" s="48">
        <f t="shared" si="167"/>
        <v>1.3692198753677429E-2</v>
      </c>
      <c r="U239" s="40">
        <v>0.40919472000000001</v>
      </c>
      <c r="V239" s="40">
        <v>1.45</v>
      </c>
      <c r="W239" s="41">
        <v>0.5</v>
      </c>
      <c r="X239" s="40">
        <v>0.81311046136052012</v>
      </c>
      <c r="Y239" s="42">
        <v>0.70351646821904235</v>
      </c>
      <c r="Z239" s="42">
        <v>12.82560934778585</v>
      </c>
      <c r="AA239" s="42">
        <v>86.470874183995122</v>
      </c>
      <c r="AB239" s="42">
        <v>3.5871559633027532</v>
      </c>
      <c r="AC239" s="125">
        <v>1.1000000000000001</v>
      </c>
      <c r="AD239" s="94">
        <f t="shared" si="194"/>
        <v>2.9741275955395073E-2</v>
      </c>
      <c r="AE239" s="94">
        <f>X239*AD239</f>
        <v>2.4182942613541831E-2</v>
      </c>
      <c r="AF239" s="96">
        <f t="shared" si="168"/>
        <v>1.7013098378622729E-4</v>
      </c>
      <c r="AG239" s="95">
        <f t="shared" ref="AG239:AG242" si="209">$AE239*Z239/100</f>
        <v>3.1016097484121087E-3</v>
      </c>
      <c r="AH239" s="94">
        <f>$AE239*AA239/100</f>
        <v>2.0911201881343499E-2</v>
      </c>
      <c r="AI239" s="94">
        <f>$AE239*AB239</f>
        <v>8.6747986806374841E-2</v>
      </c>
      <c r="AJ239" s="96">
        <f t="shared" si="169"/>
        <v>5.9661592600144262E-4</v>
      </c>
      <c r="AK239" s="95">
        <f t="shared" si="170"/>
        <v>3.5869069741300457E-3</v>
      </c>
      <c r="AL239" s="95">
        <f t="shared" si="171"/>
        <v>4.6524146226181633E-3</v>
      </c>
      <c r="AM239" s="94">
        <f t="shared" si="172"/>
        <v>3.1366802822015247E-2</v>
      </c>
      <c r="AN239" s="93">
        <f t="shared" si="173"/>
        <v>0.60723590764462387</v>
      </c>
      <c r="AO239" s="96">
        <f t="shared" si="174"/>
        <v>8.9492388900216393E-4</v>
      </c>
      <c r="AP239" s="95">
        <f t="shared" si="175"/>
        <v>5.3803604611950681E-3</v>
      </c>
      <c r="AQ239" s="93">
        <f t="shared" si="176"/>
        <v>0.13529125816004894</v>
      </c>
      <c r="AR239" s="31">
        <v>1.5</v>
      </c>
      <c r="AS239" s="31">
        <v>1.5</v>
      </c>
      <c r="AT239" s="31">
        <v>7</v>
      </c>
      <c r="AU239" s="48">
        <v>7.0999999999999994E-2</v>
      </c>
      <c r="AV239" s="40">
        <v>0.28000000000000003</v>
      </c>
      <c r="AW239" s="48">
        <v>1.7999999999999999E-2</v>
      </c>
      <c r="AX239" s="40">
        <v>0.13</v>
      </c>
      <c r="AY239" s="40">
        <v>6.316987959964214</v>
      </c>
      <c r="AZ239" s="41">
        <v>0.5</v>
      </c>
      <c r="BA239" s="40">
        <v>0.72</v>
      </c>
      <c r="BB239" s="45">
        <v>1</v>
      </c>
      <c r="BC239" s="41">
        <v>2.8979862246705492</v>
      </c>
      <c r="BD239" s="41">
        <v>22.894025067660387</v>
      </c>
      <c r="BE239" s="41">
        <v>74.207988707669074</v>
      </c>
      <c r="BF239" s="125">
        <v>1.1000000000000001</v>
      </c>
      <c r="BG239" s="48">
        <f t="shared" si="198"/>
        <v>4.0294946924222409E-3</v>
      </c>
      <c r="BH239" s="48">
        <f>BB239*BG239</f>
        <v>4.0294946924222409E-3</v>
      </c>
      <c r="BI239" s="99">
        <f>$BH239*BC239/100</f>
        <v>1.1677420111022746E-4</v>
      </c>
      <c r="BJ239" s="99">
        <f t="shared" si="201"/>
        <v>9.2251352498319257E-4</v>
      </c>
      <c r="BK239" s="48">
        <f>$BH239*BE239/100</f>
        <v>2.9902069663288212E-3</v>
      </c>
      <c r="BL239" s="99">
        <f t="shared" si="177"/>
        <v>1.8408895084846195E-4</v>
      </c>
      <c r="BM239" s="48">
        <f t="shared" si="178"/>
        <v>9.8549707375870498E-4</v>
      </c>
      <c r="BN239" s="48">
        <f t="shared" si="179"/>
        <v>1.3837702874747889E-3</v>
      </c>
      <c r="BO239" s="48">
        <f t="shared" si="180"/>
        <v>4.4853104494932319E-3</v>
      </c>
      <c r="BP239" s="99">
        <f t="shared" si="181"/>
        <v>2.7613342627269295E-4</v>
      </c>
      <c r="BQ239" s="48">
        <f t="shared" si="182"/>
        <v>1.4782456106380577E-3</v>
      </c>
      <c r="BR239" s="40">
        <f t="shared" si="183"/>
        <v>0.25792011292330935</v>
      </c>
      <c r="BS239" s="31">
        <v>1.5</v>
      </c>
      <c r="BT239" s="31">
        <v>1.5</v>
      </c>
      <c r="BU239" s="48">
        <v>0.125</v>
      </c>
      <c r="BV239" s="40">
        <v>0.42</v>
      </c>
      <c r="BW239" s="48">
        <v>2.3E-2</v>
      </c>
      <c r="BX239" s="40">
        <v>0.2</v>
      </c>
      <c r="BY239" s="40">
        <v>15.675043576489299</v>
      </c>
      <c r="BZ239" s="40">
        <v>0.52</v>
      </c>
      <c r="CA239" s="40">
        <v>0.65</v>
      </c>
      <c r="CB239" s="45">
        <v>1</v>
      </c>
      <c r="CC239" s="41">
        <v>0.71600171560489412</v>
      </c>
      <c r="CD239" s="41">
        <v>21.755373924034487</v>
      </c>
      <c r="CE239" s="41">
        <v>77.528624360360624</v>
      </c>
      <c r="CF239" s="125">
        <v>1.1000000000000001</v>
      </c>
      <c r="CG239" s="40">
        <f t="shared" si="203"/>
        <v>2.2649664343089772E-2</v>
      </c>
      <c r="CH239" s="40">
        <f>CB239*CG239</f>
        <v>2.2649664343089772E-2</v>
      </c>
      <c r="CI239" s="99">
        <f t="shared" si="205"/>
        <v>1.6217198527527274E-4</v>
      </c>
      <c r="CJ239" s="100">
        <f t="shared" si="206"/>
        <v>4.9275191703778897E-3</v>
      </c>
      <c r="CK239" s="100">
        <f t="shared" si="207"/>
        <v>1.7559973187436611E-2</v>
      </c>
      <c r="CL239" s="101">
        <f t="shared" si="184"/>
        <v>8.6151135397395781E-4</v>
      </c>
      <c r="CM239" s="100">
        <f t="shared" si="185"/>
        <v>4.5557284545628685E-3</v>
      </c>
      <c r="CN239" s="100">
        <f t="shared" si="186"/>
        <v>7.3912787555668342E-3</v>
      </c>
      <c r="CO239" s="100">
        <f t="shared" si="187"/>
        <v>2.6339959781154915E-2</v>
      </c>
      <c r="CP239" s="101">
        <f t="shared" si="188"/>
        <v>1.2922670309609367E-3</v>
      </c>
      <c r="CQ239" s="100">
        <f t="shared" si="189"/>
        <v>6.8335926818443027E-3</v>
      </c>
      <c r="CR239" s="99">
        <f t="shared" si="190"/>
        <v>0.22471375639639385</v>
      </c>
      <c r="CS239" s="31">
        <v>1.5</v>
      </c>
      <c r="CT239" s="31">
        <v>1.5</v>
      </c>
      <c r="CU239" s="48">
        <v>0.1</v>
      </c>
      <c r="CV239" s="40">
        <v>0.39</v>
      </c>
      <c r="CW239" s="48">
        <v>2.1000000000000001E-2</v>
      </c>
      <c r="CX239" s="40">
        <v>0.15</v>
      </c>
    </row>
    <row r="240" spans="1:102" x14ac:dyDescent="0.25">
      <c r="A240" s="31">
        <v>226</v>
      </c>
      <c r="B240" s="83" t="s">
        <v>254</v>
      </c>
      <c r="C240" s="31">
        <v>40</v>
      </c>
      <c r="D240" s="31" t="s">
        <v>36</v>
      </c>
      <c r="E240" s="31" t="s">
        <v>4</v>
      </c>
      <c r="F240" s="31" t="s">
        <v>13</v>
      </c>
      <c r="G240" s="31" t="str">
        <f t="shared" si="191"/>
        <v>Kommunal 40 C 4S B</v>
      </c>
      <c r="H240" s="48">
        <f t="shared" si="157"/>
        <v>5.6420434990907112E-2</v>
      </c>
      <c r="I240" s="40">
        <f t="shared" si="158"/>
        <v>5.0862101649053873E-2</v>
      </c>
      <c r="J240" s="99">
        <f t="shared" si="159"/>
        <v>4.4907717017172771E-4</v>
      </c>
      <c r="K240" s="48">
        <f t="shared" si="160"/>
        <v>8.9516424437731962E-3</v>
      </c>
      <c r="L240" s="48">
        <f t="shared" si="161"/>
        <v>4.1461382035108948E-2</v>
      </c>
      <c r="M240" s="48">
        <f t="shared" si="192"/>
        <v>8.6747986806374841E-2</v>
      </c>
      <c r="N240" s="99">
        <f t="shared" si="162"/>
        <v>1.6422162308238632E-3</v>
      </c>
      <c r="O240" s="48">
        <f t="shared" si="163"/>
        <v>9.1281325024516243E-3</v>
      </c>
      <c r="P240" s="48">
        <f t="shared" si="164"/>
        <v>1.3427463665659795E-2</v>
      </c>
      <c r="Q240" s="48">
        <f t="shared" si="165"/>
        <v>6.2192073052663423E-2</v>
      </c>
      <c r="R240" s="40">
        <f t="shared" si="193"/>
        <v>0.60723590764462387</v>
      </c>
      <c r="S240" s="99">
        <f t="shared" si="166"/>
        <v>2.4633243462357951E-3</v>
      </c>
      <c r="T240" s="48">
        <f t="shared" si="167"/>
        <v>1.3692198753677436E-2</v>
      </c>
      <c r="U240" s="40">
        <v>0.40919472000000001</v>
      </c>
      <c r="V240" s="40">
        <v>1.45</v>
      </c>
      <c r="W240" s="41">
        <v>0.5</v>
      </c>
      <c r="X240" s="40">
        <v>0.81311046136052012</v>
      </c>
      <c r="Y240" s="42">
        <v>0.70351646821904235</v>
      </c>
      <c r="Z240" s="42">
        <v>12.82560934778585</v>
      </c>
      <c r="AA240" s="42">
        <v>86.470874183995122</v>
      </c>
      <c r="AB240" s="42">
        <v>3.5871559633027532</v>
      </c>
      <c r="AC240" s="125">
        <v>1.1000000000000001</v>
      </c>
      <c r="AD240" s="94">
        <f t="shared" si="194"/>
        <v>2.9741275955395073E-2</v>
      </c>
      <c r="AE240" s="94">
        <f t="shared" ref="AE240:AE303" si="210">X240*AD240</f>
        <v>2.4182942613541831E-2</v>
      </c>
      <c r="AF240" s="96">
        <f t="shared" ref="AF240:AF303" si="211">$AE240*Y240/100</f>
        <v>1.7013098378622729E-4</v>
      </c>
      <c r="AG240" s="95">
        <f t="shared" si="209"/>
        <v>3.1016097484121087E-3</v>
      </c>
      <c r="AH240" s="94">
        <f t="shared" ref="AH240:AH243" si="212">$AE240*AA240/100</f>
        <v>2.0911201881343499E-2</v>
      </c>
      <c r="AI240" s="94">
        <f t="shared" ref="AI240:AI303" si="213">$AE240*AB240</f>
        <v>8.6747986806374841E-2</v>
      </c>
      <c r="AJ240" s="96">
        <f t="shared" si="169"/>
        <v>5.9661592600144262E-4</v>
      </c>
      <c r="AK240" s="95">
        <f t="shared" si="170"/>
        <v>3.5869069741300457E-3</v>
      </c>
      <c r="AL240" s="95">
        <f t="shared" si="171"/>
        <v>4.6524146226181633E-3</v>
      </c>
      <c r="AM240" s="94">
        <f t="shared" si="172"/>
        <v>3.1366802822015247E-2</v>
      </c>
      <c r="AN240" s="93">
        <f t="shared" si="173"/>
        <v>0.60723590764462387</v>
      </c>
      <c r="AO240" s="96">
        <f t="shared" si="174"/>
        <v>8.9492388900216393E-4</v>
      </c>
      <c r="AP240" s="95">
        <f t="shared" si="175"/>
        <v>5.3803604611950681E-3</v>
      </c>
      <c r="AQ240" s="93">
        <f t="shared" si="176"/>
        <v>0.13529125816004894</v>
      </c>
      <c r="AR240" s="31">
        <v>1.5</v>
      </c>
      <c r="AS240" s="31">
        <v>1.5</v>
      </c>
      <c r="AT240" s="31">
        <v>7</v>
      </c>
      <c r="AU240" s="43">
        <v>7.0999999999999994E-2</v>
      </c>
      <c r="AV240" s="44">
        <v>0.28000000000000003</v>
      </c>
      <c r="AW240" s="43">
        <v>1.7999999999999999E-2</v>
      </c>
      <c r="AX240" s="44">
        <v>0.13</v>
      </c>
      <c r="AY240" s="40">
        <v>6.316987959964214</v>
      </c>
      <c r="AZ240" s="41">
        <v>0.5</v>
      </c>
      <c r="BA240" s="40">
        <v>0.72</v>
      </c>
      <c r="BB240" s="45">
        <v>1</v>
      </c>
      <c r="BC240" s="41">
        <v>2.8979862246705492</v>
      </c>
      <c r="BD240" s="41">
        <v>22.894025067660387</v>
      </c>
      <c r="BE240" s="41">
        <v>74.207988707669074</v>
      </c>
      <c r="BF240" s="125">
        <v>1.1000000000000001</v>
      </c>
      <c r="BG240" s="48">
        <f t="shared" si="198"/>
        <v>4.0294946924222409E-3</v>
      </c>
      <c r="BH240" s="48">
        <f t="shared" ref="BH240:BH303" si="214">BB240*BG240</f>
        <v>4.0294946924222409E-3</v>
      </c>
      <c r="BI240" s="99">
        <f t="shared" ref="BI240:BI303" si="215">$BH240*BC240/100</f>
        <v>1.1677420111022746E-4</v>
      </c>
      <c r="BJ240" s="99">
        <f t="shared" si="201"/>
        <v>9.2251352498319257E-4</v>
      </c>
      <c r="BK240" s="48">
        <f t="shared" ref="BK240:BK303" si="216">$BH240*BE240/100</f>
        <v>2.9902069663288212E-3</v>
      </c>
      <c r="BL240" s="99">
        <f t="shared" si="177"/>
        <v>1.8408895084846195E-4</v>
      </c>
      <c r="BM240" s="48">
        <f t="shared" si="178"/>
        <v>9.8549707375870498E-4</v>
      </c>
      <c r="BN240" s="48">
        <f t="shared" si="179"/>
        <v>1.3837702874747889E-3</v>
      </c>
      <c r="BO240" s="48">
        <f t="shared" si="180"/>
        <v>4.4853104494932319E-3</v>
      </c>
      <c r="BP240" s="99">
        <f t="shared" si="181"/>
        <v>2.7613342627269295E-4</v>
      </c>
      <c r="BQ240" s="48">
        <f t="shared" si="182"/>
        <v>1.4782456106380577E-3</v>
      </c>
      <c r="BR240" s="40">
        <f t="shared" si="183"/>
        <v>0.25792011292330935</v>
      </c>
      <c r="BS240" s="31">
        <v>1.5</v>
      </c>
      <c r="BT240" s="31">
        <v>1.5</v>
      </c>
      <c r="BU240" s="43">
        <v>0.125</v>
      </c>
      <c r="BV240" s="44">
        <v>0.42</v>
      </c>
      <c r="BW240" s="43">
        <v>2.3E-2</v>
      </c>
      <c r="BX240" s="44">
        <v>0.2</v>
      </c>
      <c r="BY240" s="40">
        <v>15.675043576489315</v>
      </c>
      <c r="BZ240" s="40">
        <v>0.52</v>
      </c>
      <c r="CA240" s="40">
        <v>0.65</v>
      </c>
      <c r="CB240" s="45">
        <v>1</v>
      </c>
      <c r="CC240" s="41">
        <v>0.71600171560489412</v>
      </c>
      <c r="CD240" s="41">
        <v>21.755373924034487</v>
      </c>
      <c r="CE240" s="41">
        <v>77.528624360360624</v>
      </c>
      <c r="CF240" s="125">
        <v>1.1000000000000001</v>
      </c>
      <c r="CG240" s="40">
        <f t="shared" si="203"/>
        <v>2.2649664343089796E-2</v>
      </c>
      <c r="CH240" s="40">
        <f t="shared" ref="CH240:CH303" si="217">CB240*CG240</f>
        <v>2.2649664343089796E-2</v>
      </c>
      <c r="CI240" s="99">
        <f t="shared" si="205"/>
        <v>1.6217198527527293E-4</v>
      </c>
      <c r="CJ240" s="100">
        <f t="shared" si="206"/>
        <v>4.9275191703778949E-3</v>
      </c>
      <c r="CK240" s="100">
        <f t="shared" si="207"/>
        <v>1.7559973187436628E-2</v>
      </c>
      <c r="CL240" s="101">
        <f t="shared" si="184"/>
        <v>8.6151135397395879E-4</v>
      </c>
      <c r="CM240" s="100">
        <f t="shared" si="185"/>
        <v>4.5557284545628737E-3</v>
      </c>
      <c r="CN240" s="100">
        <f t="shared" si="186"/>
        <v>7.3912787555668429E-3</v>
      </c>
      <c r="CO240" s="100">
        <f t="shared" si="187"/>
        <v>2.6339959781154942E-2</v>
      </c>
      <c r="CP240" s="101">
        <f t="shared" si="188"/>
        <v>1.2922670309609382E-3</v>
      </c>
      <c r="CQ240" s="100">
        <f t="shared" si="189"/>
        <v>6.8335926818443105E-3</v>
      </c>
      <c r="CR240" s="99">
        <f t="shared" si="190"/>
        <v>0.22471375639639382</v>
      </c>
      <c r="CS240" s="31">
        <v>1.5</v>
      </c>
      <c r="CT240" s="31">
        <v>1.5</v>
      </c>
      <c r="CU240" s="43">
        <v>0.1</v>
      </c>
      <c r="CV240" s="44">
        <v>0.39</v>
      </c>
      <c r="CW240" s="43">
        <v>2.1000000000000001E-2</v>
      </c>
      <c r="CX240" s="44">
        <v>0.15</v>
      </c>
    </row>
    <row r="241" spans="1:102" x14ac:dyDescent="0.25">
      <c r="A241" s="31">
        <v>227</v>
      </c>
      <c r="B241" s="83" t="s">
        <v>254</v>
      </c>
      <c r="C241" s="31">
        <v>40</v>
      </c>
      <c r="D241" s="31" t="s">
        <v>36</v>
      </c>
      <c r="E241" s="31" t="s">
        <v>4</v>
      </c>
      <c r="F241" s="31" t="s">
        <v>70</v>
      </c>
      <c r="G241" s="31" t="str">
        <f t="shared" si="191"/>
        <v>Kommunal 40 C 4S Ck</v>
      </c>
      <c r="H241" s="48">
        <f t="shared" si="157"/>
        <v>5.3446307395367612E-2</v>
      </c>
      <c r="I241" s="40">
        <f t="shared" si="158"/>
        <v>4.8443807387699697E-2</v>
      </c>
      <c r="J241" s="99">
        <f t="shared" si="159"/>
        <v>4.3206407179310501E-4</v>
      </c>
      <c r="K241" s="48">
        <f t="shared" si="160"/>
        <v>8.6414814689319865E-3</v>
      </c>
      <c r="L241" s="48">
        <f t="shared" si="161"/>
        <v>3.9370261846974605E-2</v>
      </c>
      <c r="M241" s="48">
        <f t="shared" si="192"/>
        <v>7.8073188125737381E-2</v>
      </c>
      <c r="N241" s="99">
        <f t="shared" si="162"/>
        <v>1.582554638223719E-3</v>
      </c>
      <c r="O241" s="48">
        <f t="shared" si="163"/>
        <v>8.7694418050386202E-3</v>
      </c>
      <c r="P241" s="48">
        <f t="shared" si="164"/>
        <v>1.2962222203397978E-2</v>
      </c>
      <c r="Q241" s="48">
        <f t="shared" si="165"/>
        <v>5.9055392770461901E-2</v>
      </c>
      <c r="R241" s="40">
        <f t="shared" si="193"/>
        <v>0.54651231688016166</v>
      </c>
      <c r="S241" s="99">
        <f t="shared" si="166"/>
        <v>2.3738319573355787E-3</v>
      </c>
      <c r="T241" s="48">
        <f t="shared" si="167"/>
        <v>1.3154162707557929E-2</v>
      </c>
      <c r="U241" s="40">
        <v>0.36827524800000006</v>
      </c>
      <c r="V241" s="40">
        <v>1.45</v>
      </c>
      <c r="W241" s="41">
        <v>0.5</v>
      </c>
      <c r="X241" s="40">
        <v>0.81311046136052023</v>
      </c>
      <c r="Y241" s="42">
        <v>0.70351646821904235</v>
      </c>
      <c r="Z241" s="42">
        <v>12.825609347785846</v>
      </c>
      <c r="AA241" s="42">
        <v>86.470874183995107</v>
      </c>
      <c r="AB241" s="42">
        <v>3.5871559633027528</v>
      </c>
      <c r="AC241" s="125">
        <v>1.1000000000000001</v>
      </c>
      <c r="AD241" s="94">
        <f t="shared" si="194"/>
        <v>2.676714835985557E-2</v>
      </c>
      <c r="AE241" s="94">
        <f t="shared" si="210"/>
        <v>2.1764648352187655E-2</v>
      </c>
      <c r="AF241" s="96">
        <f t="shared" si="211"/>
        <v>1.5311788540760458E-4</v>
      </c>
      <c r="AG241" s="95">
        <f t="shared" si="209"/>
        <v>2.7914487735708981E-3</v>
      </c>
      <c r="AH241" s="94">
        <f t="shared" si="212"/>
        <v>1.8820081693209152E-2</v>
      </c>
      <c r="AI241" s="94">
        <f t="shared" si="213"/>
        <v>7.8073188125737381E-2</v>
      </c>
      <c r="AJ241" s="96">
        <f t="shared" si="169"/>
        <v>5.369543334012984E-4</v>
      </c>
      <c r="AK241" s="95">
        <f t="shared" si="170"/>
        <v>3.2282162767170415E-3</v>
      </c>
      <c r="AL241" s="95">
        <f t="shared" si="171"/>
        <v>4.1871731603563469E-3</v>
      </c>
      <c r="AM241" s="94">
        <f t="shared" si="172"/>
        <v>2.8230122539813728E-2</v>
      </c>
      <c r="AN241" s="93">
        <f t="shared" si="173"/>
        <v>0.54651231688016166</v>
      </c>
      <c r="AO241" s="96">
        <f t="shared" si="174"/>
        <v>8.0543150010194771E-4</v>
      </c>
      <c r="AP241" s="95">
        <f t="shared" si="175"/>
        <v>4.8423244150755619E-3</v>
      </c>
      <c r="AQ241" s="93">
        <f t="shared" si="176"/>
        <v>0.13529125816004889</v>
      </c>
      <c r="AR241" s="31">
        <v>1.5</v>
      </c>
      <c r="AS241" s="31">
        <v>1.5</v>
      </c>
      <c r="AT241" s="31">
        <v>7</v>
      </c>
      <c r="AU241" s="43">
        <v>7.0999999999999994E-2</v>
      </c>
      <c r="AV241" s="44">
        <v>0.28000000000000003</v>
      </c>
      <c r="AW241" s="43">
        <v>1.7999999999999999E-2</v>
      </c>
      <c r="AX241" s="44">
        <v>0.13</v>
      </c>
      <c r="AY241" s="40">
        <v>6.316987959964214</v>
      </c>
      <c r="AZ241" s="41">
        <v>0.5</v>
      </c>
      <c r="BA241" s="40">
        <v>0.72</v>
      </c>
      <c r="BB241" s="45">
        <v>1</v>
      </c>
      <c r="BC241" s="41">
        <v>2.8979862246705492</v>
      </c>
      <c r="BD241" s="41">
        <v>22.894025067660387</v>
      </c>
      <c r="BE241" s="41">
        <v>74.207988707669074</v>
      </c>
      <c r="BF241" s="125">
        <v>1.1000000000000001</v>
      </c>
      <c r="BG241" s="48">
        <f t="shared" si="198"/>
        <v>4.0294946924222409E-3</v>
      </c>
      <c r="BH241" s="48">
        <f t="shared" si="214"/>
        <v>4.0294946924222409E-3</v>
      </c>
      <c r="BI241" s="99">
        <f t="shared" si="215"/>
        <v>1.1677420111022746E-4</v>
      </c>
      <c r="BJ241" s="99">
        <f t="shared" si="201"/>
        <v>9.2251352498319257E-4</v>
      </c>
      <c r="BK241" s="48">
        <f t="shared" si="216"/>
        <v>2.9902069663288212E-3</v>
      </c>
      <c r="BL241" s="99">
        <f t="shared" si="177"/>
        <v>1.8408895084846195E-4</v>
      </c>
      <c r="BM241" s="48">
        <f t="shared" si="178"/>
        <v>9.8549707375870498E-4</v>
      </c>
      <c r="BN241" s="48">
        <f t="shared" si="179"/>
        <v>1.3837702874747889E-3</v>
      </c>
      <c r="BO241" s="48">
        <f t="shared" si="180"/>
        <v>4.4853104494932319E-3</v>
      </c>
      <c r="BP241" s="99">
        <f t="shared" si="181"/>
        <v>2.7613342627269295E-4</v>
      </c>
      <c r="BQ241" s="48">
        <f t="shared" si="182"/>
        <v>1.4782456106380577E-3</v>
      </c>
      <c r="BR241" s="40">
        <f t="shared" si="183"/>
        <v>0.25792011292330935</v>
      </c>
      <c r="BS241" s="31">
        <v>1.5</v>
      </c>
      <c r="BT241" s="31">
        <v>1.5</v>
      </c>
      <c r="BU241" s="43">
        <v>0.125</v>
      </c>
      <c r="BV241" s="44">
        <v>0.42</v>
      </c>
      <c r="BW241" s="43">
        <v>2.3E-2</v>
      </c>
      <c r="BX241" s="44">
        <v>0.2</v>
      </c>
      <c r="BY241" s="40">
        <v>15.675043576489315</v>
      </c>
      <c r="BZ241" s="40">
        <v>0.52</v>
      </c>
      <c r="CA241" s="40">
        <v>0.65</v>
      </c>
      <c r="CB241" s="45">
        <v>1</v>
      </c>
      <c r="CC241" s="41">
        <v>0.71600171560489412</v>
      </c>
      <c r="CD241" s="41">
        <v>21.755373924034487</v>
      </c>
      <c r="CE241" s="41">
        <v>77.528624360360624</v>
      </c>
      <c r="CF241" s="125">
        <v>1.1000000000000001</v>
      </c>
      <c r="CG241" s="40">
        <f t="shared" si="203"/>
        <v>2.2649664343089796E-2</v>
      </c>
      <c r="CH241" s="40">
        <f t="shared" si="217"/>
        <v>2.2649664343089796E-2</v>
      </c>
      <c r="CI241" s="99">
        <f t="shared" si="205"/>
        <v>1.6217198527527293E-4</v>
      </c>
      <c r="CJ241" s="100">
        <f t="shared" si="206"/>
        <v>4.9275191703778949E-3</v>
      </c>
      <c r="CK241" s="100">
        <f t="shared" si="207"/>
        <v>1.7559973187436628E-2</v>
      </c>
      <c r="CL241" s="101">
        <f t="shared" si="184"/>
        <v>8.6151135397395879E-4</v>
      </c>
      <c r="CM241" s="100">
        <f t="shared" si="185"/>
        <v>4.5557284545628737E-3</v>
      </c>
      <c r="CN241" s="100">
        <f t="shared" si="186"/>
        <v>7.3912787555668429E-3</v>
      </c>
      <c r="CO241" s="100">
        <f t="shared" si="187"/>
        <v>2.6339959781154942E-2</v>
      </c>
      <c r="CP241" s="101">
        <f t="shared" si="188"/>
        <v>1.2922670309609382E-3</v>
      </c>
      <c r="CQ241" s="100">
        <f t="shared" si="189"/>
        <v>6.8335926818443105E-3</v>
      </c>
      <c r="CR241" s="99">
        <f t="shared" si="190"/>
        <v>0.22471375639639382</v>
      </c>
      <c r="CS241" s="31">
        <v>1.5</v>
      </c>
      <c r="CT241" s="31">
        <v>1.5</v>
      </c>
      <c r="CU241" s="43">
        <v>0.1</v>
      </c>
      <c r="CV241" s="44">
        <v>0.39</v>
      </c>
      <c r="CW241" s="43">
        <v>2.1000000000000001E-2</v>
      </c>
      <c r="CX241" s="44">
        <v>0.15</v>
      </c>
    </row>
    <row r="242" spans="1:102" x14ac:dyDescent="0.25">
      <c r="A242" s="31">
        <v>228</v>
      </c>
      <c r="B242" s="83" t="s">
        <v>254</v>
      </c>
      <c r="C242" s="31">
        <v>40</v>
      </c>
      <c r="D242" s="31" t="s">
        <v>36</v>
      </c>
      <c r="E242" s="31" t="s">
        <v>4</v>
      </c>
      <c r="F242" s="31" t="s">
        <v>71</v>
      </c>
      <c r="G242" s="31" t="str">
        <f t="shared" si="191"/>
        <v>Kommunal 40 C 4S Cm</v>
      </c>
      <c r="H242" s="48">
        <f t="shared" si="157"/>
        <v>5.3446307395367612E-2</v>
      </c>
      <c r="I242" s="40">
        <f t="shared" si="158"/>
        <v>4.8443807387699697E-2</v>
      </c>
      <c r="J242" s="99">
        <f t="shared" si="159"/>
        <v>4.3206407179310501E-4</v>
      </c>
      <c r="K242" s="48">
        <f t="shared" si="160"/>
        <v>8.6414814689319865E-3</v>
      </c>
      <c r="L242" s="48">
        <f t="shared" si="161"/>
        <v>3.9370261846974605E-2</v>
      </c>
      <c r="M242" s="48">
        <f t="shared" si="192"/>
        <v>7.8073188125737381E-2</v>
      </c>
      <c r="N242" s="99">
        <f t="shared" si="162"/>
        <v>1.582554638223719E-3</v>
      </c>
      <c r="O242" s="48">
        <f t="shared" si="163"/>
        <v>8.7694418050386202E-3</v>
      </c>
      <c r="P242" s="48">
        <f t="shared" si="164"/>
        <v>1.2962222203397978E-2</v>
      </c>
      <c r="Q242" s="48">
        <f t="shared" si="165"/>
        <v>5.9055392770461901E-2</v>
      </c>
      <c r="R242" s="40">
        <f t="shared" si="193"/>
        <v>0.54651231688016166</v>
      </c>
      <c r="S242" s="99">
        <f t="shared" si="166"/>
        <v>2.3738319573355787E-3</v>
      </c>
      <c r="T242" s="48">
        <f t="shared" si="167"/>
        <v>1.3154162707557929E-2</v>
      </c>
      <c r="U242" s="40">
        <v>0.36827524800000006</v>
      </c>
      <c r="V242" s="40">
        <v>1.45</v>
      </c>
      <c r="W242" s="41">
        <v>0.5</v>
      </c>
      <c r="X242" s="40">
        <v>0.81311046136052023</v>
      </c>
      <c r="Y242" s="42">
        <v>0.70351646821904235</v>
      </c>
      <c r="Z242" s="42">
        <v>12.825609347785846</v>
      </c>
      <c r="AA242" s="42">
        <v>86.470874183995107</v>
      </c>
      <c r="AB242" s="42">
        <v>3.5871559633027528</v>
      </c>
      <c r="AC242" s="125">
        <v>1.1000000000000001</v>
      </c>
      <c r="AD242" s="94">
        <f t="shared" si="194"/>
        <v>2.676714835985557E-2</v>
      </c>
      <c r="AE242" s="94">
        <f t="shared" si="210"/>
        <v>2.1764648352187655E-2</v>
      </c>
      <c r="AF242" s="96">
        <f t="shared" si="211"/>
        <v>1.5311788540760458E-4</v>
      </c>
      <c r="AG242" s="95">
        <f t="shared" si="209"/>
        <v>2.7914487735708981E-3</v>
      </c>
      <c r="AH242" s="94">
        <f t="shared" si="212"/>
        <v>1.8820081693209152E-2</v>
      </c>
      <c r="AI242" s="94">
        <f t="shared" si="213"/>
        <v>7.8073188125737381E-2</v>
      </c>
      <c r="AJ242" s="96">
        <f t="shared" si="169"/>
        <v>5.369543334012984E-4</v>
      </c>
      <c r="AK242" s="95">
        <f t="shared" si="170"/>
        <v>3.2282162767170415E-3</v>
      </c>
      <c r="AL242" s="95">
        <f t="shared" si="171"/>
        <v>4.1871731603563469E-3</v>
      </c>
      <c r="AM242" s="94">
        <f t="shared" si="172"/>
        <v>2.8230122539813728E-2</v>
      </c>
      <c r="AN242" s="93">
        <f t="shared" si="173"/>
        <v>0.54651231688016166</v>
      </c>
      <c r="AO242" s="96">
        <f t="shared" si="174"/>
        <v>8.0543150010194771E-4</v>
      </c>
      <c r="AP242" s="95">
        <f t="shared" si="175"/>
        <v>4.8423244150755619E-3</v>
      </c>
      <c r="AQ242" s="93">
        <f t="shared" si="176"/>
        <v>0.13529125816004889</v>
      </c>
      <c r="AR242" s="31">
        <v>1.5</v>
      </c>
      <c r="AS242" s="31">
        <v>1.5</v>
      </c>
      <c r="AT242" s="31">
        <v>7</v>
      </c>
      <c r="AU242" s="43">
        <v>7.0999999999999994E-2</v>
      </c>
      <c r="AV242" s="44">
        <v>0.28000000000000003</v>
      </c>
      <c r="AW242" s="43">
        <v>1.7999999999999999E-2</v>
      </c>
      <c r="AX242" s="44">
        <v>0.13</v>
      </c>
      <c r="AY242" s="40">
        <v>6.316987959964214</v>
      </c>
      <c r="AZ242" s="41">
        <v>0.5</v>
      </c>
      <c r="BA242" s="40">
        <v>0.72</v>
      </c>
      <c r="BB242" s="45">
        <v>1</v>
      </c>
      <c r="BC242" s="41">
        <v>2.8979862246705492</v>
      </c>
      <c r="BD242" s="41">
        <v>22.894025067660387</v>
      </c>
      <c r="BE242" s="41">
        <v>74.207988707669074</v>
      </c>
      <c r="BF242" s="125">
        <v>1.1000000000000001</v>
      </c>
      <c r="BG242" s="48">
        <f t="shared" si="198"/>
        <v>4.0294946924222409E-3</v>
      </c>
      <c r="BH242" s="48">
        <f t="shared" si="214"/>
        <v>4.0294946924222409E-3</v>
      </c>
      <c r="BI242" s="99">
        <f t="shared" si="215"/>
        <v>1.1677420111022746E-4</v>
      </c>
      <c r="BJ242" s="99">
        <f t="shared" si="201"/>
        <v>9.2251352498319257E-4</v>
      </c>
      <c r="BK242" s="48">
        <f t="shared" si="216"/>
        <v>2.9902069663288212E-3</v>
      </c>
      <c r="BL242" s="99">
        <f t="shared" si="177"/>
        <v>1.8408895084846195E-4</v>
      </c>
      <c r="BM242" s="48">
        <f t="shared" si="178"/>
        <v>9.8549707375870498E-4</v>
      </c>
      <c r="BN242" s="48">
        <f t="shared" si="179"/>
        <v>1.3837702874747889E-3</v>
      </c>
      <c r="BO242" s="48">
        <f t="shared" si="180"/>
        <v>4.4853104494932319E-3</v>
      </c>
      <c r="BP242" s="99">
        <f t="shared" si="181"/>
        <v>2.7613342627269295E-4</v>
      </c>
      <c r="BQ242" s="48">
        <f t="shared" si="182"/>
        <v>1.4782456106380577E-3</v>
      </c>
      <c r="BR242" s="40">
        <f t="shared" si="183"/>
        <v>0.25792011292330935</v>
      </c>
      <c r="BS242" s="31">
        <v>1.5</v>
      </c>
      <c r="BT242" s="31">
        <v>1.5</v>
      </c>
      <c r="BU242" s="43">
        <v>0.125</v>
      </c>
      <c r="BV242" s="44">
        <v>0.42</v>
      </c>
      <c r="BW242" s="43">
        <v>2.3E-2</v>
      </c>
      <c r="BX242" s="44">
        <v>0.2</v>
      </c>
      <c r="BY242" s="40">
        <v>15.675043576489315</v>
      </c>
      <c r="BZ242" s="40">
        <v>0.52</v>
      </c>
      <c r="CA242" s="40">
        <v>0.65</v>
      </c>
      <c r="CB242" s="45">
        <v>1</v>
      </c>
      <c r="CC242" s="41">
        <v>0.71600171560489412</v>
      </c>
      <c r="CD242" s="41">
        <v>21.755373924034487</v>
      </c>
      <c r="CE242" s="41">
        <v>77.528624360360624</v>
      </c>
      <c r="CF242" s="125">
        <v>1.1000000000000001</v>
      </c>
      <c r="CG242" s="40">
        <f t="shared" si="203"/>
        <v>2.2649664343089796E-2</v>
      </c>
      <c r="CH242" s="40">
        <f t="shared" si="217"/>
        <v>2.2649664343089796E-2</v>
      </c>
      <c r="CI242" s="99">
        <f t="shared" si="205"/>
        <v>1.6217198527527293E-4</v>
      </c>
      <c r="CJ242" s="100">
        <f t="shared" si="206"/>
        <v>4.9275191703778949E-3</v>
      </c>
      <c r="CK242" s="100">
        <f t="shared" si="207"/>
        <v>1.7559973187436628E-2</v>
      </c>
      <c r="CL242" s="101">
        <f t="shared" si="184"/>
        <v>8.6151135397395879E-4</v>
      </c>
      <c r="CM242" s="100">
        <f t="shared" si="185"/>
        <v>4.5557284545628737E-3</v>
      </c>
      <c r="CN242" s="100">
        <f t="shared" si="186"/>
        <v>7.3912787555668429E-3</v>
      </c>
      <c r="CO242" s="100">
        <f t="shared" si="187"/>
        <v>2.6339959781154942E-2</v>
      </c>
      <c r="CP242" s="101">
        <f t="shared" si="188"/>
        <v>1.2922670309609382E-3</v>
      </c>
      <c r="CQ242" s="100">
        <f t="shared" si="189"/>
        <v>6.8335926818443105E-3</v>
      </c>
      <c r="CR242" s="99">
        <f t="shared" si="190"/>
        <v>0.22471375639639382</v>
      </c>
      <c r="CS242" s="31">
        <v>1.5</v>
      </c>
      <c r="CT242" s="31">
        <v>1.5</v>
      </c>
      <c r="CU242" s="43">
        <v>0.1</v>
      </c>
      <c r="CV242" s="44">
        <v>0.39</v>
      </c>
      <c r="CW242" s="43">
        <v>2.1000000000000001E-2</v>
      </c>
      <c r="CX242" s="44">
        <v>0.15</v>
      </c>
    </row>
    <row r="243" spans="1:102" x14ac:dyDescent="0.25">
      <c r="A243" s="31">
        <v>229</v>
      </c>
      <c r="B243" s="83" t="s">
        <v>254</v>
      </c>
      <c r="C243" s="31">
        <v>40</v>
      </c>
      <c r="D243" s="31" t="s">
        <v>36</v>
      </c>
      <c r="E243" s="31" t="s">
        <v>4</v>
      </c>
      <c r="F243" s="31" t="s">
        <v>0</v>
      </c>
      <c r="G243" s="31" t="str">
        <f t="shared" si="191"/>
        <v>Kommunal 40 C 4S D</v>
      </c>
      <c r="H243" s="48">
        <f t="shared" si="157"/>
        <v>5.6555932353833008E-2</v>
      </c>
      <c r="I243" s="40">
        <f t="shared" si="158"/>
        <v>5.9485441970992203E-2</v>
      </c>
      <c r="J243" s="99">
        <f t="shared" si="159"/>
        <v>2.7894618638550037E-4</v>
      </c>
      <c r="K243" s="48">
        <f t="shared" si="160"/>
        <v>9.1877790360219251E-3</v>
      </c>
      <c r="L243" s="48">
        <f t="shared" si="161"/>
        <v>5.0018716748584782E-2</v>
      </c>
      <c r="M243" s="48">
        <f t="shared" si="192"/>
        <v>0.16870651150850113</v>
      </c>
      <c r="N243" s="99">
        <f t="shared" si="162"/>
        <v>1.8130139537160879E-3</v>
      </c>
      <c r="O243" s="48">
        <f t="shared" si="163"/>
        <v>1.0306704261033126E-2</v>
      </c>
      <c r="P243" s="48">
        <f t="shared" si="164"/>
        <v>1.3781668554032886E-2</v>
      </c>
      <c r="Q243" s="48">
        <f t="shared" si="165"/>
        <v>7.502807512287718E-2</v>
      </c>
      <c r="R243" s="40">
        <f t="shared" si="193"/>
        <v>1.1809455805595079</v>
      </c>
      <c r="S243" s="99">
        <f t="shared" si="166"/>
        <v>2.7195209305741321E-3</v>
      </c>
      <c r="T243" s="48">
        <f t="shared" si="167"/>
        <v>1.5460056391549688E-2</v>
      </c>
      <c r="U243" s="40">
        <v>1.1222406360000008</v>
      </c>
      <c r="V243" s="40">
        <v>1.2</v>
      </c>
      <c r="W243" s="45">
        <v>0</v>
      </c>
      <c r="X243" s="40">
        <v>1.0980530790907985</v>
      </c>
      <c r="Y243" s="42">
        <v>0</v>
      </c>
      <c r="Z243" s="42">
        <v>10.174107036829358</v>
      </c>
      <c r="AA243" s="42">
        <v>89.825892963170645</v>
      </c>
      <c r="AB243" s="42">
        <v>5.1425061425061411</v>
      </c>
      <c r="AC243" s="125">
        <v>1.1000000000000001</v>
      </c>
      <c r="AD243" s="94">
        <f t="shared" si="194"/>
        <v>2.9876773318320976E-2</v>
      </c>
      <c r="AE243" s="94">
        <f t="shared" si="210"/>
        <v>3.2806282935480165E-2</v>
      </c>
      <c r="AF243" s="96">
        <f t="shared" si="211"/>
        <v>0</v>
      </c>
      <c r="AG243" s="95">
        <f>$AE243*Z243/100</f>
        <v>3.3377463406608367E-3</v>
      </c>
      <c r="AH243" s="94">
        <f t="shared" si="212"/>
        <v>2.9468536594819329E-2</v>
      </c>
      <c r="AI243" s="94">
        <f t="shared" si="213"/>
        <v>0.16870651150850113</v>
      </c>
      <c r="AJ243" s="96">
        <f t="shared" si="169"/>
        <v>7.6741364889366731E-4</v>
      </c>
      <c r="AK243" s="95">
        <f t="shared" si="170"/>
        <v>4.7654787327115478E-3</v>
      </c>
      <c r="AL243" s="95">
        <f t="shared" si="171"/>
        <v>5.0066195109912549E-3</v>
      </c>
      <c r="AM243" s="94">
        <f t="shared" si="172"/>
        <v>4.4202804892228997E-2</v>
      </c>
      <c r="AN243" s="93">
        <f t="shared" si="173"/>
        <v>1.1809455805595079</v>
      </c>
      <c r="AO243" s="96">
        <f t="shared" si="174"/>
        <v>1.151120473340501E-3</v>
      </c>
      <c r="AP243" s="95">
        <f t="shared" si="175"/>
        <v>7.1482180990673216E-3</v>
      </c>
      <c r="AQ243" s="93">
        <f t="shared" si="176"/>
        <v>0.10174107036829359</v>
      </c>
      <c r="AR243" s="31">
        <v>1.5</v>
      </c>
      <c r="AS243" s="31">
        <v>1.5</v>
      </c>
      <c r="AT243" s="31">
        <v>7</v>
      </c>
      <c r="AU243" s="43">
        <v>7.0999999999999994E-2</v>
      </c>
      <c r="AV243" s="44">
        <v>0.28000000000000003</v>
      </c>
      <c r="AW243" s="43">
        <v>1.7999999999999999E-2</v>
      </c>
      <c r="AX243" s="44">
        <v>0.13</v>
      </c>
      <c r="AY243" s="40">
        <v>6.316987959964214</v>
      </c>
      <c r="AZ243" s="41">
        <v>0.5</v>
      </c>
      <c r="BA243" s="40">
        <v>0.72</v>
      </c>
      <c r="BB243" s="45">
        <v>1</v>
      </c>
      <c r="BC243" s="41">
        <v>2.8979862246705492</v>
      </c>
      <c r="BD243" s="41">
        <v>22.894025067660387</v>
      </c>
      <c r="BE243" s="41">
        <v>74.207988707669074</v>
      </c>
      <c r="BF243" s="125">
        <v>1.1000000000000001</v>
      </c>
      <c r="BG243" s="48">
        <f t="shared" si="198"/>
        <v>4.0294946924222409E-3</v>
      </c>
      <c r="BH243" s="48">
        <f t="shared" si="214"/>
        <v>4.0294946924222409E-3</v>
      </c>
      <c r="BI243" s="99">
        <f t="shared" si="215"/>
        <v>1.1677420111022746E-4</v>
      </c>
      <c r="BJ243" s="99">
        <f t="shared" si="201"/>
        <v>9.2251352498319257E-4</v>
      </c>
      <c r="BK243" s="48">
        <f t="shared" si="216"/>
        <v>2.9902069663288212E-3</v>
      </c>
      <c r="BL243" s="99">
        <f t="shared" si="177"/>
        <v>1.8408895084846195E-4</v>
      </c>
      <c r="BM243" s="48">
        <f t="shared" si="178"/>
        <v>9.8549707375870498E-4</v>
      </c>
      <c r="BN243" s="48">
        <f t="shared" si="179"/>
        <v>1.3837702874747889E-3</v>
      </c>
      <c r="BO243" s="48">
        <f t="shared" si="180"/>
        <v>4.4853104494932319E-3</v>
      </c>
      <c r="BP243" s="99">
        <f t="shared" si="181"/>
        <v>2.7613342627269295E-4</v>
      </c>
      <c r="BQ243" s="48">
        <f t="shared" si="182"/>
        <v>1.4782456106380577E-3</v>
      </c>
      <c r="BR243" s="40">
        <f t="shared" si="183"/>
        <v>0.25792011292330935</v>
      </c>
      <c r="BS243" s="31">
        <v>1.5</v>
      </c>
      <c r="BT243" s="31">
        <v>1.5</v>
      </c>
      <c r="BU243" s="43">
        <v>0.125</v>
      </c>
      <c r="BV243" s="44">
        <v>0.42</v>
      </c>
      <c r="BW243" s="43">
        <v>2.3E-2</v>
      </c>
      <c r="BX243" s="44">
        <v>0.2</v>
      </c>
      <c r="BY243" s="40">
        <v>15.675043576489315</v>
      </c>
      <c r="BZ243" s="40">
        <v>0.52</v>
      </c>
      <c r="CA243" s="40">
        <v>0.65</v>
      </c>
      <c r="CB243" s="45">
        <v>1</v>
      </c>
      <c r="CC243" s="41">
        <v>0.71600171560489412</v>
      </c>
      <c r="CD243" s="41">
        <v>21.755373924034487</v>
      </c>
      <c r="CE243" s="41">
        <v>77.528624360360624</v>
      </c>
      <c r="CF243" s="125">
        <v>1.1000000000000001</v>
      </c>
      <c r="CG243" s="40">
        <f t="shared" si="203"/>
        <v>2.2649664343089796E-2</v>
      </c>
      <c r="CH243" s="40">
        <f t="shared" si="217"/>
        <v>2.2649664343089796E-2</v>
      </c>
      <c r="CI243" s="99">
        <f t="shared" si="205"/>
        <v>1.6217198527527293E-4</v>
      </c>
      <c r="CJ243" s="100">
        <f t="shared" si="206"/>
        <v>4.9275191703778949E-3</v>
      </c>
      <c r="CK243" s="100">
        <f t="shared" si="207"/>
        <v>1.7559973187436628E-2</v>
      </c>
      <c r="CL243" s="101">
        <f t="shared" si="184"/>
        <v>8.6151135397395879E-4</v>
      </c>
      <c r="CM243" s="100">
        <f t="shared" si="185"/>
        <v>4.5557284545628737E-3</v>
      </c>
      <c r="CN243" s="100">
        <f t="shared" si="186"/>
        <v>7.3912787555668429E-3</v>
      </c>
      <c r="CO243" s="100">
        <f t="shared" si="187"/>
        <v>2.6339959781154942E-2</v>
      </c>
      <c r="CP243" s="101">
        <f t="shared" si="188"/>
        <v>1.2922670309609382E-3</v>
      </c>
      <c r="CQ243" s="100">
        <f t="shared" si="189"/>
        <v>6.8335926818443105E-3</v>
      </c>
      <c r="CR243" s="99">
        <f t="shared" si="190"/>
        <v>0.22471375639639382</v>
      </c>
      <c r="CS243" s="31">
        <v>1.5</v>
      </c>
      <c r="CT243" s="31">
        <v>1.5</v>
      </c>
      <c r="CU243" s="43">
        <v>0.1</v>
      </c>
      <c r="CV243" s="44">
        <v>0.39</v>
      </c>
      <c r="CW243" s="43">
        <v>2.1000000000000001E-2</v>
      </c>
      <c r="CX243" s="44">
        <v>0.15</v>
      </c>
    </row>
    <row r="244" spans="1:102" x14ac:dyDescent="0.25">
      <c r="A244" s="31">
        <v>230</v>
      </c>
      <c r="B244" s="83" t="s">
        <v>254</v>
      </c>
      <c r="C244" s="31">
        <v>40</v>
      </c>
      <c r="D244" s="31" t="s">
        <v>36</v>
      </c>
      <c r="E244" s="31" t="s">
        <v>4</v>
      </c>
      <c r="F244" s="31" t="s">
        <v>62</v>
      </c>
      <c r="G244" s="31" t="str">
        <f t="shared" si="191"/>
        <v>Kommunal 40 C 4S EE</v>
      </c>
      <c r="H244" s="48">
        <f t="shared" si="157"/>
        <v>8.8299145287603964E-2</v>
      </c>
      <c r="I244" s="40">
        <f t="shared" si="158"/>
        <v>7.720840741077882E-2</v>
      </c>
      <c r="J244" s="99">
        <f t="shared" si="159"/>
        <v>2.7894618638550037E-4</v>
      </c>
      <c r="K244" s="48">
        <f t="shared" si="160"/>
        <v>1.0990932509966092E-2</v>
      </c>
      <c r="L244" s="48">
        <f t="shared" si="161"/>
        <v>6.5938528714427236E-2</v>
      </c>
      <c r="M244" s="48">
        <f t="shared" si="192"/>
        <v>0.18125629463054418</v>
      </c>
      <c r="N244" s="99">
        <f t="shared" si="162"/>
        <v>2.2275944657512881E-3</v>
      </c>
      <c r="O244" s="48">
        <f t="shared" si="163"/>
        <v>1.2881162789297011E-2</v>
      </c>
      <c r="P244" s="48">
        <f t="shared" si="164"/>
        <v>1.6486398764949138E-2</v>
      </c>
      <c r="Q244" s="48">
        <f t="shared" si="165"/>
        <v>9.890779307164084E-2</v>
      </c>
      <c r="R244" s="40">
        <f t="shared" si="193"/>
        <v>1.2687940624138092</v>
      </c>
      <c r="S244" s="99">
        <f t="shared" si="166"/>
        <v>3.3413916986269323E-3</v>
      </c>
      <c r="T244" s="48">
        <f t="shared" si="167"/>
        <v>1.9321744183945517E-2</v>
      </c>
      <c r="U244" s="40">
        <v>2.8833552</v>
      </c>
      <c r="V244" s="40">
        <v>1.2</v>
      </c>
      <c r="W244" s="41">
        <v>0.1</v>
      </c>
      <c r="X244" s="40">
        <v>0.82001395080725725</v>
      </c>
      <c r="Y244" s="42">
        <v>0</v>
      </c>
      <c r="Z244" s="42">
        <v>10.17410703682936</v>
      </c>
      <c r="AA244" s="42">
        <v>89.825892963170645</v>
      </c>
      <c r="AB244" s="42">
        <v>3.5871559633027532</v>
      </c>
      <c r="AC244" s="125">
        <v>1.1000000000000001</v>
      </c>
      <c r="AD244" s="94">
        <f t="shared" si="194"/>
        <v>6.1619986252091932E-2</v>
      </c>
      <c r="AE244" s="94">
        <f t="shared" si="210"/>
        <v>5.0529248375266782E-2</v>
      </c>
      <c r="AF244" s="96">
        <f t="shared" si="211"/>
        <v>0</v>
      </c>
      <c r="AG244" s="95">
        <f t="shared" ref="AG244:AG307" si="218">$AE244*Z244/100</f>
        <v>5.1408998146050032E-3</v>
      </c>
      <c r="AH244" s="94">
        <f>$AE244*AA244/100</f>
        <v>4.5388348560661783E-2</v>
      </c>
      <c r="AI244" s="94">
        <f t="shared" si="213"/>
        <v>0.18125629463054418</v>
      </c>
      <c r="AJ244" s="96">
        <f t="shared" si="169"/>
        <v>1.1819941609288673E-3</v>
      </c>
      <c r="AK244" s="95">
        <f t="shared" si="170"/>
        <v>7.3399372609754326E-3</v>
      </c>
      <c r="AL244" s="95">
        <f t="shared" si="171"/>
        <v>7.7113497219075053E-3</v>
      </c>
      <c r="AM244" s="94">
        <f t="shared" si="172"/>
        <v>6.8082522840992671E-2</v>
      </c>
      <c r="AN244" s="93">
        <f t="shared" si="173"/>
        <v>1.2687940624138092</v>
      </c>
      <c r="AO244" s="96">
        <f t="shared" si="174"/>
        <v>1.772991241393301E-3</v>
      </c>
      <c r="AP244" s="95">
        <f t="shared" si="175"/>
        <v>1.1009905891463148E-2</v>
      </c>
      <c r="AQ244" s="93">
        <f t="shared" si="176"/>
        <v>0.10174107036829361</v>
      </c>
      <c r="AR244" s="31">
        <v>1.5</v>
      </c>
      <c r="AS244" s="31">
        <v>1.5</v>
      </c>
      <c r="AT244" s="31">
        <v>7</v>
      </c>
      <c r="AU244" s="43">
        <v>7.0999999999999994E-2</v>
      </c>
      <c r="AV244" s="44">
        <v>0.28000000000000003</v>
      </c>
      <c r="AW244" s="43">
        <v>1.7999999999999999E-2</v>
      </c>
      <c r="AX244" s="44">
        <v>0.13</v>
      </c>
      <c r="AY244" s="40">
        <v>6.316987959964214</v>
      </c>
      <c r="AZ244" s="41">
        <v>0.5</v>
      </c>
      <c r="BA244" s="40">
        <v>0.72</v>
      </c>
      <c r="BB244" s="45">
        <v>1</v>
      </c>
      <c r="BC244" s="41">
        <v>2.8979862246705492</v>
      </c>
      <c r="BD244" s="41">
        <v>22.894025067660387</v>
      </c>
      <c r="BE244" s="41">
        <v>74.207988707669074</v>
      </c>
      <c r="BF244" s="125">
        <v>1.1000000000000001</v>
      </c>
      <c r="BG244" s="48">
        <f t="shared" si="198"/>
        <v>4.0294946924222409E-3</v>
      </c>
      <c r="BH244" s="48">
        <f t="shared" si="214"/>
        <v>4.0294946924222409E-3</v>
      </c>
      <c r="BI244" s="99">
        <f t="shared" si="215"/>
        <v>1.1677420111022746E-4</v>
      </c>
      <c r="BJ244" s="99">
        <f t="shared" si="201"/>
        <v>9.2251352498319257E-4</v>
      </c>
      <c r="BK244" s="48">
        <f t="shared" si="216"/>
        <v>2.9902069663288212E-3</v>
      </c>
      <c r="BL244" s="99">
        <f t="shared" si="177"/>
        <v>1.8408895084846195E-4</v>
      </c>
      <c r="BM244" s="48">
        <f t="shared" si="178"/>
        <v>9.8549707375870498E-4</v>
      </c>
      <c r="BN244" s="48">
        <f t="shared" si="179"/>
        <v>1.3837702874747889E-3</v>
      </c>
      <c r="BO244" s="48">
        <f t="shared" si="180"/>
        <v>4.4853104494932319E-3</v>
      </c>
      <c r="BP244" s="99">
        <f t="shared" si="181"/>
        <v>2.7613342627269295E-4</v>
      </c>
      <c r="BQ244" s="48">
        <f t="shared" si="182"/>
        <v>1.4782456106380577E-3</v>
      </c>
      <c r="BR244" s="40">
        <f t="shared" si="183"/>
        <v>0.25792011292330935</v>
      </c>
      <c r="BS244" s="31">
        <v>1.5</v>
      </c>
      <c r="BT244" s="31">
        <v>1.5</v>
      </c>
      <c r="BU244" s="43">
        <v>0.125</v>
      </c>
      <c r="BV244" s="44">
        <v>0.42</v>
      </c>
      <c r="BW244" s="43">
        <v>2.3E-2</v>
      </c>
      <c r="BX244" s="44">
        <v>0.2</v>
      </c>
      <c r="BY244" s="40">
        <v>15.675043576489315</v>
      </c>
      <c r="BZ244" s="40">
        <v>0.52</v>
      </c>
      <c r="CA244" s="40">
        <v>0.65</v>
      </c>
      <c r="CB244" s="45">
        <v>1</v>
      </c>
      <c r="CC244" s="41">
        <v>0.71600171560489412</v>
      </c>
      <c r="CD244" s="41">
        <v>21.755373924034487</v>
      </c>
      <c r="CE244" s="41">
        <v>77.528624360360624</v>
      </c>
      <c r="CF244" s="125">
        <v>1.1000000000000001</v>
      </c>
      <c r="CG244" s="40">
        <f t="shared" si="203"/>
        <v>2.2649664343089796E-2</v>
      </c>
      <c r="CH244" s="40">
        <f t="shared" si="217"/>
        <v>2.2649664343089796E-2</v>
      </c>
      <c r="CI244" s="99">
        <f t="shared" si="205"/>
        <v>1.6217198527527293E-4</v>
      </c>
      <c r="CJ244" s="100">
        <f t="shared" si="206"/>
        <v>4.9275191703778949E-3</v>
      </c>
      <c r="CK244" s="100">
        <f t="shared" si="207"/>
        <v>1.7559973187436628E-2</v>
      </c>
      <c r="CL244" s="101">
        <f t="shared" si="184"/>
        <v>8.6151135397395879E-4</v>
      </c>
      <c r="CM244" s="100">
        <f t="shared" si="185"/>
        <v>4.5557284545628737E-3</v>
      </c>
      <c r="CN244" s="100">
        <f t="shared" si="186"/>
        <v>7.3912787555668429E-3</v>
      </c>
      <c r="CO244" s="100">
        <f t="shared" si="187"/>
        <v>2.6339959781154942E-2</v>
      </c>
      <c r="CP244" s="101">
        <f t="shared" si="188"/>
        <v>1.2922670309609382E-3</v>
      </c>
      <c r="CQ244" s="100">
        <f t="shared" si="189"/>
        <v>6.8335926818443105E-3</v>
      </c>
      <c r="CR244" s="99">
        <f t="shared" si="190"/>
        <v>0.22471375639639382</v>
      </c>
      <c r="CS244" s="31">
        <v>1.5</v>
      </c>
      <c r="CT244" s="31">
        <v>1.5</v>
      </c>
      <c r="CU244" s="43">
        <v>0.1</v>
      </c>
      <c r="CV244" s="44">
        <v>0.39</v>
      </c>
      <c r="CW244" s="43">
        <v>2.1000000000000001E-2</v>
      </c>
      <c r="CX244" s="44">
        <v>0.15</v>
      </c>
    </row>
    <row r="245" spans="1:102" x14ac:dyDescent="0.25">
      <c r="A245" s="31">
        <v>231</v>
      </c>
      <c r="B245" s="83" t="s">
        <v>254</v>
      </c>
      <c r="C245" s="31">
        <v>40</v>
      </c>
      <c r="D245" s="31" t="s">
        <v>36</v>
      </c>
      <c r="E245" s="31" t="s">
        <v>4</v>
      </c>
      <c r="F245" s="31" t="s">
        <v>63</v>
      </c>
      <c r="G245" s="31" t="str">
        <f t="shared" si="191"/>
        <v>Kommunal 40 C 4S ES</v>
      </c>
      <c r="H245" s="48">
        <f t="shared" si="157"/>
        <v>6.9850047607336915E-2</v>
      </c>
      <c r="I245" s="40">
        <f t="shared" si="158"/>
        <v>6.2079889933154025E-2</v>
      </c>
      <c r="J245" s="99">
        <f t="shared" si="159"/>
        <v>2.7894618638550037E-4</v>
      </c>
      <c r="K245" s="48">
        <f t="shared" si="160"/>
        <v>9.4517409487071061E-3</v>
      </c>
      <c r="L245" s="48">
        <f t="shared" si="161"/>
        <v>5.234920279806142E-2</v>
      </c>
      <c r="M245" s="48">
        <f t="shared" si="192"/>
        <v>0.12698794294475246</v>
      </c>
      <c r="N245" s="99">
        <f t="shared" si="162"/>
        <v>1.8737039984073156E-3</v>
      </c>
      <c r="O245" s="48">
        <f t="shared" si="163"/>
        <v>1.068357678301694E-2</v>
      </c>
      <c r="P245" s="48">
        <f t="shared" si="164"/>
        <v>1.4177611423060659E-2</v>
      </c>
      <c r="Q245" s="48">
        <f t="shared" si="165"/>
        <v>7.8523804197092137E-2</v>
      </c>
      <c r="R245" s="40">
        <f t="shared" si="193"/>
        <v>0.88891560061326724</v>
      </c>
      <c r="S245" s="99">
        <f t="shared" si="166"/>
        <v>2.8105559976109732E-3</v>
      </c>
      <c r="T245" s="48">
        <f t="shared" si="167"/>
        <v>1.6025365174525411E-2</v>
      </c>
      <c r="U245" s="40">
        <v>2.0200752</v>
      </c>
      <c r="V245" s="40">
        <v>1.2</v>
      </c>
      <c r="W245" s="41">
        <v>0.1</v>
      </c>
      <c r="X245" s="40">
        <v>0.82001395080725714</v>
      </c>
      <c r="Y245" s="42">
        <v>0</v>
      </c>
      <c r="Z245" s="42">
        <v>10.17410703682936</v>
      </c>
      <c r="AA245" s="42">
        <v>89.825892963170645</v>
      </c>
      <c r="AB245" s="42">
        <v>3.5871559633027528</v>
      </c>
      <c r="AC245" s="125">
        <v>1.1000000000000001</v>
      </c>
      <c r="AD245" s="94">
        <f t="shared" si="194"/>
        <v>4.3170888571824884E-2</v>
      </c>
      <c r="AE245" s="94">
        <f t="shared" si="210"/>
        <v>3.5400730897641987E-2</v>
      </c>
      <c r="AF245" s="96">
        <f t="shared" si="211"/>
        <v>0</v>
      </c>
      <c r="AG245" s="95">
        <f t="shared" si="218"/>
        <v>3.6017082533460185E-3</v>
      </c>
      <c r="AH245" s="94">
        <f t="shared" ref="AH245:AH308" si="219">$AE245*AA245/100</f>
        <v>3.1799022644295974E-2</v>
      </c>
      <c r="AI245" s="94">
        <f t="shared" si="213"/>
        <v>0.12698794294475246</v>
      </c>
      <c r="AJ245" s="96">
        <f t="shared" si="169"/>
        <v>8.2810369358489477E-4</v>
      </c>
      <c r="AK245" s="95">
        <f t="shared" si="170"/>
        <v>5.1423512546953619E-3</v>
      </c>
      <c r="AL245" s="95">
        <f t="shared" si="171"/>
        <v>5.402562380019028E-3</v>
      </c>
      <c r="AM245" s="94">
        <f t="shared" si="172"/>
        <v>4.7698533966443961E-2</v>
      </c>
      <c r="AN245" s="93">
        <f t="shared" si="173"/>
        <v>0.88891560061326724</v>
      </c>
      <c r="AO245" s="96">
        <f t="shared" si="174"/>
        <v>1.2421555403773423E-3</v>
      </c>
      <c r="AP245" s="95">
        <f t="shared" si="175"/>
        <v>7.7135268820430428E-3</v>
      </c>
      <c r="AQ245" s="93">
        <f t="shared" si="176"/>
        <v>0.10174107036829359</v>
      </c>
      <c r="AR245" s="31">
        <v>1.5</v>
      </c>
      <c r="AS245" s="31">
        <v>1.5</v>
      </c>
      <c r="AT245" s="31">
        <v>7</v>
      </c>
      <c r="AU245" s="43">
        <v>7.0999999999999994E-2</v>
      </c>
      <c r="AV245" s="44">
        <v>0.28000000000000003</v>
      </c>
      <c r="AW245" s="43">
        <v>1.7999999999999999E-2</v>
      </c>
      <c r="AX245" s="44">
        <v>0.13</v>
      </c>
      <c r="AY245" s="40">
        <v>6.316987959964214</v>
      </c>
      <c r="AZ245" s="41">
        <v>0.5</v>
      </c>
      <c r="BA245" s="40">
        <v>0.72</v>
      </c>
      <c r="BB245" s="45">
        <v>1</v>
      </c>
      <c r="BC245" s="41">
        <v>2.8979862246705492</v>
      </c>
      <c r="BD245" s="41">
        <v>22.894025067660387</v>
      </c>
      <c r="BE245" s="41">
        <v>74.207988707669074</v>
      </c>
      <c r="BF245" s="125">
        <v>1.1000000000000001</v>
      </c>
      <c r="BG245" s="48">
        <f t="shared" si="198"/>
        <v>4.0294946924222409E-3</v>
      </c>
      <c r="BH245" s="48">
        <f t="shared" si="214"/>
        <v>4.0294946924222409E-3</v>
      </c>
      <c r="BI245" s="99">
        <f t="shared" si="215"/>
        <v>1.1677420111022746E-4</v>
      </c>
      <c r="BJ245" s="99">
        <f t="shared" si="201"/>
        <v>9.2251352498319257E-4</v>
      </c>
      <c r="BK245" s="48">
        <f t="shared" si="216"/>
        <v>2.9902069663288212E-3</v>
      </c>
      <c r="BL245" s="99">
        <f t="shared" si="177"/>
        <v>1.8408895084846195E-4</v>
      </c>
      <c r="BM245" s="48">
        <f t="shared" si="178"/>
        <v>9.8549707375870498E-4</v>
      </c>
      <c r="BN245" s="48">
        <f t="shared" si="179"/>
        <v>1.3837702874747889E-3</v>
      </c>
      <c r="BO245" s="48">
        <f t="shared" si="180"/>
        <v>4.4853104494932319E-3</v>
      </c>
      <c r="BP245" s="99">
        <f t="shared" si="181"/>
        <v>2.7613342627269295E-4</v>
      </c>
      <c r="BQ245" s="48">
        <f t="shared" si="182"/>
        <v>1.4782456106380577E-3</v>
      </c>
      <c r="BR245" s="40">
        <f t="shared" si="183"/>
        <v>0.25792011292330935</v>
      </c>
      <c r="BS245" s="31">
        <v>1.5</v>
      </c>
      <c r="BT245" s="31">
        <v>1.5</v>
      </c>
      <c r="BU245" s="43">
        <v>0.125</v>
      </c>
      <c r="BV245" s="44">
        <v>0.42</v>
      </c>
      <c r="BW245" s="43">
        <v>2.3E-2</v>
      </c>
      <c r="BX245" s="44">
        <v>0.2</v>
      </c>
      <c r="BY245" s="40">
        <v>15.675043576489315</v>
      </c>
      <c r="BZ245" s="40">
        <v>0.52</v>
      </c>
      <c r="CA245" s="40">
        <v>0.65</v>
      </c>
      <c r="CB245" s="45">
        <v>1</v>
      </c>
      <c r="CC245" s="41">
        <v>0.71600171560489412</v>
      </c>
      <c r="CD245" s="41">
        <v>21.755373924034487</v>
      </c>
      <c r="CE245" s="41">
        <v>77.528624360360624</v>
      </c>
      <c r="CF245" s="125">
        <v>1.1000000000000001</v>
      </c>
      <c r="CG245" s="40">
        <f t="shared" si="203"/>
        <v>2.2649664343089796E-2</v>
      </c>
      <c r="CH245" s="40">
        <f t="shared" si="217"/>
        <v>2.2649664343089796E-2</v>
      </c>
      <c r="CI245" s="99">
        <f t="shared" si="205"/>
        <v>1.6217198527527293E-4</v>
      </c>
      <c r="CJ245" s="100">
        <f t="shared" si="206"/>
        <v>4.9275191703778949E-3</v>
      </c>
      <c r="CK245" s="100">
        <f t="shared" si="207"/>
        <v>1.7559973187436628E-2</v>
      </c>
      <c r="CL245" s="101">
        <f t="shared" si="184"/>
        <v>8.6151135397395879E-4</v>
      </c>
      <c r="CM245" s="100">
        <f t="shared" si="185"/>
        <v>4.5557284545628737E-3</v>
      </c>
      <c r="CN245" s="100">
        <f t="shared" si="186"/>
        <v>7.3912787555668429E-3</v>
      </c>
      <c r="CO245" s="100">
        <f t="shared" si="187"/>
        <v>2.6339959781154942E-2</v>
      </c>
      <c r="CP245" s="101">
        <f t="shared" si="188"/>
        <v>1.2922670309609382E-3</v>
      </c>
      <c r="CQ245" s="100">
        <f t="shared" si="189"/>
        <v>6.8335926818443105E-3</v>
      </c>
      <c r="CR245" s="99">
        <f t="shared" si="190"/>
        <v>0.22471375639639382</v>
      </c>
      <c r="CS245" s="31">
        <v>1.5</v>
      </c>
      <c r="CT245" s="31">
        <v>1.5</v>
      </c>
      <c r="CU245" s="43">
        <v>0.1</v>
      </c>
      <c r="CV245" s="44">
        <v>0.39</v>
      </c>
      <c r="CW245" s="43">
        <v>2.1000000000000001E-2</v>
      </c>
      <c r="CX245" s="44">
        <v>0.15</v>
      </c>
    </row>
    <row r="246" spans="1:102" x14ac:dyDescent="0.25">
      <c r="A246" s="31">
        <v>232</v>
      </c>
      <c r="B246" s="83" t="s">
        <v>254</v>
      </c>
      <c r="C246" s="31">
        <v>40</v>
      </c>
      <c r="D246" s="31" t="s">
        <v>36</v>
      </c>
      <c r="E246" s="31" t="s">
        <v>5</v>
      </c>
      <c r="F246" s="31" t="s">
        <v>12</v>
      </c>
      <c r="G246" s="31" t="str">
        <f t="shared" si="191"/>
        <v>Kommunal 40 M 4S A</v>
      </c>
      <c r="H246" s="48">
        <f t="shared" si="157"/>
        <v>6.1440980656771962E-2</v>
      </c>
      <c r="I246" s="40">
        <f t="shared" si="158"/>
        <v>5.5698690171762238E-2</v>
      </c>
      <c r="J246" s="99">
        <f t="shared" si="159"/>
        <v>4.8310336692897302E-4</v>
      </c>
      <c r="K246" s="48">
        <f t="shared" si="160"/>
        <v>9.5719643934556176E-3</v>
      </c>
      <c r="L246" s="48">
        <f t="shared" si="161"/>
        <v>4.5643622411377649E-2</v>
      </c>
      <c r="M246" s="48">
        <f t="shared" si="192"/>
        <v>8.4871878346678392E-2</v>
      </c>
      <c r="N246" s="99">
        <f t="shared" si="162"/>
        <v>1.7615394160241517E-3</v>
      </c>
      <c r="O246" s="48">
        <f t="shared" si="163"/>
        <v>9.8455138972776326E-3</v>
      </c>
      <c r="P246" s="48">
        <f t="shared" si="164"/>
        <v>1.4357946590183426E-2</v>
      </c>
      <c r="Q246" s="48">
        <f t="shared" si="165"/>
        <v>6.8465433617066473E-2</v>
      </c>
      <c r="R246" s="40">
        <f t="shared" si="193"/>
        <v>0.59410314842674872</v>
      </c>
      <c r="S246" s="99">
        <f t="shared" si="166"/>
        <v>2.6423091240362277E-3</v>
      </c>
      <c r="T246" s="48">
        <f t="shared" si="167"/>
        <v>1.4768270845916448E-2</v>
      </c>
      <c r="U246" s="40">
        <v>0.47826979199999992</v>
      </c>
      <c r="V246" s="40">
        <v>1.45</v>
      </c>
      <c r="W246" s="41">
        <v>0.5</v>
      </c>
      <c r="X246" s="40">
        <v>0.83481042657736282</v>
      </c>
      <c r="Y246" s="42">
        <v>0.70351646821904223</v>
      </c>
      <c r="Z246" s="42">
        <v>12.825609347785846</v>
      </c>
      <c r="AA246" s="42">
        <v>86.470874183995107</v>
      </c>
      <c r="AB246" s="42">
        <v>2.9246467817896402</v>
      </c>
      <c r="AC246" s="125">
        <v>1.1000000000000001</v>
      </c>
      <c r="AD246" s="94">
        <f t="shared" si="194"/>
        <v>3.4761821621259931E-2</v>
      </c>
      <c r="AE246" s="94">
        <f t="shared" si="210"/>
        <v>2.9019531136250196E-2</v>
      </c>
      <c r="AF246" s="96">
        <f t="shared" si="211"/>
        <v>2.041571805434727E-4</v>
      </c>
      <c r="AG246" s="95">
        <f t="shared" si="218"/>
        <v>3.7219316980945296E-3</v>
      </c>
      <c r="AH246" s="94">
        <f t="shared" si="219"/>
        <v>2.5093442257612196E-2</v>
      </c>
      <c r="AI246" s="94">
        <f t="shared" si="213"/>
        <v>8.4871878346678392E-2</v>
      </c>
      <c r="AJ246" s="96">
        <f t="shared" si="169"/>
        <v>7.1593911120173106E-4</v>
      </c>
      <c r="AK246" s="95">
        <f t="shared" si="170"/>
        <v>4.3042883689560539E-3</v>
      </c>
      <c r="AL246" s="95">
        <f t="shared" si="171"/>
        <v>5.5828975471417944E-3</v>
      </c>
      <c r="AM246" s="94">
        <f t="shared" si="172"/>
        <v>3.7640163386418291E-2</v>
      </c>
      <c r="AN246" s="93">
        <f t="shared" si="173"/>
        <v>0.59410314842674872</v>
      </c>
      <c r="AO246" s="96">
        <f t="shared" si="174"/>
        <v>1.0739086668025966E-3</v>
      </c>
      <c r="AP246" s="95">
        <f t="shared" si="175"/>
        <v>6.4564325534340805E-3</v>
      </c>
      <c r="AQ246" s="93">
        <f t="shared" si="176"/>
        <v>0.13529125816004889</v>
      </c>
      <c r="AR246" s="31">
        <v>1.5</v>
      </c>
      <c r="AS246" s="31">
        <v>1.5</v>
      </c>
      <c r="AT246" s="31">
        <v>7</v>
      </c>
      <c r="AU246" s="43">
        <v>7.0999999999999994E-2</v>
      </c>
      <c r="AV246" s="44">
        <v>0.28000000000000003</v>
      </c>
      <c r="AW246" s="43">
        <v>1.7999999999999999E-2</v>
      </c>
      <c r="AX246" s="44">
        <v>0.13</v>
      </c>
      <c r="AY246" s="40">
        <v>6.316987959964214</v>
      </c>
      <c r="AZ246" s="41">
        <v>0.5</v>
      </c>
      <c r="BA246" s="40">
        <v>0.72</v>
      </c>
      <c r="BB246" s="45">
        <v>1</v>
      </c>
      <c r="BC246" s="41">
        <v>2.8979862246705492</v>
      </c>
      <c r="BD246" s="41">
        <v>22.894025067660387</v>
      </c>
      <c r="BE246" s="41">
        <v>74.207988707669074</v>
      </c>
      <c r="BF246" s="125">
        <v>1.1000000000000001</v>
      </c>
      <c r="BG246" s="48">
        <f t="shared" si="198"/>
        <v>4.0294946924222409E-3</v>
      </c>
      <c r="BH246" s="48">
        <f t="shared" si="214"/>
        <v>4.0294946924222409E-3</v>
      </c>
      <c r="BI246" s="99">
        <f t="shared" si="215"/>
        <v>1.1677420111022746E-4</v>
      </c>
      <c r="BJ246" s="99">
        <f t="shared" si="201"/>
        <v>9.2251352498319257E-4</v>
      </c>
      <c r="BK246" s="48">
        <f t="shared" si="216"/>
        <v>2.9902069663288212E-3</v>
      </c>
      <c r="BL246" s="99">
        <f t="shared" si="177"/>
        <v>1.8408895084846195E-4</v>
      </c>
      <c r="BM246" s="48">
        <f t="shared" si="178"/>
        <v>9.8549707375870498E-4</v>
      </c>
      <c r="BN246" s="48">
        <f t="shared" si="179"/>
        <v>1.3837702874747889E-3</v>
      </c>
      <c r="BO246" s="48">
        <f t="shared" si="180"/>
        <v>4.4853104494932319E-3</v>
      </c>
      <c r="BP246" s="99">
        <f t="shared" si="181"/>
        <v>2.7613342627269295E-4</v>
      </c>
      <c r="BQ246" s="48">
        <f t="shared" si="182"/>
        <v>1.4782456106380577E-3</v>
      </c>
      <c r="BR246" s="40">
        <f t="shared" si="183"/>
        <v>0.25792011292330935</v>
      </c>
      <c r="BS246" s="31">
        <v>1.5</v>
      </c>
      <c r="BT246" s="31">
        <v>1.5</v>
      </c>
      <c r="BU246" s="43">
        <v>0.125</v>
      </c>
      <c r="BV246" s="44">
        <v>0.42</v>
      </c>
      <c r="BW246" s="43">
        <v>2.3E-2</v>
      </c>
      <c r="BX246" s="44">
        <v>0.2</v>
      </c>
      <c r="BY246" s="40">
        <v>15.675043576489315</v>
      </c>
      <c r="BZ246" s="40">
        <v>0.52</v>
      </c>
      <c r="CA246" s="40">
        <v>0.65</v>
      </c>
      <c r="CB246" s="45">
        <v>1</v>
      </c>
      <c r="CC246" s="41">
        <v>0.71600171560489401</v>
      </c>
      <c r="CD246" s="41">
        <v>21.755373924034487</v>
      </c>
      <c r="CE246" s="41">
        <v>77.528624360360624</v>
      </c>
      <c r="CF246" s="125">
        <v>1.1000000000000001</v>
      </c>
      <c r="CG246" s="40">
        <f t="shared" si="203"/>
        <v>2.2649664343089796E-2</v>
      </c>
      <c r="CH246" s="40">
        <f t="shared" si="217"/>
        <v>2.2649664343089796E-2</v>
      </c>
      <c r="CI246" s="99">
        <f t="shared" si="205"/>
        <v>1.6217198527527287E-4</v>
      </c>
      <c r="CJ246" s="100">
        <f t="shared" si="206"/>
        <v>4.9275191703778949E-3</v>
      </c>
      <c r="CK246" s="100">
        <f t="shared" si="207"/>
        <v>1.7559973187436628E-2</v>
      </c>
      <c r="CL246" s="101">
        <f t="shared" si="184"/>
        <v>8.6151135397395879E-4</v>
      </c>
      <c r="CM246" s="100">
        <f t="shared" si="185"/>
        <v>4.5557284545628737E-3</v>
      </c>
      <c r="CN246" s="100">
        <f t="shared" si="186"/>
        <v>7.3912787555668429E-3</v>
      </c>
      <c r="CO246" s="100">
        <f t="shared" si="187"/>
        <v>2.6339959781154942E-2</v>
      </c>
      <c r="CP246" s="101">
        <f t="shared" si="188"/>
        <v>1.2922670309609382E-3</v>
      </c>
      <c r="CQ246" s="100">
        <f t="shared" si="189"/>
        <v>6.8335926818443105E-3</v>
      </c>
      <c r="CR246" s="99">
        <f t="shared" si="190"/>
        <v>0.22471375639639382</v>
      </c>
      <c r="CS246" s="31">
        <v>1.5</v>
      </c>
      <c r="CT246" s="31">
        <v>1.5</v>
      </c>
      <c r="CU246" s="43">
        <v>0.1</v>
      </c>
      <c r="CV246" s="44">
        <v>0.39</v>
      </c>
      <c r="CW246" s="43">
        <v>2.1000000000000001E-2</v>
      </c>
      <c r="CX246" s="44">
        <v>0.15</v>
      </c>
    </row>
    <row r="247" spans="1:102" x14ac:dyDescent="0.25">
      <c r="A247" s="31">
        <v>233</v>
      </c>
      <c r="B247" s="83" t="s">
        <v>254</v>
      </c>
      <c r="C247" s="31">
        <v>40</v>
      </c>
      <c r="D247" s="31" t="s">
        <v>36</v>
      </c>
      <c r="E247" s="31" t="s">
        <v>5</v>
      </c>
      <c r="F247" s="31" t="s">
        <v>13</v>
      </c>
      <c r="G247" s="31" t="str">
        <f t="shared" si="191"/>
        <v>Kommunal 40 M 4S B</v>
      </c>
      <c r="H247" s="48">
        <f t="shared" si="157"/>
        <v>6.1440980656771962E-2</v>
      </c>
      <c r="I247" s="40">
        <f t="shared" si="158"/>
        <v>5.5698690171762238E-2</v>
      </c>
      <c r="J247" s="99">
        <f t="shared" si="159"/>
        <v>4.8310336692897302E-4</v>
      </c>
      <c r="K247" s="48">
        <f t="shared" si="160"/>
        <v>9.5719643934556176E-3</v>
      </c>
      <c r="L247" s="48">
        <f t="shared" si="161"/>
        <v>4.5643622411377649E-2</v>
      </c>
      <c r="M247" s="48">
        <f t="shared" si="192"/>
        <v>8.4871878346678392E-2</v>
      </c>
      <c r="N247" s="99">
        <f t="shared" si="162"/>
        <v>1.7615394160241517E-3</v>
      </c>
      <c r="O247" s="48">
        <f t="shared" si="163"/>
        <v>9.8455138972776326E-3</v>
      </c>
      <c r="P247" s="48">
        <f t="shared" si="164"/>
        <v>1.4357946590183426E-2</v>
      </c>
      <c r="Q247" s="48">
        <f t="shared" si="165"/>
        <v>6.8465433617066473E-2</v>
      </c>
      <c r="R247" s="40">
        <f t="shared" si="193"/>
        <v>0.59410314842674872</v>
      </c>
      <c r="S247" s="99">
        <f t="shared" si="166"/>
        <v>2.6423091240362277E-3</v>
      </c>
      <c r="T247" s="48">
        <f t="shared" si="167"/>
        <v>1.4768270845916448E-2</v>
      </c>
      <c r="U247" s="40">
        <v>0.47826979199999992</v>
      </c>
      <c r="V247" s="40">
        <v>1.45</v>
      </c>
      <c r="W247" s="41">
        <v>0.5</v>
      </c>
      <c r="X247" s="40">
        <v>0.83481042657736282</v>
      </c>
      <c r="Y247" s="42">
        <v>0.70351646821904223</v>
      </c>
      <c r="Z247" s="42">
        <v>12.825609347785846</v>
      </c>
      <c r="AA247" s="42">
        <v>86.470874183995107</v>
      </c>
      <c r="AB247" s="42">
        <v>2.9246467817896402</v>
      </c>
      <c r="AC247" s="125">
        <v>1.1000000000000001</v>
      </c>
      <c r="AD247" s="94">
        <f t="shared" si="194"/>
        <v>3.4761821621259931E-2</v>
      </c>
      <c r="AE247" s="94">
        <f t="shared" si="210"/>
        <v>2.9019531136250196E-2</v>
      </c>
      <c r="AF247" s="96">
        <f t="shared" si="211"/>
        <v>2.041571805434727E-4</v>
      </c>
      <c r="AG247" s="95">
        <f t="shared" si="218"/>
        <v>3.7219316980945296E-3</v>
      </c>
      <c r="AH247" s="94">
        <f t="shared" si="219"/>
        <v>2.5093442257612196E-2</v>
      </c>
      <c r="AI247" s="94">
        <f t="shared" si="213"/>
        <v>8.4871878346678392E-2</v>
      </c>
      <c r="AJ247" s="96">
        <f t="shared" si="169"/>
        <v>7.1593911120173106E-4</v>
      </c>
      <c r="AK247" s="95">
        <f t="shared" si="170"/>
        <v>4.3042883689560539E-3</v>
      </c>
      <c r="AL247" s="95">
        <f t="shared" si="171"/>
        <v>5.5828975471417944E-3</v>
      </c>
      <c r="AM247" s="94">
        <f t="shared" si="172"/>
        <v>3.7640163386418291E-2</v>
      </c>
      <c r="AN247" s="93">
        <f t="shared" si="173"/>
        <v>0.59410314842674872</v>
      </c>
      <c r="AO247" s="96">
        <f t="shared" si="174"/>
        <v>1.0739086668025966E-3</v>
      </c>
      <c r="AP247" s="95">
        <f t="shared" si="175"/>
        <v>6.4564325534340805E-3</v>
      </c>
      <c r="AQ247" s="93">
        <f t="shared" si="176"/>
        <v>0.13529125816004889</v>
      </c>
      <c r="AR247" s="31">
        <v>1.5</v>
      </c>
      <c r="AS247" s="31">
        <v>1.5</v>
      </c>
      <c r="AT247" s="31">
        <v>7</v>
      </c>
      <c r="AU247" s="43">
        <v>7.0999999999999994E-2</v>
      </c>
      <c r="AV247" s="44">
        <v>0.28000000000000003</v>
      </c>
      <c r="AW247" s="43">
        <v>1.7999999999999999E-2</v>
      </c>
      <c r="AX247" s="44">
        <v>0.13</v>
      </c>
      <c r="AY247" s="40">
        <v>6.316987959964214</v>
      </c>
      <c r="AZ247" s="41">
        <v>0.5</v>
      </c>
      <c r="BA247" s="40">
        <v>0.72</v>
      </c>
      <c r="BB247" s="45">
        <v>1</v>
      </c>
      <c r="BC247" s="41">
        <v>2.8979862246705492</v>
      </c>
      <c r="BD247" s="41">
        <v>22.894025067660387</v>
      </c>
      <c r="BE247" s="41">
        <v>74.207988707669074</v>
      </c>
      <c r="BF247" s="125">
        <v>1.1000000000000001</v>
      </c>
      <c r="BG247" s="48">
        <f t="shared" si="198"/>
        <v>4.0294946924222409E-3</v>
      </c>
      <c r="BH247" s="48">
        <f t="shared" si="214"/>
        <v>4.0294946924222409E-3</v>
      </c>
      <c r="BI247" s="99">
        <f t="shared" si="215"/>
        <v>1.1677420111022746E-4</v>
      </c>
      <c r="BJ247" s="99">
        <f t="shared" si="201"/>
        <v>9.2251352498319257E-4</v>
      </c>
      <c r="BK247" s="48">
        <f t="shared" si="216"/>
        <v>2.9902069663288212E-3</v>
      </c>
      <c r="BL247" s="99">
        <f t="shared" si="177"/>
        <v>1.8408895084846195E-4</v>
      </c>
      <c r="BM247" s="48">
        <f t="shared" si="178"/>
        <v>9.8549707375870498E-4</v>
      </c>
      <c r="BN247" s="48">
        <f t="shared" si="179"/>
        <v>1.3837702874747889E-3</v>
      </c>
      <c r="BO247" s="48">
        <f t="shared" si="180"/>
        <v>4.4853104494932319E-3</v>
      </c>
      <c r="BP247" s="99">
        <f t="shared" si="181"/>
        <v>2.7613342627269295E-4</v>
      </c>
      <c r="BQ247" s="48">
        <f t="shared" si="182"/>
        <v>1.4782456106380577E-3</v>
      </c>
      <c r="BR247" s="40">
        <f t="shared" si="183"/>
        <v>0.25792011292330935</v>
      </c>
      <c r="BS247" s="31">
        <v>1.5</v>
      </c>
      <c r="BT247" s="31">
        <v>1.5</v>
      </c>
      <c r="BU247" s="43">
        <v>0.125</v>
      </c>
      <c r="BV247" s="44">
        <v>0.42</v>
      </c>
      <c r="BW247" s="43">
        <v>2.3E-2</v>
      </c>
      <c r="BX247" s="44">
        <v>0.2</v>
      </c>
      <c r="BY247" s="40">
        <v>15.675043576489315</v>
      </c>
      <c r="BZ247" s="40">
        <v>0.52</v>
      </c>
      <c r="CA247" s="40">
        <v>0.65</v>
      </c>
      <c r="CB247" s="45">
        <v>1</v>
      </c>
      <c r="CC247" s="41">
        <v>0.71600171560489401</v>
      </c>
      <c r="CD247" s="41">
        <v>21.755373924034487</v>
      </c>
      <c r="CE247" s="41">
        <v>77.528624360360624</v>
      </c>
      <c r="CF247" s="125">
        <v>1.1000000000000001</v>
      </c>
      <c r="CG247" s="40">
        <f t="shared" si="203"/>
        <v>2.2649664343089796E-2</v>
      </c>
      <c r="CH247" s="40">
        <f t="shared" si="217"/>
        <v>2.2649664343089796E-2</v>
      </c>
      <c r="CI247" s="99">
        <f t="shared" si="205"/>
        <v>1.6217198527527287E-4</v>
      </c>
      <c r="CJ247" s="100">
        <f t="shared" si="206"/>
        <v>4.9275191703778949E-3</v>
      </c>
      <c r="CK247" s="100">
        <f t="shared" si="207"/>
        <v>1.7559973187436628E-2</v>
      </c>
      <c r="CL247" s="101">
        <f t="shared" si="184"/>
        <v>8.6151135397395879E-4</v>
      </c>
      <c r="CM247" s="100">
        <f t="shared" si="185"/>
        <v>4.5557284545628737E-3</v>
      </c>
      <c r="CN247" s="100">
        <f t="shared" si="186"/>
        <v>7.3912787555668429E-3</v>
      </c>
      <c r="CO247" s="100">
        <f t="shared" si="187"/>
        <v>2.6339959781154942E-2</v>
      </c>
      <c r="CP247" s="101">
        <f t="shared" si="188"/>
        <v>1.2922670309609382E-3</v>
      </c>
      <c r="CQ247" s="100">
        <f t="shared" si="189"/>
        <v>6.8335926818443105E-3</v>
      </c>
      <c r="CR247" s="99">
        <f t="shared" si="190"/>
        <v>0.22471375639639382</v>
      </c>
      <c r="CS247" s="31">
        <v>1.5</v>
      </c>
      <c r="CT247" s="31">
        <v>1.5</v>
      </c>
      <c r="CU247" s="43">
        <v>0.1</v>
      </c>
      <c r="CV247" s="44">
        <v>0.39</v>
      </c>
      <c r="CW247" s="43">
        <v>2.1000000000000001E-2</v>
      </c>
      <c r="CX247" s="44">
        <v>0.15</v>
      </c>
    </row>
    <row r="248" spans="1:102" x14ac:dyDescent="0.25">
      <c r="A248" s="31">
        <v>234</v>
      </c>
      <c r="B248" s="83" t="s">
        <v>254</v>
      </c>
      <c r="C248" s="31">
        <v>40</v>
      </c>
      <c r="D248" s="31" t="s">
        <v>36</v>
      </c>
      <c r="E248" s="31" t="s">
        <v>5</v>
      </c>
      <c r="F248" s="31" t="s">
        <v>70</v>
      </c>
      <c r="G248" s="31" t="str">
        <f t="shared" si="191"/>
        <v>Kommunal 40 M 4S Ck</v>
      </c>
      <c r="H248" s="48">
        <f t="shared" si="157"/>
        <v>5.7964798494645961E-2</v>
      </c>
      <c r="I248" s="40">
        <f t="shared" si="158"/>
        <v>5.2796737058137214E-2</v>
      </c>
      <c r="J248" s="99">
        <f t="shared" si="159"/>
        <v>4.6268764887462583E-4</v>
      </c>
      <c r="K248" s="48">
        <f t="shared" si="160"/>
        <v>9.1997712236461665E-3</v>
      </c>
      <c r="L248" s="48">
        <f t="shared" si="161"/>
        <v>4.3134278185616423E-2</v>
      </c>
      <c r="M248" s="48">
        <f t="shared" si="192"/>
        <v>7.6384690512010564E-2</v>
      </c>
      <c r="N248" s="99">
        <f t="shared" si="162"/>
        <v>1.6899455049039789E-3</v>
      </c>
      <c r="O248" s="48">
        <f t="shared" si="163"/>
        <v>9.4150850603820276E-3</v>
      </c>
      <c r="P248" s="48">
        <f t="shared" si="164"/>
        <v>1.379965683546925E-2</v>
      </c>
      <c r="Q248" s="48">
        <f t="shared" si="165"/>
        <v>6.4701417278424628E-2</v>
      </c>
      <c r="R248" s="40">
        <f t="shared" si="193"/>
        <v>0.53469283358407393</v>
      </c>
      <c r="S248" s="99">
        <f t="shared" si="166"/>
        <v>2.5349182573559679E-3</v>
      </c>
      <c r="T248" s="48">
        <f t="shared" si="167"/>
        <v>1.4122627590573041E-2</v>
      </c>
      <c r="U248" s="40">
        <v>0.43044281279999991</v>
      </c>
      <c r="V248" s="40">
        <v>1.45</v>
      </c>
      <c r="W248" s="41">
        <v>0.5</v>
      </c>
      <c r="X248" s="40">
        <v>0.83481042657736304</v>
      </c>
      <c r="Y248" s="42">
        <v>0.70351646821904246</v>
      </c>
      <c r="Z248" s="42">
        <v>12.82560934778585</v>
      </c>
      <c r="AA248" s="42">
        <v>86.470874183995107</v>
      </c>
      <c r="AB248" s="42">
        <v>2.9246467817896402</v>
      </c>
      <c r="AC248" s="125">
        <v>1.1000000000000001</v>
      </c>
      <c r="AD248" s="94">
        <f t="shared" si="194"/>
        <v>3.1285639459133929E-2</v>
      </c>
      <c r="AE248" s="94">
        <f t="shared" si="210"/>
        <v>2.6117578022625178E-2</v>
      </c>
      <c r="AF248" s="96">
        <f t="shared" si="211"/>
        <v>1.8374146248912549E-4</v>
      </c>
      <c r="AG248" s="95">
        <f t="shared" si="218"/>
        <v>3.3497385282850777E-3</v>
      </c>
      <c r="AH248" s="94">
        <f t="shared" si="219"/>
        <v>2.2584098031850974E-2</v>
      </c>
      <c r="AI248" s="94">
        <f t="shared" si="213"/>
        <v>7.6384690512010564E-2</v>
      </c>
      <c r="AJ248" s="96">
        <f t="shared" si="169"/>
        <v>6.4434520008155804E-4</v>
      </c>
      <c r="AK248" s="95">
        <f t="shared" si="170"/>
        <v>3.8738595320604485E-3</v>
      </c>
      <c r="AL248" s="95">
        <f t="shared" si="171"/>
        <v>5.024607792427617E-3</v>
      </c>
      <c r="AM248" s="94">
        <f t="shared" si="172"/>
        <v>3.3876147047776459E-2</v>
      </c>
      <c r="AN248" s="93">
        <f t="shared" si="173"/>
        <v>0.53469283358407393</v>
      </c>
      <c r="AO248" s="96">
        <f t="shared" si="174"/>
        <v>9.6651780012233695E-4</v>
      </c>
      <c r="AP248" s="95">
        <f t="shared" si="175"/>
        <v>5.8107892980906722E-3</v>
      </c>
      <c r="AQ248" s="93">
        <f t="shared" si="176"/>
        <v>0.13529125816004892</v>
      </c>
      <c r="AR248" s="31">
        <v>1.5</v>
      </c>
      <c r="AS248" s="31">
        <v>1.5</v>
      </c>
      <c r="AT248" s="31">
        <v>7</v>
      </c>
      <c r="AU248" s="43">
        <v>7.0999999999999994E-2</v>
      </c>
      <c r="AV248" s="44">
        <v>0.28000000000000003</v>
      </c>
      <c r="AW248" s="43">
        <v>1.7999999999999999E-2</v>
      </c>
      <c r="AX248" s="44">
        <v>0.13</v>
      </c>
      <c r="AY248" s="40">
        <v>6.316987959964214</v>
      </c>
      <c r="AZ248" s="41">
        <v>0.5</v>
      </c>
      <c r="BA248" s="40">
        <v>0.72</v>
      </c>
      <c r="BB248" s="45">
        <v>1</v>
      </c>
      <c r="BC248" s="41">
        <v>2.8979862246705492</v>
      </c>
      <c r="BD248" s="41">
        <v>22.894025067660387</v>
      </c>
      <c r="BE248" s="41">
        <v>74.207988707669074</v>
      </c>
      <c r="BF248" s="125">
        <v>1.1000000000000001</v>
      </c>
      <c r="BG248" s="48">
        <f t="shared" si="198"/>
        <v>4.0294946924222409E-3</v>
      </c>
      <c r="BH248" s="48">
        <f t="shared" si="214"/>
        <v>4.0294946924222409E-3</v>
      </c>
      <c r="BI248" s="99">
        <f t="shared" si="215"/>
        <v>1.1677420111022746E-4</v>
      </c>
      <c r="BJ248" s="99">
        <f t="shared" si="201"/>
        <v>9.2251352498319257E-4</v>
      </c>
      <c r="BK248" s="48">
        <f t="shared" si="216"/>
        <v>2.9902069663288212E-3</v>
      </c>
      <c r="BL248" s="99">
        <f t="shared" si="177"/>
        <v>1.8408895084846195E-4</v>
      </c>
      <c r="BM248" s="48">
        <f t="shared" si="178"/>
        <v>9.8549707375870498E-4</v>
      </c>
      <c r="BN248" s="48">
        <f t="shared" si="179"/>
        <v>1.3837702874747889E-3</v>
      </c>
      <c r="BO248" s="48">
        <f t="shared" si="180"/>
        <v>4.4853104494932319E-3</v>
      </c>
      <c r="BP248" s="99">
        <f t="shared" si="181"/>
        <v>2.7613342627269295E-4</v>
      </c>
      <c r="BQ248" s="48">
        <f t="shared" si="182"/>
        <v>1.4782456106380577E-3</v>
      </c>
      <c r="BR248" s="40">
        <f t="shared" si="183"/>
        <v>0.25792011292330935</v>
      </c>
      <c r="BS248" s="31">
        <v>1.5</v>
      </c>
      <c r="BT248" s="31">
        <v>1.5</v>
      </c>
      <c r="BU248" s="43">
        <v>0.125</v>
      </c>
      <c r="BV248" s="44">
        <v>0.42</v>
      </c>
      <c r="BW248" s="43">
        <v>2.3E-2</v>
      </c>
      <c r="BX248" s="44">
        <v>0.2</v>
      </c>
      <c r="BY248" s="40">
        <v>15.675043576489315</v>
      </c>
      <c r="BZ248" s="40">
        <v>0.52</v>
      </c>
      <c r="CA248" s="40">
        <v>0.65</v>
      </c>
      <c r="CB248" s="45">
        <v>1</v>
      </c>
      <c r="CC248" s="41">
        <v>0.71600171560489401</v>
      </c>
      <c r="CD248" s="41">
        <v>21.755373924034487</v>
      </c>
      <c r="CE248" s="41">
        <v>77.528624360360624</v>
      </c>
      <c r="CF248" s="125">
        <v>1.1000000000000001</v>
      </c>
      <c r="CG248" s="40">
        <f t="shared" si="203"/>
        <v>2.2649664343089796E-2</v>
      </c>
      <c r="CH248" s="40">
        <f t="shared" si="217"/>
        <v>2.2649664343089796E-2</v>
      </c>
      <c r="CI248" s="99">
        <f t="shared" si="205"/>
        <v>1.6217198527527287E-4</v>
      </c>
      <c r="CJ248" s="100">
        <f t="shared" si="206"/>
        <v>4.9275191703778949E-3</v>
      </c>
      <c r="CK248" s="100">
        <f t="shared" si="207"/>
        <v>1.7559973187436628E-2</v>
      </c>
      <c r="CL248" s="101">
        <f t="shared" si="184"/>
        <v>8.6151135397395879E-4</v>
      </c>
      <c r="CM248" s="100">
        <f t="shared" si="185"/>
        <v>4.5557284545628737E-3</v>
      </c>
      <c r="CN248" s="100">
        <f t="shared" si="186"/>
        <v>7.3912787555668429E-3</v>
      </c>
      <c r="CO248" s="100">
        <f t="shared" si="187"/>
        <v>2.6339959781154942E-2</v>
      </c>
      <c r="CP248" s="101">
        <f t="shared" si="188"/>
        <v>1.2922670309609382E-3</v>
      </c>
      <c r="CQ248" s="100">
        <f t="shared" si="189"/>
        <v>6.8335926818443105E-3</v>
      </c>
      <c r="CR248" s="99">
        <f t="shared" si="190"/>
        <v>0.22471375639639382</v>
      </c>
      <c r="CS248" s="31">
        <v>1.5</v>
      </c>
      <c r="CT248" s="31">
        <v>1.5</v>
      </c>
      <c r="CU248" s="43">
        <v>0.1</v>
      </c>
      <c r="CV248" s="44">
        <v>0.39</v>
      </c>
      <c r="CW248" s="43">
        <v>2.1000000000000001E-2</v>
      </c>
      <c r="CX248" s="44">
        <v>0.15</v>
      </c>
    </row>
    <row r="249" spans="1:102" x14ac:dyDescent="0.25">
      <c r="A249" s="31">
        <v>235</v>
      </c>
      <c r="B249" s="83" t="s">
        <v>254</v>
      </c>
      <c r="C249" s="31">
        <v>40</v>
      </c>
      <c r="D249" s="31" t="s">
        <v>36</v>
      </c>
      <c r="E249" s="31" t="s">
        <v>5</v>
      </c>
      <c r="F249" s="31" t="s">
        <v>71</v>
      </c>
      <c r="G249" s="31" t="str">
        <f t="shared" si="191"/>
        <v>Kommunal 40 M 4S Cm</v>
      </c>
      <c r="H249" s="48">
        <f t="shared" si="157"/>
        <v>5.7964798494645961E-2</v>
      </c>
      <c r="I249" s="40">
        <f t="shared" si="158"/>
        <v>5.2796737058137214E-2</v>
      </c>
      <c r="J249" s="99">
        <f t="shared" si="159"/>
        <v>4.6268764887462583E-4</v>
      </c>
      <c r="K249" s="48">
        <f t="shared" si="160"/>
        <v>9.1997712236461665E-3</v>
      </c>
      <c r="L249" s="48">
        <f t="shared" si="161"/>
        <v>4.3134278185616423E-2</v>
      </c>
      <c r="M249" s="48">
        <f t="shared" si="192"/>
        <v>7.6384690512010564E-2</v>
      </c>
      <c r="N249" s="99">
        <f t="shared" si="162"/>
        <v>1.6899455049039789E-3</v>
      </c>
      <c r="O249" s="48">
        <f t="shared" si="163"/>
        <v>9.4150850603820276E-3</v>
      </c>
      <c r="P249" s="48">
        <f t="shared" si="164"/>
        <v>1.379965683546925E-2</v>
      </c>
      <c r="Q249" s="48">
        <f t="shared" si="165"/>
        <v>6.4701417278424628E-2</v>
      </c>
      <c r="R249" s="40">
        <f t="shared" si="193"/>
        <v>0.53469283358407393</v>
      </c>
      <c r="S249" s="99">
        <f t="shared" si="166"/>
        <v>2.5349182573559679E-3</v>
      </c>
      <c r="T249" s="48">
        <f t="shared" si="167"/>
        <v>1.4122627590573041E-2</v>
      </c>
      <c r="U249" s="40">
        <v>0.43044281279999991</v>
      </c>
      <c r="V249" s="40">
        <v>1.45</v>
      </c>
      <c r="W249" s="41">
        <v>0.5</v>
      </c>
      <c r="X249" s="40">
        <v>0.83481042657736304</v>
      </c>
      <c r="Y249" s="42">
        <v>0.70351646821904246</v>
      </c>
      <c r="Z249" s="42">
        <v>12.82560934778585</v>
      </c>
      <c r="AA249" s="42">
        <v>86.470874183995107</v>
      </c>
      <c r="AB249" s="42">
        <v>2.9246467817896402</v>
      </c>
      <c r="AC249" s="125">
        <v>1.1000000000000001</v>
      </c>
      <c r="AD249" s="94">
        <f t="shared" si="194"/>
        <v>3.1285639459133929E-2</v>
      </c>
      <c r="AE249" s="94">
        <f t="shared" si="210"/>
        <v>2.6117578022625178E-2</v>
      </c>
      <c r="AF249" s="96">
        <f t="shared" si="211"/>
        <v>1.8374146248912549E-4</v>
      </c>
      <c r="AG249" s="95">
        <f t="shared" si="218"/>
        <v>3.3497385282850777E-3</v>
      </c>
      <c r="AH249" s="94">
        <f t="shared" si="219"/>
        <v>2.2584098031850974E-2</v>
      </c>
      <c r="AI249" s="94">
        <f t="shared" si="213"/>
        <v>7.6384690512010564E-2</v>
      </c>
      <c r="AJ249" s="96">
        <f t="shared" si="169"/>
        <v>6.4434520008155804E-4</v>
      </c>
      <c r="AK249" s="95">
        <f t="shared" si="170"/>
        <v>3.8738595320604485E-3</v>
      </c>
      <c r="AL249" s="95">
        <f t="shared" si="171"/>
        <v>5.024607792427617E-3</v>
      </c>
      <c r="AM249" s="94">
        <f t="shared" si="172"/>
        <v>3.3876147047776459E-2</v>
      </c>
      <c r="AN249" s="93">
        <f t="shared" si="173"/>
        <v>0.53469283358407393</v>
      </c>
      <c r="AO249" s="96">
        <f t="shared" si="174"/>
        <v>9.6651780012233695E-4</v>
      </c>
      <c r="AP249" s="95">
        <f t="shared" si="175"/>
        <v>5.8107892980906722E-3</v>
      </c>
      <c r="AQ249" s="93">
        <f t="shared" si="176"/>
        <v>0.13529125816004892</v>
      </c>
      <c r="AR249" s="31">
        <v>1.5</v>
      </c>
      <c r="AS249" s="31">
        <v>1.5</v>
      </c>
      <c r="AT249" s="31">
        <v>7</v>
      </c>
      <c r="AU249" s="43">
        <v>7.0999999999999994E-2</v>
      </c>
      <c r="AV249" s="44">
        <v>0.28000000000000003</v>
      </c>
      <c r="AW249" s="43">
        <v>1.7999999999999999E-2</v>
      </c>
      <c r="AX249" s="44">
        <v>0.13</v>
      </c>
      <c r="AY249" s="40">
        <v>6.316987959964214</v>
      </c>
      <c r="AZ249" s="41">
        <v>0.5</v>
      </c>
      <c r="BA249" s="40">
        <v>0.72</v>
      </c>
      <c r="BB249" s="45">
        <v>1</v>
      </c>
      <c r="BC249" s="41">
        <v>2.8979862246705492</v>
      </c>
      <c r="BD249" s="41">
        <v>22.894025067660387</v>
      </c>
      <c r="BE249" s="41">
        <v>74.207988707669074</v>
      </c>
      <c r="BF249" s="125">
        <v>1.1000000000000001</v>
      </c>
      <c r="BG249" s="48">
        <f t="shared" si="198"/>
        <v>4.0294946924222409E-3</v>
      </c>
      <c r="BH249" s="48">
        <f t="shared" si="214"/>
        <v>4.0294946924222409E-3</v>
      </c>
      <c r="BI249" s="99">
        <f t="shared" si="215"/>
        <v>1.1677420111022746E-4</v>
      </c>
      <c r="BJ249" s="99">
        <f t="shared" si="201"/>
        <v>9.2251352498319257E-4</v>
      </c>
      <c r="BK249" s="48">
        <f t="shared" si="216"/>
        <v>2.9902069663288212E-3</v>
      </c>
      <c r="BL249" s="99">
        <f t="shared" si="177"/>
        <v>1.8408895084846195E-4</v>
      </c>
      <c r="BM249" s="48">
        <f t="shared" si="178"/>
        <v>9.8549707375870498E-4</v>
      </c>
      <c r="BN249" s="48">
        <f t="shared" si="179"/>
        <v>1.3837702874747889E-3</v>
      </c>
      <c r="BO249" s="48">
        <f t="shared" si="180"/>
        <v>4.4853104494932319E-3</v>
      </c>
      <c r="BP249" s="99">
        <f t="shared" si="181"/>
        <v>2.7613342627269295E-4</v>
      </c>
      <c r="BQ249" s="48">
        <f t="shared" si="182"/>
        <v>1.4782456106380577E-3</v>
      </c>
      <c r="BR249" s="40">
        <f t="shared" si="183"/>
        <v>0.25792011292330935</v>
      </c>
      <c r="BS249" s="31">
        <v>1.5</v>
      </c>
      <c r="BT249" s="31">
        <v>1.5</v>
      </c>
      <c r="BU249" s="43">
        <v>0.125</v>
      </c>
      <c r="BV249" s="44">
        <v>0.42</v>
      </c>
      <c r="BW249" s="43">
        <v>2.3E-2</v>
      </c>
      <c r="BX249" s="44">
        <v>0.2</v>
      </c>
      <c r="BY249" s="40">
        <v>15.675043576489315</v>
      </c>
      <c r="BZ249" s="40">
        <v>0.52</v>
      </c>
      <c r="CA249" s="40">
        <v>0.65</v>
      </c>
      <c r="CB249" s="45">
        <v>1</v>
      </c>
      <c r="CC249" s="41">
        <v>0.71600171560489401</v>
      </c>
      <c r="CD249" s="41">
        <v>21.755373924034487</v>
      </c>
      <c r="CE249" s="41">
        <v>77.528624360360624</v>
      </c>
      <c r="CF249" s="125">
        <v>1.1000000000000001</v>
      </c>
      <c r="CG249" s="40">
        <f t="shared" si="203"/>
        <v>2.2649664343089796E-2</v>
      </c>
      <c r="CH249" s="40">
        <f t="shared" si="217"/>
        <v>2.2649664343089796E-2</v>
      </c>
      <c r="CI249" s="99">
        <f t="shared" si="205"/>
        <v>1.6217198527527287E-4</v>
      </c>
      <c r="CJ249" s="100">
        <f t="shared" si="206"/>
        <v>4.9275191703778949E-3</v>
      </c>
      <c r="CK249" s="100">
        <f t="shared" si="207"/>
        <v>1.7559973187436628E-2</v>
      </c>
      <c r="CL249" s="101">
        <f t="shared" si="184"/>
        <v>8.6151135397395879E-4</v>
      </c>
      <c r="CM249" s="100">
        <f t="shared" si="185"/>
        <v>4.5557284545628737E-3</v>
      </c>
      <c r="CN249" s="100">
        <f t="shared" si="186"/>
        <v>7.3912787555668429E-3</v>
      </c>
      <c r="CO249" s="100">
        <f t="shared" si="187"/>
        <v>2.6339959781154942E-2</v>
      </c>
      <c r="CP249" s="101">
        <f t="shared" si="188"/>
        <v>1.2922670309609382E-3</v>
      </c>
      <c r="CQ249" s="100">
        <f t="shared" si="189"/>
        <v>6.8335926818443105E-3</v>
      </c>
      <c r="CR249" s="99">
        <f t="shared" si="190"/>
        <v>0.22471375639639382</v>
      </c>
      <c r="CS249" s="31">
        <v>1.5</v>
      </c>
      <c r="CT249" s="31">
        <v>1.5</v>
      </c>
      <c r="CU249" s="43">
        <v>0.1</v>
      </c>
      <c r="CV249" s="44">
        <v>0.39</v>
      </c>
      <c r="CW249" s="43">
        <v>2.1000000000000001E-2</v>
      </c>
      <c r="CX249" s="44">
        <v>0.15</v>
      </c>
    </row>
    <row r="250" spans="1:102" x14ac:dyDescent="0.25">
      <c r="A250" s="31">
        <v>236</v>
      </c>
      <c r="B250" s="83" t="s">
        <v>254</v>
      </c>
      <c r="C250" s="31">
        <v>40</v>
      </c>
      <c r="D250" s="31" t="s">
        <v>36</v>
      </c>
      <c r="E250" s="31" t="s">
        <v>5</v>
      </c>
      <c r="F250" s="31" t="s">
        <v>0</v>
      </c>
      <c r="G250" s="31" t="str">
        <f t="shared" si="191"/>
        <v>Kommunal 40 M 4S D</v>
      </c>
      <c r="H250" s="48">
        <f t="shared" si="157"/>
        <v>5.6555932353833008E-2</v>
      </c>
      <c r="I250" s="40">
        <f t="shared" si="158"/>
        <v>5.9485441970992203E-2</v>
      </c>
      <c r="J250" s="99">
        <f t="shared" si="159"/>
        <v>2.7894618638550032E-4</v>
      </c>
      <c r="K250" s="48">
        <f t="shared" si="160"/>
        <v>9.1877790360219251E-3</v>
      </c>
      <c r="L250" s="48">
        <f t="shared" si="161"/>
        <v>5.0018716748584782E-2</v>
      </c>
      <c r="M250" s="48">
        <f t="shared" si="192"/>
        <v>0.16870651150850113</v>
      </c>
      <c r="N250" s="99">
        <f t="shared" si="162"/>
        <v>1.8130139537160879E-3</v>
      </c>
      <c r="O250" s="48">
        <f t="shared" si="163"/>
        <v>1.0306704261033126E-2</v>
      </c>
      <c r="P250" s="48">
        <f t="shared" si="164"/>
        <v>1.3781668554032886E-2</v>
      </c>
      <c r="Q250" s="48">
        <f t="shared" si="165"/>
        <v>7.502807512287718E-2</v>
      </c>
      <c r="R250" s="40">
        <f t="shared" si="193"/>
        <v>1.1809455805595079</v>
      </c>
      <c r="S250" s="99">
        <f t="shared" si="166"/>
        <v>2.7195209305741321E-3</v>
      </c>
      <c r="T250" s="48">
        <f t="shared" si="167"/>
        <v>1.5460056391549688E-2</v>
      </c>
      <c r="U250" s="40">
        <v>1.1222406360000008</v>
      </c>
      <c r="V250" s="40">
        <v>1.2</v>
      </c>
      <c r="W250" s="45">
        <v>0</v>
      </c>
      <c r="X250" s="40">
        <v>1.0980530790907985</v>
      </c>
      <c r="Y250" s="42">
        <v>0</v>
      </c>
      <c r="Z250" s="42">
        <v>10.174107036829358</v>
      </c>
      <c r="AA250" s="42">
        <v>89.825892963170645</v>
      </c>
      <c r="AB250" s="42">
        <v>5.1425061425061411</v>
      </c>
      <c r="AC250" s="125">
        <v>1.1000000000000001</v>
      </c>
      <c r="AD250" s="94">
        <f t="shared" si="194"/>
        <v>2.9876773318320976E-2</v>
      </c>
      <c r="AE250" s="94">
        <f t="shared" si="210"/>
        <v>3.2806282935480165E-2</v>
      </c>
      <c r="AF250" s="96">
        <f t="shared" si="211"/>
        <v>0</v>
      </c>
      <c r="AG250" s="95">
        <f t="shared" si="218"/>
        <v>3.3377463406608367E-3</v>
      </c>
      <c r="AH250" s="94">
        <f t="shared" si="219"/>
        <v>2.9468536594819329E-2</v>
      </c>
      <c r="AI250" s="94">
        <f t="shared" si="213"/>
        <v>0.16870651150850113</v>
      </c>
      <c r="AJ250" s="96">
        <f t="shared" si="169"/>
        <v>7.6741364889366731E-4</v>
      </c>
      <c r="AK250" s="95">
        <f t="shared" si="170"/>
        <v>4.7654787327115478E-3</v>
      </c>
      <c r="AL250" s="95">
        <f t="shared" si="171"/>
        <v>5.0066195109912549E-3</v>
      </c>
      <c r="AM250" s="94">
        <f t="shared" si="172"/>
        <v>4.4202804892228997E-2</v>
      </c>
      <c r="AN250" s="93">
        <f t="shared" si="173"/>
        <v>1.1809455805595079</v>
      </c>
      <c r="AO250" s="96">
        <f t="shared" si="174"/>
        <v>1.151120473340501E-3</v>
      </c>
      <c r="AP250" s="95">
        <f t="shared" si="175"/>
        <v>7.1482180990673216E-3</v>
      </c>
      <c r="AQ250" s="93">
        <f t="shared" si="176"/>
        <v>0.10174107036829359</v>
      </c>
      <c r="AR250" s="31">
        <v>1.5</v>
      </c>
      <c r="AS250" s="31">
        <v>1.5</v>
      </c>
      <c r="AT250" s="31">
        <v>7</v>
      </c>
      <c r="AU250" s="43">
        <v>7.0999999999999994E-2</v>
      </c>
      <c r="AV250" s="44">
        <v>0.28000000000000003</v>
      </c>
      <c r="AW250" s="43">
        <v>1.7999999999999999E-2</v>
      </c>
      <c r="AX250" s="44">
        <v>0.13</v>
      </c>
      <c r="AY250" s="40">
        <v>6.316987959964214</v>
      </c>
      <c r="AZ250" s="41">
        <v>0.5</v>
      </c>
      <c r="BA250" s="40">
        <v>0.72</v>
      </c>
      <c r="BB250" s="45">
        <v>1</v>
      </c>
      <c r="BC250" s="41">
        <v>2.8979862246705492</v>
      </c>
      <c r="BD250" s="41">
        <v>22.894025067660387</v>
      </c>
      <c r="BE250" s="41">
        <v>74.207988707669074</v>
      </c>
      <c r="BF250" s="125">
        <v>1.1000000000000001</v>
      </c>
      <c r="BG250" s="48">
        <f t="shared" si="198"/>
        <v>4.0294946924222409E-3</v>
      </c>
      <c r="BH250" s="48">
        <f t="shared" si="214"/>
        <v>4.0294946924222409E-3</v>
      </c>
      <c r="BI250" s="99">
        <f t="shared" si="215"/>
        <v>1.1677420111022746E-4</v>
      </c>
      <c r="BJ250" s="99">
        <f t="shared" si="201"/>
        <v>9.2251352498319257E-4</v>
      </c>
      <c r="BK250" s="48">
        <f t="shared" si="216"/>
        <v>2.9902069663288212E-3</v>
      </c>
      <c r="BL250" s="99">
        <f t="shared" si="177"/>
        <v>1.8408895084846195E-4</v>
      </c>
      <c r="BM250" s="48">
        <f t="shared" si="178"/>
        <v>9.8549707375870498E-4</v>
      </c>
      <c r="BN250" s="48">
        <f t="shared" si="179"/>
        <v>1.3837702874747889E-3</v>
      </c>
      <c r="BO250" s="48">
        <f t="shared" si="180"/>
        <v>4.4853104494932319E-3</v>
      </c>
      <c r="BP250" s="99">
        <f t="shared" si="181"/>
        <v>2.7613342627269295E-4</v>
      </c>
      <c r="BQ250" s="48">
        <f t="shared" si="182"/>
        <v>1.4782456106380577E-3</v>
      </c>
      <c r="BR250" s="40">
        <f t="shared" si="183"/>
        <v>0.25792011292330935</v>
      </c>
      <c r="BS250" s="31">
        <v>1.5</v>
      </c>
      <c r="BT250" s="31">
        <v>1.5</v>
      </c>
      <c r="BU250" s="43">
        <v>0.125</v>
      </c>
      <c r="BV250" s="44">
        <v>0.42</v>
      </c>
      <c r="BW250" s="43">
        <v>2.3E-2</v>
      </c>
      <c r="BX250" s="44">
        <v>0.2</v>
      </c>
      <c r="BY250" s="40">
        <v>15.675043576489315</v>
      </c>
      <c r="BZ250" s="40">
        <v>0.52</v>
      </c>
      <c r="CA250" s="40">
        <v>0.65</v>
      </c>
      <c r="CB250" s="45">
        <v>1</v>
      </c>
      <c r="CC250" s="41">
        <v>0.71600171560489401</v>
      </c>
      <c r="CD250" s="41">
        <v>21.755373924034487</v>
      </c>
      <c r="CE250" s="41">
        <v>77.528624360360624</v>
      </c>
      <c r="CF250" s="125">
        <v>1.1000000000000001</v>
      </c>
      <c r="CG250" s="40">
        <f t="shared" si="203"/>
        <v>2.2649664343089796E-2</v>
      </c>
      <c r="CH250" s="40">
        <f t="shared" si="217"/>
        <v>2.2649664343089796E-2</v>
      </c>
      <c r="CI250" s="99">
        <f t="shared" si="205"/>
        <v>1.6217198527527287E-4</v>
      </c>
      <c r="CJ250" s="100">
        <f t="shared" si="206"/>
        <v>4.9275191703778949E-3</v>
      </c>
      <c r="CK250" s="100">
        <f t="shared" si="207"/>
        <v>1.7559973187436628E-2</v>
      </c>
      <c r="CL250" s="101">
        <f t="shared" si="184"/>
        <v>8.6151135397395879E-4</v>
      </c>
      <c r="CM250" s="100">
        <f t="shared" si="185"/>
        <v>4.5557284545628737E-3</v>
      </c>
      <c r="CN250" s="100">
        <f t="shared" si="186"/>
        <v>7.3912787555668429E-3</v>
      </c>
      <c r="CO250" s="100">
        <f t="shared" si="187"/>
        <v>2.6339959781154942E-2</v>
      </c>
      <c r="CP250" s="101">
        <f t="shared" si="188"/>
        <v>1.2922670309609382E-3</v>
      </c>
      <c r="CQ250" s="100">
        <f t="shared" si="189"/>
        <v>6.8335926818443105E-3</v>
      </c>
      <c r="CR250" s="99">
        <f t="shared" si="190"/>
        <v>0.22471375639639382</v>
      </c>
      <c r="CS250" s="31">
        <v>1.5</v>
      </c>
      <c r="CT250" s="31">
        <v>1.5</v>
      </c>
      <c r="CU250" s="43">
        <v>0.1</v>
      </c>
      <c r="CV250" s="44">
        <v>0.39</v>
      </c>
      <c r="CW250" s="43">
        <v>2.1000000000000001E-2</v>
      </c>
      <c r="CX250" s="44">
        <v>0.15</v>
      </c>
    </row>
    <row r="251" spans="1:102" x14ac:dyDescent="0.25">
      <c r="A251" s="31">
        <v>237</v>
      </c>
      <c r="B251" s="83" t="s">
        <v>254</v>
      </c>
      <c r="C251" s="31">
        <v>40</v>
      </c>
      <c r="D251" s="31" t="s">
        <v>36</v>
      </c>
      <c r="E251" s="31" t="s">
        <v>5</v>
      </c>
      <c r="F251" s="31" t="s">
        <v>62</v>
      </c>
      <c r="G251" s="31" t="str">
        <f t="shared" si="191"/>
        <v>Kommunal 40 M 4S EE</v>
      </c>
      <c r="H251" s="48">
        <f t="shared" si="157"/>
        <v>9.8701051223736902E-2</v>
      </c>
      <c r="I251" s="40">
        <f t="shared" si="158"/>
        <v>8.7314257085832167E-2</v>
      </c>
      <c r="J251" s="99">
        <f t="shared" si="159"/>
        <v>2.7894618638550032E-4</v>
      </c>
      <c r="K251" s="48">
        <f t="shared" si="160"/>
        <v>1.2019112472887089E-2</v>
      </c>
      <c r="L251" s="48">
        <f t="shared" si="161"/>
        <v>7.5016198426559585E-2</v>
      </c>
      <c r="M251" s="48">
        <f t="shared" si="192"/>
        <v>0.17733624437636805</v>
      </c>
      <c r="N251" s="99">
        <f t="shared" si="162"/>
        <v>2.4639932979370616E-3</v>
      </c>
      <c r="O251" s="48">
        <f t="shared" si="163"/>
        <v>1.4349150241492097E-2</v>
      </c>
      <c r="P251" s="48">
        <f t="shared" si="164"/>
        <v>1.8028668709330634E-2</v>
      </c>
      <c r="Q251" s="48">
        <f t="shared" si="165"/>
        <v>0.11252429763983937</v>
      </c>
      <c r="R251" s="40">
        <f t="shared" si="193"/>
        <v>1.2413537106345764</v>
      </c>
      <c r="S251" s="99">
        <f t="shared" si="166"/>
        <v>3.6959899469055915E-3</v>
      </c>
      <c r="T251" s="48">
        <f t="shared" si="167"/>
        <v>2.1523725362238143E-2</v>
      </c>
      <c r="U251" s="40">
        <v>3.3700867199999993</v>
      </c>
      <c r="V251" s="40">
        <v>1.2</v>
      </c>
      <c r="W251" s="41">
        <v>0.1</v>
      </c>
      <c r="X251" s="40">
        <v>0.8418981535760538</v>
      </c>
      <c r="Y251" s="42">
        <v>0</v>
      </c>
      <c r="Z251" s="42">
        <v>10.174107036829358</v>
      </c>
      <c r="AA251" s="42">
        <v>89.825892963170645</v>
      </c>
      <c r="AB251" s="42">
        <v>2.9246467817896402</v>
      </c>
      <c r="AC251" s="125">
        <v>1.1000000000000001</v>
      </c>
      <c r="AD251" s="94">
        <f t="shared" si="194"/>
        <v>7.202189218822487E-2</v>
      </c>
      <c r="AE251" s="94">
        <f t="shared" si="210"/>
        <v>6.0635098050320128E-2</v>
      </c>
      <c r="AF251" s="96">
        <f t="shared" si="211"/>
        <v>0</v>
      </c>
      <c r="AG251" s="95">
        <f t="shared" si="218"/>
        <v>6.1690797775260011E-3</v>
      </c>
      <c r="AH251" s="94">
        <f t="shared" si="219"/>
        <v>5.4466018272794132E-2</v>
      </c>
      <c r="AI251" s="94">
        <f t="shared" si="213"/>
        <v>0.17733624437636805</v>
      </c>
      <c r="AJ251" s="96">
        <f t="shared" si="169"/>
        <v>1.4183929931146405E-3</v>
      </c>
      <c r="AK251" s="95">
        <f t="shared" si="170"/>
        <v>8.8079247131705174E-3</v>
      </c>
      <c r="AL251" s="95">
        <f t="shared" si="171"/>
        <v>9.2536196662890008E-3</v>
      </c>
      <c r="AM251" s="94">
        <f t="shared" si="172"/>
        <v>8.1699027409191202E-2</v>
      </c>
      <c r="AN251" s="93">
        <f t="shared" si="173"/>
        <v>1.2413537106345764</v>
      </c>
      <c r="AO251" s="96">
        <f t="shared" si="174"/>
        <v>2.1275894896719606E-3</v>
      </c>
      <c r="AP251" s="95">
        <f t="shared" si="175"/>
        <v>1.3211887069755776E-2</v>
      </c>
      <c r="AQ251" s="93">
        <f t="shared" si="176"/>
        <v>0.10174107036829358</v>
      </c>
      <c r="AR251" s="31">
        <v>1.5</v>
      </c>
      <c r="AS251" s="31">
        <v>1.5</v>
      </c>
      <c r="AT251" s="31">
        <v>7</v>
      </c>
      <c r="AU251" s="43">
        <v>7.0999999999999994E-2</v>
      </c>
      <c r="AV251" s="44">
        <v>0.28000000000000003</v>
      </c>
      <c r="AW251" s="43">
        <v>1.7999999999999999E-2</v>
      </c>
      <c r="AX251" s="44">
        <v>0.13</v>
      </c>
      <c r="AY251" s="40">
        <v>6.316987959964214</v>
      </c>
      <c r="AZ251" s="41">
        <v>0.5</v>
      </c>
      <c r="BA251" s="40">
        <v>0.72</v>
      </c>
      <c r="BB251" s="45">
        <v>1</v>
      </c>
      <c r="BC251" s="41">
        <v>2.8979862246705492</v>
      </c>
      <c r="BD251" s="41">
        <v>22.894025067660387</v>
      </c>
      <c r="BE251" s="41">
        <v>74.207988707669074</v>
      </c>
      <c r="BF251" s="125">
        <v>1.1000000000000001</v>
      </c>
      <c r="BG251" s="48">
        <f t="shared" si="198"/>
        <v>4.0294946924222409E-3</v>
      </c>
      <c r="BH251" s="48">
        <f t="shared" si="214"/>
        <v>4.0294946924222409E-3</v>
      </c>
      <c r="BI251" s="99">
        <f t="shared" si="215"/>
        <v>1.1677420111022746E-4</v>
      </c>
      <c r="BJ251" s="99">
        <f t="shared" si="201"/>
        <v>9.2251352498319257E-4</v>
      </c>
      <c r="BK251" s="48">
        <f t="shared" si="216"/>
        <v>2.9902069663288212E-3</v>
      </c>
      <c r="BL251" s="99">
        <f t="shared" si="177"/>
        <v>1.8408895084846195E-4</v>
      </c>
      <c r="BM251" s="48">
        <f t="shared" si="178"/>
        <v>9.8549707375870498E-4</v>
      </c>
      <c r="BN251" s="48">
        <f t="shared" si="179"/>
        <v>1.3837702874747889E-3</v>
      </c>
      <c r="BO251" s="48">
        <f t="shared" si="180"/>
        <v>4.4853104494932319E-3</v>
      </c>
      <c r="BP251" s="99">
        <f t="shared" si="181"/>
        <v>2.7613342627269295E-4</v>
      </c>
      <c r="BQ251" s="48">
        <f t="shared" si="182"/>
        <v>1.4782456106380577E-3</v>
      </c>
      <c r="BR251" s="40">
        <f t="shared" si="183"/>
        <v>0.25792011292330935</v>
      </c>
      <c r="BS251" s="31">
        <v>1.5</v>
      </c>
      <c r="BT251" s="31">
        <v>1.5</v>
      </c>
      <c r="BU251" s="43">
        <v>0.125</v>
      </c>
      <c r="BV251" s="44">
        <v>0.42</v>
      </c>
      <c r="BW251" s="43">
        <v>2.3E-2</v>
      </c>
      <c r="BX251" s="44">
        <v>0.2</v>
      </c>
      <c r="BY251" s="40">
        <v>15.675043576489315</v>
      </c>
      <c r="BZ251" s="40">
        <v>0.52</v>
      </c>
      <c r="CA251" s="40">
        <v>0.65</v>
      </c>
      <c r="CB251" s="45">
        <v>1</v>
      </c>
      <c r="CC251" s="41">
        <v>0.71600171560489401</v>
      </c>
      <c r="CD251" s="41">
        <v>21.755373924034487</v>
      </c>
      <c r="CE251" s="41">
        <v>77.528624360360624</v>
      </c>
      <c r="CF251" s="125">
        <v>1.1000000000000001</v>
      </c>
      <c r="CG251" s="40">
        <f t="shared" si="203"/>
        <v>2.2649664343089796E-2</v>
      </c>
      <c r="CH251" s="40">
        <f t="shared" si="217"/>
        <v>2.2649664343089796E-2</v>
      </c>
      <c r="CI251" s="99">
        <f t="shared" si="205"/>
        <v>1.6217198527527287E-4</v>
      </c>
      <c r="CJ251" s="100">
        <f t="shared" si="206"/>
        <v>4.9275191703778949E-3</v>
      </c>
      <c r="CK251" s="100">
        <f t="shared" si="207"/>
        <v>1.7559973187436628E-2</v>
      </c>
      <c r="CL251" s="101">
        <f t="shared" si="184"/>
        <v>8.6151135397395879E-4</v>
      </c>
      <c r="CM251" s="100">
        <f t="shared" si="185"/>
        <v>4.5557284545628737E-3</v>
      </c>
      <c r="CN251" s="100">
        <f t="shared" si="186"/>
        <v>7.3912787555668429E-3</v>
      </c>
      <c r="CO251" s="100">
        <f t="shared" si="187"/>
        <v>2.6339959781154942E-2</v>
      </c>
      <c r="CP251" s="101">
        <f t="shared" si="188"/>
        <v>1.2922670309609382E-3</v>
      </c>
      <c r="CQ251" s="100">
        <f t="shared" si="189"/>
        <v>6.8335926818443105E-3</v>
      </c>
      <c r="CR251" s="99">
        <f t="shared" si="190"/>
        <v>0.22471375639639382</v>
      </c>
      <c r="CS251" s="31">
        <v>1.5</v>
      </c>
      <c r="CT251" s="31">
        <v>1.5</v>
      </c>
      <c r="CU251" s="43">
        <v>0.1</v>
      </c>
      <c r="CV251" s="44">
        <v>0.39</v>
      </c>
      <c r="CW251" s="43">
        <v>2.1000000000000001E-2</v>
      </c>
      <c r="CX251" s="44">
        <v>0.15</v>
      </c>
    </row>
    <row r="252" spans="1:102" x14ac:dyDescent="0.25">
      <c r="A252" s="31">
        <v>238</v>
      </c>
      <c r="B252" s="83" t="s">
        <v>254</v>
      </c>
      <c r="C252" s="31">
        <v>40</v>
      </c>
      <c r="D252" s="31" t="s">
        <v>36</v>
      </c>
      <c r="E252" s="31" t="s">
        <v>5</v>
      </c>
      <c r="F252" s="31" t="s">
        <v>63</v>
      </c>
      <c r="G252" s="31" t="str">
        <f t="shared" si="191"/>
        <v>Kommunal 40 M 4S ES</v>
      </c>
      <c r="H252" s="48">
        <f t="shared" si="157"/>
        <v>6.9850047607336915E-2</v>
      </c>
      <c r="I252" s="40">
        <f t="shared" si="158"/>
        <v>6.2079889933154025E-2</v>
      </c>
      <c r="J252" s="99">
        <f t="shared" si="159"/>
        <v>2.7894618638550032E-4</v>
      </c>
      <c r="K252" s="48">
        <f t="shared" si="160"/>
        <v>9.4517409487071061E-3</v>
      </c>
      <c r="L252" s="48">
        <f t="shared" si="161"/>
        <v>5.234920279806142E-2</v>
      </c>
      <c r="M252" s="48">
        <f t="shared" si="192"/>
        <v>0.12698794294475246</v>
      </c>
      <c r="N252" s="99">
        <f t="shared" si="162"/>
        <v>1.8737039984073156E-3</v>
      </c>
      <c r="O252" s="48">
        <f t="shared" si="163"/>
        <v>1.068357678301694E-2</v>
      </c>
      <c r="P252" s="48">
        <f t="shared" si="164"/>
        <v>1.4177611423060659E-2</v>
      </c>
      <c r="Q252" s="48">
        <f t="shared" si="165"/>
        <v>7.8523804197092137E-2</v>
      </c>
      <c r="R252" s="40">
        <f t="shared" si="193"/>
        <v>0.88891560061326724</v>
      </c>
      <c r="S252" s="99">
        <f t="shared" si="166"/>
        <v>2.8105559976109732E-3</v>
      </c>
      <c r="T252" s="48">
        <f t="shared" si="167"/>
        <v>1.6025365174525411E-2</v>
      </c>
      <c r="U252" s="40">
        <v>2.0200752</v>
      </c>
      <c r="V252" s="40">
        <v>1.2</v>
      </c>
      <c r="W252" s="41">
        <v>0.1</v>
      </c>
      <c r="X252" s="40">
        <v>0.82001395080725714</v>
      </c>
      <c r="Y252" s="42">
        <v>0</v>
      </c>
      <c r="Z252" s="42">
        <v>10.17410703682936</v>
      </c>
      <c r="AA252" s="42">
        <v>89.825892963170645</v>
      </c>
      <c r="AB252" s="42">
        <v>3.5871559633027528</v>
      </c>
      <c r="AC252" s="125">
        <v>1.1000000000000001</v>
      </c>
      <c r="AD252" s="94">
        <f t="shared" si="194"/>
        <v>4.3170888571824884E-2</v>
      </c>
      <c r="AE252" s="94">
        <f t="shared" si="210"/>
        <v>3.5400730897641987E-2</v>
      </c>
      <c r="AF252" s="96">
        <f t="shared" si="211"/>
        <v>0</v>
      </c>
      <c r="AG252" s="95">
        <f t="shared" si="218"/>
        <v>3.6017082533460185E-3</v>
      </c>
      <c r="AH252" s="94">
        <f t="shared" si="219"/>
        <v>3.1799022644295974E-2</v>
      </c>
      <c r="AI252" s="94">
        <f t="shared" si="213"/>
        <v>0.12698794294475246</v>
      </c>
      <c r="AJ252" s="96">
        <f t="shared" si="169"/>
        <v>8.2810369358489477E-4</v>
      </c>
      <c r="AK252" s="95">
        <f t="shared" si="170"/>
        <v>5.1423512546953619E-3</v>
      </c>
      <c r="AL252" s="95">
        <f t="shared" si="171"/>
        <v>5.402562380019028E-3</v>
      </c>
      <c r="AM252" s="94">
        <f t="shared" si="172"/>
        <v>4.7698533966443961E-2</v>
      </c>
      <c r="AN252" s="93">
        <f t="shared" si="173"/>
        <v>0.88891560061326724</v>
      </c>
      <c r="AO252" s="96">
        <f t="shared" si="174"/>
        <v>1.2421555403773423E-3</v>
      </c>
      <c r="AP252" s="95">
        <f t="shared" si="175"/>
        <v>7.7135268820430428E-3</v>
      </c>
      <c r="AQ252" s="93">
        <f t="shared" si="176"/>
        <v>0.10174107036829359</v>
      </c>
      <c r="AR252" s="31">
        <v>1.5</v>
      </c>
      <c r="AS252" s="31">
        <v>1.5</v>
      </c>
      <c r="AT252" s="31">
        <v>7</v>
      </c>
      <c r="AU252" s="43">
        <v>7.0999999999999994E-2</v>
      </c>
      <c r="AV252" s="44">
        <v>0.28000000000000003</v>
      </c>
      <c r="AW252" s="43">
        <v>1.7999999999999999E-2</v>
      </c>
      <c r="AX252" s="44">
        <v>0.13</v>
      </c>
      <c r="AY252" s="40">
        <v>6.316987959964214</v>
      </c>
      <c r="AZ252" s="41">
        <v>0.5</v>
      </c>
      <c r="BA252" s="40">
        <v>0.72</v>
      </c>
      <c r="BB252" s="45">
        <v>1</v>
      </c>
      <c r="BC252" s="41">
        <v>2.8979862246705492</v>
      </c>
      <c r="BD252" s="41">
        <v>22.894025067660387</v>
      </c>
      <c r="BE252" s="41">
        <v>74.207988707669074</v>
      </c>
      <c r="BF252" s="125">
        <v>1.1000000000000001</v>
      </c>
      <c r="BG252" s="48">
        <f t="shared" si="198"/>
        <v>4.0294946924222409E-3</v>
      </c>
      <c r="BH252" s="48">
        <f t="shared" si="214"/>
        <v>4.0294946924222409E-3</v>
      </c>
      <c r="BI252" s="99">
        <f t="shared" si="215"/>
        <v>1.1677420111022746E-4</v>
      </c>
      <c r="BJ252" s="99">
        <f t="shared" si="201"/>
        <v>9.2251352498319257E-4</v>
      </c>
      <c r="BK252" s="48">
        <f t="shared" si="216"/>
        <v>2.9902069663288212E-3</v>
      </c>
      <c r="BL252" s="99">
        <f t="shared" si="177"/>
        <v>1.8408895084846195E-4</v>
      </c>
      <c r="BM252" s="48">
        <f t="shared" si="178"/>
        <v>9.8549707375870498E-4</v>
      </c>
      <c r="BN252" s="48">
        <f t="shared" si="179"/>
        <v>1.3837702874747889E-3</v>
      </c>
      <c r="BO252" s="48">
        <f t="shared" si="180"/>
        <v>4.4853104494932319E-3</v>
      </c>
      <c r="BP252" s="99">
        <f t="shared" si="181"/>
        <v>2.7613342627269295E-4</v>
      </c>
      <c r="BQ252" s="48">
        <f t="shared" si="182"/>
        <v>1.4782456106380577E-3</v>
      </c>
      <c r="BR252" s="40">
        <f t="shared" si="183"/>
        <v>0.25792011292330935</v>
      </c>
      <c r="BS252" s="31">
        <v>1.5</v>
      </c>
      <c r="BT252" s="31">
        <v>1.5</v>
      </c>
      <c r="BU252" s="43">
        <v>0.125</v>
      </c>
      <c r="BV252" s="44">
        <v>0.42</v>
      </c>
      <c r="BW252" s="43">
        <v>2.3E-2</v>
      </c>
      <c r="BX252" s="44">
        <v>0.2</v>
      </c>
      <c r="BY252" s="40">
        <v>15.675043576489315</v>
      </c>
      <c r="BZ252" s="40">
        <v>0.52</v>
      </c>
      <c r="CA252" s="40">
        <v>0.65</v>
      </c>
      <c r="CB252" s="45">
        <v>1</v>
      </c>
      <c r="CC252" s="41">
        <v>0.71600171560489401</v>
      </c>
      <c r="CD252" s="41">
        <v>21.755373924034487</v>
      </c>
      <c r="CE252" s="41">
        <v>77.528624360360624</v>
      </c>
      <c r="CF252" s="125">
        <v>1.1000000000000001</v>
      </c>
      <c r="CG252" s="40">
        <f t="shared" si="203"/>
        <v>2.2649664343089796E-2</v>
      </c>
      <c r="CH252" s="40">
        <f t="shared" si="217"/>
        <v>2.2649664343089796E-2</v>
      </c>
      <c r="CI252" s="99">
        <f t="shared" si="205"/>
        <v>1.6217198527527287E-4</v>
      </c>
      <c r="CJ252" s="100">
        <f t="shared" si="206"/>
        <v>4.9275191703778949E-3</v>
      </c>
      <c r="CK252" s="100">
        <f t="shared" si="207"/>
        <v>1.7559973187436628E-2</v>
      </c>
      <c r="CL252" s="101">
        <f t="shared" si="184"/>
        <v>8.6151135397395879E-4</v>
      </c>
      <c r="CM252" s="100">
        <f t="shared" si="185"/>
        <v>4.5557284545628737E-3</v>
      </c>
      <c r="CN252" s="100">
        <f t="shared" si="186"/>
        <v>7.3912787555668429E-3</v>
      </c>
      <c r="CO252" s="100">
        <f t="shared" si="187"/>
        <v>2.6339959781154942E-2</v>
      </c>
      <c r="CP252" s="101">
        <f t="shared" si="188"/>
        <v>1.2922670309609382E-3</v>
      </c>
      <c r="CQ252" s="100">
        <f t="shared" si="189"/>
        <v>6.8335926818443105E-3</v>
      </c>
      <c r="CR252" s="99">
        <f t="shared" si="190"/>
        <v>0.22471375639639382</v>
      </c>
      <c r="CS252" s="31">
        <v>1.5</v>
      </c>
      <c r="CT252" s="31">
        <v>1.5</v>
      </c>
      <c r="CU252" s="43">
        <v>0.1</v>
      </c>
      <c r="CV252" s="44">
        <v>0.39</v>
      </c>
      <c r="CW252" s="43">
        <v>2.1000000000000001E-2</v>
      </c>
      <c r="CX252" s="44">
        <v>0.15</v>
      </c>
    </row>
    <row r="253" spans="1:102" x14ac:dyDescent="0.25">
      <c r="A253" s="31">
        <v>239</v>
      </c>
      <c r="B253" s="83" t="s">
        <v>254</v>
      </c>
      <c r="C253" s="31">
        <v>40</v>
      </c>
      <c r="D253" s="31" t="s">
        <v>36</v>
      </c>
      <c r="E253" s="31" t="s">
        <v>5</v>
      </c>
      <c r="F253" s="31" t="s">
        <v>64</v>
      </c>
      <c r="G253" s="31" t="str">
        <f t="shared" si="191"/>
        <v>Kommunal 40 M 4S F</v>
      </c>
      <c r="H253" s="48">
        <f t="shared" si="157"/>
        <v>4.1549797013209572E-2</v>
      </c>
      <c r="I253" s="40">
        <f t="shared" si="158"/>
        <v>4.1188924603637128E-2</v>
      </c>
      <c r="J253" s="99">
        <f t="shared" si="159"/>
        <v>3.8102477665723667E-4</v>
      </c>
      <c r="K253" s="48">
        <f t="shared" si="160"/>
        <v>7.7109985444083519E-3</v>
      </c>
      <c r="L253" s="48">
        <f t="shared" si="161"/>
        <v>3.3096901282571548E-2</v>
      </c>
      <c r="M253" s="48">
        <f t="shared" si="192"/>
        <v>5.2048792083824902E-2</v>
      </c>
      <c r="N253" s="99">
        <f t="shared" si="162"/>
        <v>1.4035698604232861E-3</v>
      </c>
      <c r="O253" s="48">
        <f t="shared" si="163"/>
        <v>7.6933697127996052E-3</v>
      </c>
      <c r="P253" s="48">
        <f t="shared" si="164"/>
        <v>1.1566497816612528E-2</v>
      </c>
      <c r="Q253" s="48">
        <f t="shared" si="165"/>
        <v>4.9645351923857314E-2</v>
      </c>
      <c r="R253" s="40">
        <f t="shared" si="193"/>
        <v>0.36434154458677431</v>
      </c>
      <c r="S253" s="99">
        <f t="shared" si="166"/>
        <v>2.1053547906349293E-3</v>
      </c>
      <c r="T253" s="48">
        <f t="shared" si="167"/>
        <v>1.1540054569199407E-2</v>
      </c>
      <c r="U253" s="40">
        <v>0.20459736000000001</v>
      </c>
      <c r="V253" s="40">
        <v>1.45</v>
      </c>
      <c r="W253" s="41">
        <v>0.5</v>
      </c>
      <c r="X253" s="40">
        <v>0.97573255363262401</v>
      </c>
      <c r="Y253" s="42">
        <v>0.70351646821904223</v>
      </c>
      <c r="Z253" s="42">
        <v>12.825609347785846</v>
      </c>
      <c r="AA253" s="42">
        <v>86.470874183995107</v>
      </c>
      <c r="AB253" s="42">
        <v>3.5871559633027532</v>
      </c>
      <c r="AC253" s="125">
        <v>1.1000000000000001</v>
      </c>
      <c r="AD253" s="94">
        <f t="shared" si="194"/>
        <v>1.4870637977697537E-2</v>
      </c>
      <c r="AE253" s="94">
        <f t="shared" si="210"/>
        <v>1.4509765568125096E-2</v>
      </c>
      <c r="AF253" s="96">
        <f t="shared" si="211"/>
        <v>1.0207859027173632E-4</v>
      </c>
      <c r="AG253" s="95">
        <f t="shared" si="218"/>
        <v>1.8609658490472644E-3</v>
      </c>
      <c r="AH253" s="94">
        <f t="shared" si="219"/>
        <v>1.2546721128806095E-2</v>
      </c>
      <c r="AI253" s="94">
        <f t="shared" si="213"/>
        <v>5.2048792083824902E-2</v>
      </c>
      <c r="AJ253" s="96">
        <f t="shared" si="169"/>
        <v>3.5796955560086542E-4</v>
      </c>
      <c r="AK253" s="95">
        <f t="shared" si="170"/>
        <v>2.1521441844780265E-3</v>
      </c>
      <c r="AL253" s="95">
        <f t="shared" si="171"/>
        <v>2.7914487735708968E-3</v>
      </c>
      <c r="AM253" s="94">
        <f t="shared" si="172"/>
        <v>1.8820081693209142E-2</v>
      </c>
      <c r="AN253" s="93">
        <f t="shared" si="173"/>
        <v>0.36434154458677431</v>
      </c>
      <c r="AO253" s="96">
        <f t="shared" si="174"/>
        <v>5.3695433340129818E-4</v>
      </c>
      <c r="AP253" s="95">
        <f t="shared" si="175"/>
        <v>3.2282162767170398E-3</v>
      </c>
      <c r="AQ253" s="93">
        <f t="shared" si="176"/>
        <v>0.13529125816004886</v>
      </c>
      <c r="AR253" s="31">
        <v>1.5</v>
      </c>
      <c r="AS253" s="31">
        <v>1.5</v>
      </c>
      <c r="AT253" s="31">
        <v>7</v>
      </c>
      <c r="AU253" s="43">
        <v>7.0999999999999994E-2</v>
      </c>
      <c r="AV253" s="44">
        <v>0.28000000000000003</v>
      </c>
      <c r="AW253" s="43">
        <v>1.7999999999999999E-2</v>
      </c>
      <c r="AX253" s="44">
        <v>0.13</v>
      </c>
      <c r="AY253" s="40">
        <v>6.316987959964214</v>
      </c>
      <c r="AZ253" s="41">
        <v>0.5</v>
      </c>
      <c r="BA253" s="40">
        <v>0.72</v>
      </c>
      <c r="BB253" s="45">
        <v>1</v>
      </c>
      <c r="BC253" s="41">
        <v>2.8979862246705492</v>
      </c>
      <c r="BD253" s="41">
        <v>22.894025067660383</v>
      </c>
      <c r="BE253" s="41">
        <v>74.207988707669074</v>
      </c>
      <c r="BF253" s="125">
        <v>1.1000000000000001</v>
      </c>
      <c r="BG253" s="48">
        <f t="shared" si="198"/>
        <v>4.0294946924222409E-3</v>
      </c>
      <c r="BH253" s="48">
        <f t="shared" si="214"/>
        <v>4.0294946924222409E-3</v>
      </c>
      <c r="BI253" s="99">
        <f t="shared" si="215"/>
        <v>1.1677420111022746E-4</v>
      </c>
      <c r="BJ253" s="99">
        <f t="shared" si="201"/>
        <v>9.2251352498319247E-4</v>
      </c>
      <c r="BK253" s="48">
        <f t="shared" si="216"/>
        <v>2.9902069663288212E-3</v>
      </c>
      <c r="BL253" s="99">
        <f t="shared" si="177"/>
        <v>1.8408895084846193E-4</v>
      </c>
      <c r="BM253" s="48">
        <f t="shared" si="178"/>
        <v>9.8549707375870498E-4</v>
      </c>
      <c r="BN253" s="48">
        <f t="shared" si="179"/>
        <v>1.3837702874747886E-3</v>
      </c>
      <c r="BO253" s="48">
        <f t="shared" si="180"/>
        <v>4.4853104494932319E-3</v>
      </c>
      <c r="BP253" s="99">
        <f t="shared" si="181"/>
        <v>2.7613342627269289E-4</v>
      </c>
      <c r="BQ253" s="48">
        <f t="shared" si="182"/>
        <v>1.4782456106380575E-3</v>
      </c>
      <c r="BR253" s="40">
        <f t="shared" si="183"/>
        <v>0.2579201129233093</v>
      </c>
      <c r="BS253" s="31">
        <v>1.5</v>
      </c>
      <c r="BT253" s="31">
        <v>1.5</v>
      </c>
      <c r="BU253" s="43">
        <v>0.125</v>
      </c>
      <c r="BV253" s="44">
        <v>0.42</v>
      </c>
      <c r="BW253" s="43">
        <v>2.3E-2</v>
      </c>
      <c r="BX253" s="44">
        <v>0.2</v>
      </c>
      <c r="BY253" s="40">
        <v>15.675043576489314</v>
      </c>
      <c r="BZ253" s="40">
        <v>0.52</v>
      </c>
      <c r="CA253" s="40">
        <v>0.65</v>
      </c>
      <c r="CB253" s="45">
        <v>1</v>
      </c>
      <c r="CC253" s="41">
        <v>0.71600171560489401</v>
      </c>
      <c r="CD253" s="41">
        <v>21.755373924034487</v>
      </c>
      <c r="CE253" s="41">
        <v>77.528624360360624</v>
      </c>
      <c r="CF253" s="125">
        <v>1.1000000000000001</v>
      </c>
      <c r="CG253" s="40">
        <f t="shared" si="203"/>
        <v>2.2649664343089796E-2</v>
      </c>
      <c r="CH253" s="40">
        <f t="shared" si="217"/>
        <v>2.2649664343089796E-2</v>
      </c>
      <c r="CI253" s="99">
        <f t="shared" si="205"/>
        <v>1.6217198527527287E-4</v>
      </c>
      <c r="CJ253" s="100">
        <f t="shared" si="206"/>
        <v>4.9275191703778949E-3</v>
      </c>
      <c r="CK253" s="100">
        <f t="shared" si="207"/>
        <v>1.7559973187436628E-2</v>
      </c>
      <c r="CL253" s="101">
        <f t="shared" si="184"/>
        <v>8.6151135397395879E-4</v>
      </c>
      <c r="CM253" s="100">
        <f t="shared" si="185"/>
        <v>4.5557284545628737E-3</v>
      </c>
      <c r="CN253" s="100">
        <f t="shared" si="186"/>
        <v>7.3912787555668429E-3</v>
      </c>
      <c r="CO253" s="100">
        <f t="shared" si="187"/>
        <v>2.6339959781154942E-2</v>
      </c>
      <c r="CP253" s="101">
        <f t="shared" si="188"/>
        <v>1.2922670309609382E-3</v>
      </c>
      <c r="CQ253" s="100">
        <f t="shared" si="189"/>
        <v>6.8335926818443105E-3</v>
      </c>
      <c r="CR253" s="99">
        <f t="shared" si="190"/>
        <v>0.22471375639639382</v>
      </c>
      <c r="CS253" s="31">
        <v>1.5</v>
      </c>
      <c r="CT253" s="31">
        <v>1.5</v>
      </c>
      <c r="CU253" s="43">
        <v>0.1</v>
      </c>
      <c r="CV253" s="44">
        <v>0.39</v>
      </c>
      <c r="CW253" s="43">
        <v>2.1000000000000001E-2</v>
      </c>
      <c r="CX253" s="44">
        <v>0.15</v>
      </c>
    </row>
    <row r="254" spans="1:102" x14ac:dyDescent="0.25">
      <c r="A254" s="31">
        <v>240</v>
      </c>
      <c r="B254" s="83" t="s">
        <v>254</v>
      </c>
      <c r="C254" s="31">
        <v>40</v>
      </c>
      <c r="D254" s="31" t="s">
        <v>36</v>
      </c>
      <c r="E254" s="31" t="s">
        <v>6</v>
      </c>
      <c r="F254" s="31" t="s">
        <v>12</v>
      </c>
      <c r="G254" s="31" t="str">
        <f t="shared" si="191"/>
        <v>Kommunal 40 Y 4S A</v>
      </c>
      <c r="H254" s="48">
        <f t="shared" si="157"/>
        <v>6.1440980656771962E-2</v>
      </c>
      <c r="I254" s="40">
        <f t="shared" si="158"/>
        <v>5.9098419523706924E-2</v>
      </c>
      <c r="J254" s="99">
        <f t="shared" si="159"/>
        <v>5.0862301449690729E-4</v>
      </c>
      <c r="K254" s="48">
        <f t="shared" si="160"/>
        <v>1.1153785365145791E-2</v>
      </c>
      <c r="L254" s="48">
        <f t="shared" si="161"/>
        <v>4.7436011144064233E-2</v>
      </c>
      <c r="M254" s="48">
        <f t="shared" si="192"/>
        <v>9.4814885854799247E-2</v>
      </c>
      <c r="N254" s="99">
        <f t="shared" si="162"/>
        <v>1.9061117022025125E-3</v>
      </c>
      <c r="O254" s="48">
        <f t="shared" si="163"/>
        <v>1.0521434304600136E-2</v>
      </c>
      <c r="P254" s="48">
        <f t="shared" si="164"/>
        <v>1.6730678047718689E-2</v>
      </c>
      <c r="Q254" s="48">
        <f t="shared" si="165"/>
        <v>7.1154016716096349E-2</v>
      </c>
      <c r="R254" s="40">
        <f t="shared" si="193"/>
        <v>0.66370420098359473</v>
      </c>
      <c r="S254" s="99">
        <f t="shared" si="166"/>
        <v>2.8591675533037693E-3</v>
      </c>
      <c r="T254" s="48">
        <f t="shared" si="167"/>
        <v>1.5782151456900206E-2</v>
      </c>
      <c r="U254" s="40">
        <v>0.47826979199999992</v>
      </c>
      <c r="V254" s="40">
        <v>1.45</v>
      </c>
      <c r="W254" s="41">
        <v>0.5</v>
      </c>
      <c r="X254" s="40">
        <v>0.93261109390100705</v>
      </c>
      <c r="Y254" s="42">
        <v>0.70845794954218966</v>
      </c>
      <c r="Z254" s="42">
        <v>16.35988171820269</v>
      </c>
      <c r="AA254" s="42">
        <v>82.93166033225512</v>
      </c>
      <c r="AB254" s="42">
        <v>2.9246467817896402</v>
      </c>
      <c r="AC254" s="125">
        <v>1.1000000000000001</v>
      </c>
      <c r="AD254" s="94">
        <f t="shared" si="194"/>
        <v>3.4761821621259931E-2</v>
      </c>
      <c r="AE254" s="94">
        <f t="shared" si="210"/>
        <v>3.24192604881949E-2</v>
      </c>
      <c r="AF254" s="96">
        <f t="shared" si="211"/>
        <v>2.2967682811140687E-4</v>
      </c>
      <c r="AG254" s="95">
        <f t="shared" si="218"/>
        <v>5.3037526697847061E-3</v>
      </c>
      <c r="AH254" s="94">
        <f t="shared" si="219"/>
        <v>2.688583099029879E-2</v>
      </c>
      <c r="AI254" s="94">
        <f t="shared" si="213"/>
        <v>9.4814885854799247E-2</v>
      </c>
      <c r="AJ254" s="96">
        <f t="shared" si="169"/>
        <v>8.6051139738009227E-4</v>
      </c>
      <c r="AK254" s="95">
        <f t="shared" si="170"/>
        <v>4.9802087762785604E-3</v>
      </c>
      <c r="AL254" s="95">
        <f t="shared" si="171"/>
        <v>7.9556290046770596E-3</v>
      </c>
      <c r="AM254" s="94">
        <f t="shared" si="172"/>
        <v>4.0328746485448187E-2</v>
      </c>
      <c r="AN254" s="93">
        <f t="shared" si="173"/>
        <v>0.66370420098359473</v>
      </c>
      <c r="AO254" s="96">
        <f t="shared" si="174"/>
        <v>1.2907670960701386E-3</v>
      </c>
      <c r="AP254" s="95">
        <f t="shared" si="175"/>
        <v>7.4703131644178414E-3</v>
      </c>
      <c r="AQ254" s="93">
        <f t="shared" si="176"/>
        <v>0.17068339667744881</v>
      </c>
      <c r="AR254" s="31">
        <v>1.5</v>
      </c>
      <c r="AS254" s="31">
        <v>1.5</v>
      </c>
      <c r="AT254" s="31">
        <v>7</v>
      </c>
      <c r="AU254" s="43">
        <v>7.0999999999999994E-2</v>
      </c>
      <c r="AV254" s="44">
        <v>0.28000000000000003</v>
      </c>
      <c r="AW254" s="43">
        <v>1.7999999999999999E-2</v>
      </c>
      <c r="AX254" s="44">
        <v>0.13</v>
      </c>
      <c r="AY254" s="40">
        <v>6.3169879599642158</v>
      </c>
      <c r="AZ254" s="41">
        <v>0.5</v>
      </c>
      <c r="BA254" s="40">
        <v>0.72</v>
      </c>
      <c r="BB254" s="45">
        <v>1</v>
      </c>
      <c r="BC254" s="41">
        <v>2.8979862246705488</v>
      </c>
      <c r="BD254" s="41">
        <v>22.894025067660387</v>
      </c>
      <c r="BE254" s="41">
        <v>74.20798870766906</v>
      </c>
      <c r="BF254" s="125">
        <v>1.1000000000000001</v>
      </c>
      <c r="BG254" s="48">
        <f t="shared" si="198"/>
        <v>4.0294946924222417E-3</v>
      </c>
      <c r="BH254" s="48">
        <f t="shared" si="214"/>
        <v>4.0294946924222417E-3</v>
      </c>
      <c r="BI254" s="99">
        <f t="shared" si="215"/>
        <v>1.1677420111022746E-4</v>
      </c>
      <c r="BJ254" s="99">
        <f t="shared" si="201"/>
        <v>9.2251352498319279E-4</v>
      </c>
      <c r="BK254" s="48">
        <f t="shared" si="216"/>
        <v>2.9902069663288212E-3</v>
      </c>
      <c r="BL254" s="99">
        <f t="shared" si="177"/>
        <v>1.8408895084846198E-4</v>
      </c>
      <c r="BM254" s="48">
        <f t="shared" si="178"/>
        <v>9.854970737587052E-4</v>
      </c>
      <c r="BN254" s="48">
        <f t="shared" si="179"/>
        <v>1.3837702874747891E-3</v>
      </c>
      <c r="BO254" s="48">
        <f t="shared" si="180"/>
        <v>4.4853104494932319E-3</v>
      </c>
      <c r="BP254" s="99">
        <f t="shared" si="181"/>
        <v>2.7613342627269295E-4</v>
      </c>
      <c r="BQ254" s="48">
        <f t="shared" si="182"/>
        <v>1.4782456106380579E-3</v>
      </c>
      <c r="BR254" s="40">
        <f t="shared" si="183"/>
        <v>0.25792011292330935</v>
      </c>
      <c r="BS254" s="31">
        <v>1.5</v>
      </c>
      <c r="BT254" s="31">
        <v>1.5</v>
      </c>
      <c r="BU254" s="43">
        <v>0.125</v>
      </c>
      <c r="BV254" s="44">
        <v>0.42</v>
      </c>
      <c r="BW254" s="43">
        <v>2.3E-2</v>
      </c>
      <c r="BX254" s="44">
        <v>0.2</v>
      </c>
      <c r="BY254" s="40">
        <v>15.675043576489312</v>
      </c>
      <c r="BZ254" s="40">
        <v>0.52</v>
      </c>
      <c r="CA254" s="40">
        <v>0.65</v>
      </c>
      <c r="CB254" s="45">
        <v>1</v>
      </c>
      <c r="CC254" s="41">
        <v>0.71600171560489423</v>
      </c>
      <c r="CD254" s="41">
        <v>21.755373924034487</v>
      </c>
      <c r="CE254" s="41">
        <v>77.52862436036061</v>
      </c>
      <c r="CF254" s="125">
        <v>1.1000000000000001</v>
      </c>
      <c r="CG254" s="40">
        <f t="shared" si="203"/>
        <v>2.2649664343089789E-2</v>
      </c>
      <c r="CH254" s="40">
        <f t="shared" si="217"/>
        <v>2.2649664343089789E-2</v>
      </c>
      <c r="CI254" s="99">
        <f t="shared" si="205"/>
        <v>1.621719852752729E-4</v>
      </c>
      <c r="CJ254" s="100">
        <f t="shared" si="206"/>
        <v>4.9275191703778932E-3</v>
      </c>
      <c r="CK254" s="100">
        <f t="shared" si="207"/>
        <v>1.7559973187436621E-2</v>
      </c>
      <c r="CL254" s="101">
        <f t="shared" si="184"/>
        <v>8.6151135397395846E-4</v>
      </c>
      <c r="CM254" s="100">
        <f t="shared" si="185"/>
        <v>4.5557284545628719E-3</v>
      </c>
      <c r="CN254" s="100">
        <f t="shared" si="186"/>
        <v>7.3912787555668394E-3</v>
      </c>
      <c r="CO254" s="100">
        <f t="shared" si="187"/>
        <v>2.6339959781154932E-2</v>
      </c>
      <c r="CP254" s="101">
        <f t="shared" si="188"/>
        <v>1.2922670309609375E-3</v>
      </c>
      <c r="CQ254" s="100">
        <f t="shared" si="189"/>
        <v>6.8335926818443079E-3</v>
      </c>
      <c r="CR254" s="99">
        <f t="shared" si="190"/>
        <v>0.22471375639639382</v>
      </c>
      <c r="CS254" s="31">
        <v>1.5</v>
      </c>
      <c r="CT254" s="31">
        <v>1.5</v>
      </c>
      <c r="CU254" s="43">
        <v>0.1</v>
      </c>
      <c r="CV254" s="44">
        <v>0.39</v>
      </c>
      <c r="CW254" s="43">
        <v>2.1000000000000001E-2</v>
      </c>
      <c r="CX254" s="44">
        <v>0.15</v>
      </c>
    </row>
    <row r="255" spans="1:102" x14ac:dyDescent="0.25">
      <c r="A255" s="31">
        <v>241</v>
      </c>
      <c r="B255" s="83" t="s">
        <v>254</v>
      </c>
      <c r="C255" s="31">
        <v>40</v>
      </c>
      <c r="D255" s="31" t="s">
        <v>36</v>
      </c>
      <c r="E255" s="31" t="s">
        <v>6</v>
      </c>
      <c r="F255" s="31" t="s">
        <v>13</v>
      </c>
      <c r="G255" s="31" t="str">
        <f t="shared" si="191"/>
        <v>Kommunal 40 Y 4S B</v>
      </c>
      <c r="H255" s="48">
        <f t="shared" si="157"/>
        <v>6.1440980656771962E-2</v>
      </c>
      <c r="I255" s="40">
        <f t="shared" si="158"/>
        <v>5.9098419523706924E-2</v>
      </c>
      <c r="J255" s="99">
        <f t="shared" si="159"/>
        <v>5.0862301449690729E-4</v>
      </c>
      <c r="K255" s="48">
        <f t="shared" si="160"/>
        <v>1.1153785365145791E-2</v>
      </c>
      <c r="L255" s="48">
        <f t="shared" si="161"/>
        <v>4.7436011144064233E-2</v>
      </c>
      <c r="M255" s="48">
        <f t="shared" si="192"/>
        <v>9.4814885854799247E-2</v>
      </c>
      <c r="N255" s="99">
        <f t="shared" si="162"/>
        <v>1.9061117022025125E-3</v>
      </c>
      <c r="O255" s="48">
        <f t="shared" si="163"/>
        <v>1.0521434304600136E-2</v>
      </c>
      <c r="P255" s="48">
        <f t="shared" si="164"/>
        <v>1.6730678047718689E-2</v>
      </c>
      <c r="Q255" s="48">
        <f t="shared" si="165"/>
        <v>7.1154016716096349E-2</v>
      </c>
      <c r="R255" s="40">
        <f t="shared" si="193"/>
        <v>0.66370420098359473</v>
      </c>
      <c r="S255" s="99">
        <f t="shared" si="166"/>
        <v>2.8591675533037693E-3</v>
      </c>
      <c r="T255" s="48">
        <f t="shared" si="167"/>
        <v>1.5782151456900206E-2</v>
      </c>
      <c r="U255" s="40">
        <v>0.47826979199999992</v>
      </c>
      <c r="V255" s="40">
        <v>1.45</v>
      </c>
      <c r="W255" s="41">
        <v>0.5</v>
      </c>
      <c r="X255" s="40">
        <v>0.93261109390100705</v>
      </c>
      <c r="Y255" s="42">
        <v>0.70845794954218966</v>
      </c>
      <c r="Z255" s="42">
        <v>16.35988171820269</v>
      </c>
      <c r="AA255" s="42">
        <v>82.93166033225512</v>
      </c>
      <c r="AB255" s="42">
        <v>2.9246467817896402</v>
      </c>
      <c r="AC255" s="125">
        <v>1.1000000000000001</v>
      </c>
      <c r="AD255" s="94">
        <f t="shared" si="194"/>
        <v>3.4761821621259931E-2</v>
      </c>
      <c r="AE255" s="94">
        <f t="shared" si="210"/>
        <v>3.24192604881949E-2</v>
      </c>
      <c r="AF255" s="96">
        <f t="shared" si="211"/>
        <v>2.2967682811140687E-4</v>
      </c>
      <c r="AG255" s="95">
        <f t="shared" si="218"/>
        <v>5.3037526697847061E-3</v>
      </c>
      <c r="AH255" s="94">
        <f t="shared" si="219"/>
        <v>2.688583099029879E-2</v>
      </c>
      <c r="AI255" s="94">
        <f t="shared" si="213"/>
        <v>9.4814885854799247E-2</v>
      </c>
      <c r="AJ255" s="96">
        <f t="shared" si="169"/>
        <v>8.6051139738009227E-4</v>
      </c>
      <c r="AK255" s="95">
        <f t="shared" si="170"/>
        <v>4.9802087762785604E-3</v>
      </c>
      <c r="AL255" s="95">
        <f t="shared" si="171"/>
        <v>7.9556290046770596E-3</v>
      </c>
      <c r="AM255" s="94">
        <f t="shared" si="172"/>
        <v>4.0328746485448187E-2</v>
      </c>
      <c r="AN255" s="93">
        <f t="shared" si="173"/>
        <v>0.66370420098359473</v>
      </c>
      <c r="AO255" s="96">
        <f t="shared" si="174"/>
        <v>1.2907670960701386E-3</v>
      </c>
      <c r="AP255" s="95">
        <f t="shared" si="175"/>
        <v>7.4703131644178414E-3</v>
      </c>
      <c r="AQ255" s="93">
        <f t="shared" si="176"/>
        <v>0.17068339667744881</v>
      </c>
      <c r="AR255" s="31">
        <v>1.5</v>
      </c>
      <c r="AS255" s="31">
        <v>1.5</v>
      </c>
      <c r="AT255" s="31">
        <v>7</v>
      </c>
      <c r="AU255" s="43">
        <v>7.0999999999999994E-2</v>
      </c>
      <c r="AV255" s="44">
        <v>0.28000000000000003</v>
      </c>
      <c r="AW255" s="43">
        <v>1.7999999999999999E-2</v>
      </c>
      <c r="AX255" s="44">
        <v>0.13</v>
      </c>
      <c r="AY255" s="40">
        <v>6.3169879599642158</v>
      </c>
      <c r="AZ255" s="41">
        <v>0.5</v>
      </c>
      <c r="BA255" s="40">
        <v>0.72</v>
      </c>
      <c r="BB255" s="45">
        <v>1</v>
      </c>
      <c r="BC255" s="41">
        <v>2.8979862246705488</v>
      </c>
      <c r="BD255" s="41">
        <v>22.894025067660387</v>
      </c>
      <c r="BE255" s="41">
        <v>74.20798870766906</v>
      </c>
      <c r="BF255" s="125">
        <v>1.1000000000000001</v>
      </c>
      <c r="BG255" s="48">
        <f t="shared" si="198"/>
        <v>4.0294946924222417E-3</v>
      </c>
      <c r="BH255" s="48">
        <f t="shared" si="214"/>
        <v>4.0294946924222417E-3</v>
      </c>
      <c r="BI255" s="99">
        <f t="shared" si="215"/>
        <v>1.1677420111022746E-4</v>
      </c>
      <c r="BJ255" s="99">
        <f t="shared" si="201"/>
        <v>9.2251352498319279E-4</v>
      </c>
      <c r="BK255" s="48">
        <f t="shared" si="216"/>
        <v>2.9902069663288212E-3</v>
      </c>
      <c r="BL255" s="99">
        <f t="shared" si="177"/>
        <v>1.8408895084846198E-4</v>
      </c>
      <c r="BM255" s="48">
        <f t="shared" si="178"/>
        <v>9.854970737587052E-4</v>
      </c>
      <c r="BN255" s="48">
        <f t="shared" si="179"/>
        <v>1.3837702874747891E-3</v>
      </c>
      <c r="BO255" s="48">
        <f t="shared" si="180"/>
        <v>4.4853104494932319E-3</v>
      </c>
      <c r="BP255" s="99">
        <f t="shared" si="181"/>
        <v>2.7613342627269295E-4</v>
      </c>
      <c r="BQ255" s="48">
        <f t="shared" si="182"/>
        <v>1.4782456106380579E-3</v>
      </c>
      <c r="BR255" s="40">
        <f t="shared" si="183"/>
        <v>0.25792011292330935</v>
      </c>
      <c r="BS255" s="31">
        <v>1.5</v>
      </c>
      <c r="BT255" s="31">
        <v>1.5</v>
      </c>
      <c r="BU255" s="43">
        <v>0.125</v>
      </c>
      <c r="BV255" s="44">
        <v>0.42</v>
      </c>
      <c r="BW255" s="43">
        <v>2.3E-2</v>
      </c>
      <c r="BX255" s="44">
        <v>0.2</v>
      </c>
      <c r="BY255" s="40">
        <v>15.675043576489312</v>
      </c>
      <c r="BZ255" s="40">
        <v>0.52</v>
      </c>
      <c r="CA255" s="40">
        <v>0.65</v>
      </c>
      <c r="CB255" s="45">
        <v>1</v>
      </c>
      <c r="CC255" s="41">
        <v>0.71600171560489423</v>
      </c>
      <c r="CD255" s="41">
        <v>21.755373924034487</v>
      </c>
      <c r="CE255" s="41">
        <v>77.52862436036061</v>
      </c>
      <c r="CF255" s="125">
        <v>1.1000000000000001</v>
      </c>
      <c r="CG255" s="40">
        <f t="shared" si="203"/>
        <v>2.2649664343089789E-2</v>
      </c>
      <c r="CH255" s="40">
        <f t="shared" si="217"/>
        <v>2.2649664343089789E-2</v>
      </c>
      <c r="CI255" s="99">
        <f t="shared" si="205"/>
        <v>1.621719852752729E-4</v>
      </c>
      <c r="CJ255" s="100">
        <f t="shared" si="206"/>
        <v>4.9275191703778932E-3</v>
      </c>
      <c r="CK255" s="100">
        <f t="shared" si="207"/>
        <v>1.7559973187436621E-2</v>
      </c>
      <c r="CL255" s="101">
        <f t="shared" si="184"/>
        <v>8.6151135397395846E-4</v>
      </c>
      <c r="CM255" s="100">
        <f t="shared" si="185"/>
        <v>4.5557284545628719E-3</v>
      </c>
      <c r="CN255" s="100">
        <f t="shared" si="186"/>
        <v>7.3912787555668394E-3</v>
      </c>
      <c r="CO255" s="100">
        <f t="shared" si="187"/>
        <v>2.6339959781154932E-2</v>
      </c>
      <c r="CP255" s="101">
        <f t="shared" si="188"/>
        <v>1.2922670309609375E-3</v>
      </c>
      <c r="CQ255" s="100">
        <f t="shared" si="189"/>
        <v>6.8335926818443079E-3</v>
      </c>
      <c r="CR255" s="99">
        <f t="shared" si="190"/>
        <v>0.22471375639639382</v>
      </c>
      <c r="CS255" s="31">
        <v>1.5</v>
      </c>
      <c r="CT255" s="31">
        <v>1.5</v>
      </c>
      <c r="CU255" s="43">
        <v>0.1</v>
      </c>
      <c r="CV255" s="44">
        <v>0.39</v>
      </c>
      <c r="CW255" s="43">
        <v>2.1000000000000001E-2</v>
      </c>
      <c r="CX255" s="44">
        <v>0.15</v>
      </c>
    </row>
    <row r="256" spans="1:102" x14ac:dyDescent="0.25">
      <c r="A256" s="31">
        <v>242</v>
      </c>
      <c r="B256" s="83" t="s">
        <v>254</v>
      </c>
      <c r="C256" s="31">
        <v>40</v>
      </c>
      <c r="D256" s="31" t="s">
        <v>36</v>
      </c>
      <c r="E256" s="31" t="s">
        <v>6</v>
      </c>
      <c r="F256" s="31" t="s">
        <v>70</v>
      </c>
      <c r="G256" s="31" t="str">
        <f t="shared" si="191"/>
        <v>Kommunal 40 Y 4S Ck</v>
      </c>
      <c r="H256" s="48">
        <f t="shared" si="157"/>
        <v>5.7964798494645961E-2</v>
      </c>
      <c r="I256" s="40">
        <f t="shared" si="158"/>
        <v>5.5856493474887428E-2</v>
      </c>
      <c r="J256" s="99">
        <f t="shared" si="159"/>
        <v>4.8565533168576646E-4</v>
      </c>
      <c r="K256" s="48">
        <f t="shared" si="160"/>
        <v>1.0623410098167321E-2</v>
      </c>
      <c r="L256" s="48">
        <f t="shared" si="161"/>
        <v>4.4747428045034343E-2</v>
      </c>
      <c r="M256" s="48">
        <f t="shared" si="192"/>
        <v>8.5333397269319308E-2</v>
      </c>
      <c r="N256" s="99">
        <f t="shared" si="162"/>
        <v>1.8200605624645034E-3</v>
      </c>
      <c r="O256" s="48">
        <f t="shared" si="163"/>
        <v>1.0023413426972281E-2</v>
      </c>
      <c r="P256" s="48">
        <f t="shared" si="164"/>
        <v>1.5935115147250982E-2</v>
      </c>
      <c r="Q256" s="48">
        <f t="shared" si="165"/>
        <v>6.7121142067551529E-2</v>
      </c>
      <c r="R256" s="40">
        <f t="shared" si="193"/>
        <v>0.59733378088523514</v>
      </c>
      <c r="S256" s="99">
        <f t="shared" si="166"/>
        <v>2.7300908436967549E-3</v>
      </c>
      <c r="T256" s="48">
        <f t="shared" si="167"/>
        <v>1.5035120140458422E-2</v>
      </c>
      <c r="U256" s="40">
        <v>0.43044281279999991</v>
      </c>
      <c r="V256" s="40">
        <v>1.45</v>
      </c>
      <c r="W256" s="41">
        <v>0.5</v>
      </c>
      <c r="X256" s="40">
        <v>0.93261109390100705</v>
      </c>
      <c r="Y256" s="42">
        <v>0.70845794954218966</v>
      </c>
      <c r="Z256" s="42">
        <v>16.359881718202693</v>
      </c>
      <c r="AA256" s="42">
        <v>82.93166033225512</v>
      </c>
      <c r="AB256" s="42">
        <v>2.9246467817896402</v>
      </c>
      <c r="AC256" s="125">
        <v>1.1000000000000001</v>
      </c>
      <c r="AD256" s="94">
        <f t="shared" si="194"/>
        <v>3.1285639459133929E-2</v>
      </c>
      <c r="AE256" s="94">
        <f t="shared" si="210"/>
        <v>2.9177334439375403E-2</v>
      </c>
      <c r="AF256" s="96">
        <f t="shared" si="211"/>
        <v>2.0670914530026611E-4</v>
      </c>
      <c r="AG256" s="95">
        <f t="shared" si="218"/>
        <v>4.7733774028062351E-3</v>
      </c>
      <c r="AH256" s="94">
        <f t="shared" si="219"/>
        <v>2.4197247891268904E-2</v>
      </c>
      <c r="AI256" s="94">
        <f t="shared" si="213"/>
        <v>8.5333397269319308E-2</v>
      </c>
      <c r="AJ256" s="96">
        <f t="shared" si="169"/>
        <v>7.7446025764208283E-4</v>
      </c>
      <c r="AK256" s="95">
        <f t="shared" si="170"/>
        <v>4.4821878986507037E-3</v>
      </c>
      <c r="AL256" s="95">
        <f t="shared" si="171"/>
        <v>7.1600661042093526E-3</v>
      </c>
      <c r="AM256" s="94">
        <f t="shared" si="172"/>
        <v>3.6295871836903359E-2</v>
      </c>
      <c r="AN256" s="93">
        <f t="shared" si="173"/>
        <v>0.59733378088523514</v>
      </c>
      <c r="AO256" s="96">
        <f t="shared" si="174"/>
        <v>1.1616903864631245E-3</v>
      </c>
      <c r="AP256" s="95">
        <f t="shared" si="175"/>
        <v>6.7232818479760559E-3</v>
      </c>
      <c r="AQ256" s="93">
        <f t="shared" si="176"/>
        <v>0.17068339667744883</v>
      </c>
      <c r="AR256" s="31">
        <v>1.5</v>
      </c>
      <c r="AS256" s="31">
        <v>1.5</v>
      </c>
      <c r="AT256" s="31">
        <v>7</v>
      </c>
      <c r="AU256" s="43">
        <v>7.0999999999999994E-2</v>
      </c>
      <c r="AV256" s="44">
        <v>0.28000000000000003</v>
      </c>
      <c r="AW256" s="43">
        <v>1.7999999999999999E-2</v>
      </c>
      <c r="AX256" s="44">
        <v>0.13</v>
      </c>
      <c r="AY256" s="40">
        <v>6.3169879599642158</v>
      </c>
      <c r="AZ256" s="41">
        <v>0.5</v>
      </c>
      <c r="BA256" s="40">
        <v>0.72</v>
      </c>
      <c r="BB256" s="45">
        <v>1</v>
      </c>
      <c r="BC256" s="41">
        <v>2.8979862246705488</v>
      </c>
      <c r="BD256" s="41">
        <v>22.894025067660387</v>
      </c>
      <c r="BE256" s="41">
        <v>74.20798870766906</v>
      </c>
      <c r="BF256" s="125">
        <v>1.1000000000000001</v>
      </c>
      <c r="BG256" s="48">
        <f t="shared" si="198"/>
        <v>4.0294946924222417E-3</v>
      </c>
      <c r="BH256" s="48">
        <f t="shared" si="214"/>
        <v>4.0294946924222417E-3</v>
      </c>
      <c r="BI256" s="99">
        <f t="shared" si="215"/>
        <v>1.1677420111022746E-4</v>
      </c>
      <c r="BJ256" s="99">
        <f t="shared" si="201"/>
        <v>9.2251352498319279E-4</v>
      </c>
      <c r="BK256" s="48">
        <f t="shared" si="216"/>
        <v>2.9902069663288212E-3</v>
      </c>
      <c r="BL256" s="99">
        <f t="shared" si="177"/>
        <v>1.8408895084846198E-4</v>
      </c>
      <c r="BM256" s="48">
        <f t="shared" si="178"/>
        <v>9.854970737587052E-4</v>
      </c>
      <c r="BN256" s="48">
        <f t="shared" si="179"/>
        <v>1.3837702874747891E-3</v>
      </c>
      <c r="BO256" s="48">
        <f t="shared" si="180"/>
        <v>4.4853104494932319E-3</v>
      </c>
      <c r="BP256" s="99">
        <f t="shared" si="181"/>
        <v>2.7613342627269295E-4</v>
      </c>
      <c r="BQ256" s="48">
        <f t="shared" si="182"/>
        <v>1.4782456106380579E-3</v>
      </c>
      <c r="BR256" s="40">
        <f t="shared" si="183"/>
        <v>0.25792011292330935</v>
      </c>
      <c r="BS256" s="31">
        <v>1.5</v>
      </c>
      <c r="BT256" s="31">
        <v>1.5</v>
      </c>
      <c r="BU256" s="43">
        <v>0.125</v>
      </c>
      <c r="BV256" s="44">
        <v>0.42</v>
      </c>
      <c r="BW256" s="43">
        <v>2.3E-2</v>
      </c>
      <c r="BX256" s="44">
        <v>0.2</v>
      </c>
      <c r="BY256" s="40">
        <v>15.675043576489312</v>
      </c>
      <c r="BZ256" s="40">
        <v>0.52</v>
      </c>
      <c r="CA256" s="40">
        <v>0.65</v>
      </c>
      <c r="CB256" s="45">
        <v>1</v>
      </c>
      <c r="CC256" s="41">
        <v>0.71600171560489423</v>
      </c>
      <c r="CD256" s="41">
        <v>21.755373924034487</v>
      </c>
      <c r="CE256" s="41">
        <v>77.52862436036061</v>
      </c>
      <c r="CF256" s="125">
        <v>1.1000000000000001</v>
      </c>
      <c r="CG256" s="40">
        <f t="shared" si="203"/>
        <v>2.2649664343089789E-2</v>
      </c>
      <c r="CH256" s="40">
        <f t="shared" si="217"/>
        <v>2.2649664343089789E-2</v>
      </c>
      <c r="CI256" s="99">
        <f t="shared" si="205"/>
        <v>1.621719852752729E-4</v>
      </c>
      <c r="CJ256" s="100">
        <f t="shared" si="206"/>
        <v>4.9275191703778932E-3</v>
      </c>
      <c r="CK256" s="100">
        <f t="shared" si="207"/>
        <v>1.7559973187436621E-2</v>
      </c>
      <c r="CL256" s="101">
        <f t="shared" si="184"/>
        <v>8.6151135397395846E-4</v>
      </c>
      <c r="CM256" s="100">
        <f t="shared" si="185"/>
        <v>4.5557284545628719E-3</v>
      </c>
      <c r="CN256" s="100">
        <f t="shared" si="186"/>
        <v>7.3912787555668394E-3</v>
      </c>
      <c r="CO256" s="100">
        <f t="shared" si="187"/>
        <v>2.6339959781154932E-2</v>
      </c>
      <c r="CP256" s="101">
        <f t="shared" si="188"/>
        <v>1.2922670309609375E-3</v>
      </c>
      <c r="CQ256" s="100">
        <f t="shared" si="189"/>
        <v>6.8335926818443079E-3</v>
      </c>
      <c r="CR256" s="99">
        <f t="shared" si="190"/>
        <v>0.22471375639639382</v>
      </c>
      <c r="CS256" s="31">
        <v>1.5</v>
      </c>
      <c r="CT256" s="31">
        <v>1.5</v>
      </c>
      <c r="CU256" s="43">
        <v>0.1</v>
      </c>
      <c r="CV256" s="44">
        <v>0.39</v>
      </c>
      <c r="CW256" s="43">
        <v>2.1000000000000001E-2</v>
      </c>
      <c r="CX256" s="44">
        <v>0.15</v>
      </c>
    </row>
    <row r="257" spans="1:102" x14ac:dyDescent="0.25">
      <c r="A257" s="31">
        <v>243</v>
      </c>
      <c r="B257" s="83" t="s">
        <v>254</v>
      </c>
      <c r="C257" s="31">
        <v>40</v>
      </c>
      <c r="D257" s="31" t="s">
        <v>36</v>
      </c>
      <c r="E257" s="31" t="s">
        <v>6</v>
      </c>
      <c r="F257" s="31" t="s">
        <v>71</v>
      </c>
      <c r="G257" s="31" t="str">
        <f t="shared" si="191"/>
        <v>Kommunal 40 Y 4S Cm</v>
      </c>
      <c r="H257" s="48">
        <f t="shared" si="157"/>
        <v>5.7964798494645961E-2</v>
      </c>
      <c r="I257" s="40">
        <f t="shared" si="158"/>
        <v>5.5856493474887428E-2</v>
      </c>
      <c r="J257" s="99">
        <f t="shared" si="159"/>
        <v>4.8565533168576646E-4</v>
      </c>
      <c r="K257" s="48">
        <f t="shared" si="160"/>
        <v>1.0623410098167321E-2</v>
      </c>
      <c r="L257" s="48">
        <f t="shared" si="161"/>
        <v>4.4747428045034343E-2</v>
      </c>
      <c r="M257" s="48">
        <f t="shared" si="192"/>
        <v>8.5333397269319308E-2</v>
      </c>
      <c r="N257" s="99">
        <f t="shared" si="162"/>
        <v>1.8200605624645034E-3</v>
      </c>
      <c r="O257" s="48">
        <f t="shared" si="163"/>
        <v>1.0023413426972281E-2</v>
      </c>
      <c r="P257" s="48">
        <f t="shared" si="164"/>
        <v>1.5935115147250982E-2</v>
      </c>
      <c r="Q257" s="48">
        <f t="shared" si="165"/>
        <v>6.7121142067551529E-2</v>
      </c>
      <c r="R257" s="40">
        <f t="shared" si="193"/>
        <v>0.59733378088523514</v>
      </c>
      <c r="S257" s="99">
        <f t="shared" si="166"/>
        <v>2.7300908436967549E-3</v>
      </c>
      <c r="T257" s="48">
        <f t="shared" si="167"/>
        <v>1.5035120140458422E-2</v>
      </c>
      <c r="U257" s="40">
        <v>0.43044281279999991</v>
      </c>
      <c r="V257" s="40">
        <v>1.45</v>
      </c>
      <c r="W257" s="41">
        <v>0.5</v>
      </c>
      <c r="X257" s="40">
        <v>0.93261109390100705</v>
      </c>
      <c r="Y257" s="42">
        <v>0.70845794954218966</v>
      </c>
      <c r="Z257" s="42">
        <v>16.359881718202693</v>
      </c>
      <c r="AA257" s="42">
        <v>82.93166033225512</v>
      </c>
      <c r="AB257" s="42">
        <v>2.9246467817896402</v>
      </c>
      <c r="AC257" s="125">
        <v>1.1000000000000001</v>
      </c>
      <c r="AD257" s="94">
        <f t="shared" si="194"/>
        <v>3.1285639459133929E-2</v>
      </c>
      <c r="AE257" s="94">
        <f t="shared" si="210"/>
        <v>2.9177334439375403E-2</v>
      </c>
      <c r="AF257" s="96">
        <f t="shared" si="211"/>
        <v>2.0670914530026611E-4</v>
      </c>
      <c r="AG257" s="95">
        <f t="shared" si="218"/>
        <v>4.7733774028062351E-3</v>
      </c>
      <c r="AH257" s="94">
        <f t="shared" si="219"/>
        <v>2.4197247891268904E-2</v>
      </c>
      <c r="AI257" s="94">
        <f t="shared" si="213"/>
        <v>8.5333397269319308E-2</v>
      </c>
      <c r="AJ257" s="96">
        <f t="shared" si="169"/>
        <v>7.7446025764208283E-4</v>
      </c>
      <c r="AK257" s="95">
        <f t="shared" si="170"/>
        <v>4.4821878986507037E-3</v>
      </c>
      <c r="AL257" s="95">
        <f t="shared" si="171"/>
        <v>7.1600661042093526E-3</v>
      </c>
      <c r="AM257" s="94">
        <f t="shared" si="172"/>
        <v>3.6295871836903359E-2</v>
      </c>
      <c r="AN257" s="93">
        <f t="shared" si="173"/>
        <v>0.59733378088523514</v>
      </c>
      <c r="AO257" s="96">
        <f t="shared" si="174"/>
        <v>1.1616903864631245E-3</v>
      </c>
      <c r="AP257" s="95">
        <f t="shared" si="175"/>
        <v>6.7232818479760559E-3</v>
      </c>
      <c r="AQ257" s="93">
        <f t="shared" si="176"/>
        <v>0.17068339667744883</v>
      </c>
      <c r="AR257" s="31">
        <v>1.5</v>
      </c>
      <c r="AS257" s="31">
        <v>1.5</v>
      </c>
      <c r="AT257" s="31">
        <v>7</v>
      </c>
      <c r="AU257" s="43">
        <v>7.0999999999999994E-2</v>
      </c>
      <c r="AV257" s="44">
        <v>0.28000000000000003</v>
      </c>
      <c r="AW257" s="43">
        <v>1.7999999999999999E-2</v>
      </c>
      <c r="AX257" s="44">
        <v>0.13</v>
      </c>
      <c r="AY257" s="40">
        <v>6.3169879599642158</v>
      </c>
      <c r="AZ257" s="41">
        <v>0.5</v>
      </c>
      <c r="BA257" s="40">
        <v>0.72</v>
      </c>
      <c r="BB257" s="45">
        <v>1</v>
      </c>
      <c r="BC257" s="41">
        <v>2.8979862246705488</v>
      </c>
      <c r="BD257" s="41">
        <v>22.894025067660387</v>
      </c>
      <c r="BE257" s="41">
        <v>74.20798870766906</v>
      </c>
      <c r="BF257" s="125">
        <v>1.1000000000000001</v>
      </c>
      <c r="BG257" s="48">
        <f t="shared" si="198"/>
        <v>4.0294946924222417E-3</v>
      </c>
      <c r="BH257" s="48">
        <f t="shared" si="214"/>
        <v>4.0294946924222417E-3</v>
      </c>
      <c r="BI257" s="99">
        <f t="shared" si="215"/>
        <v>1.1677420111022746E-4</v>
      </c>
      <c r="BJ257" s="99">
        <f t="shared" si="201"/>
        <v>9.2251352498319279E-4</v>
      </c>
      <c r="BK257" s="48">
        <f t="shared" si="216"/>
        <v>2.9902069663288212E-3</v>
      </c>
      <c r="BL257" s="99">
        <f t="shared" si="177"/>
        <v>1.8408895084846198E-4</v>
      </c>
      <c r="BM257" s="48">
        <f t="shared" si="178"/>
        <v>9.854970737587052E-4</v>
      </c>
      <c r="BN257" s="48">
        <f t="shared" si="179"/>
        <v>1.3837702874747891E-3</v>
      </c>
      <c r="BO257" s="48">
        <f t="shared" si="180"/>
        <v>4.4853104494932319E-3</v>
      </c>
      <c r="BP257" s="99">
        <f t="shared" si="181"/>
        <v>2.7613342627269295E-4</v>
      </c>
      <c r="BQ257" s="48">
        <f t="shared" si="182"/>
        <v>1.4782456106380579E-3</v>
      </c>
      <c r="BR257" s="40">
        <f t="shared" si="183"/>
        <v>0.25792011292330935</v>
      </c>
      <c r="BS257" s="31">
        <v>1.5</v>
      </c>
      <c r="BT257" s="31">
        <v>1.5</v>
      </c>
      <c r="BU257" s="43">
        <v>0.125</v>
      </c>
      <c r="BV257" s="44">
        <v>0.42</v>
      </c>
      <c r="BW257" s="43">
        <v>2.3E-2</v>
      </c>
      <c r="BX257" s="44">
        <v>0.2</v>
      </c>
      <c r="BY257" s="40">
        <v>15.675043576489312</v>
      </c>
      <c r="BZ257" s="40">
        <v>0.52</v>
      </c>
      <c r="CA257" s="40">
        <v>0.65</v>
      </c>
      <c r="CB257" s="45">
        <v>1</v>
      </c>
      <c r="CC257" s="41">
        <v>0.71600171560489423</v>
      </c>
      <c r="CD257" s="41">
        <v>21.755373924034487</v>
      </c>
      <c r="CE257" s="41">
        <v>77.52862436036061</v>
      </c>
      <c r="CF257" s="125">
        <v>1.1000000000000001</v>
      </c>
      <c r="CG257" s="40">
        <f t="shared" si="203"/>
        <v>2.2649664343089789E-2</v>
      </c>
      <c r="CH257" s="40">
        <f t="shared" si="217"/>
        <v>2.2649664343089789E-2</v>
      </c>
      <c r="CI257" s="99">
        <f t="shared" si="205"/>
        <v>1.621719852752729E-4</v>
      </c>
      <c r="CJ257" s="100">
        <f t="shared" si="206"/>
        <v>4.9275191703778932E-3</v>
      </c>
      <c r="CK257" s="100">
        <f t="shared" si="207"/>
        <v>1.7559973187436621E-2</v>
      </c>
      <c r="CL257" s="101">
        <f t="shared" si="184"/>
        <v>8.6151135397395846E-4</v>
      </c>
      <c r="CM257" s="100">
        <f t="shared" si="185"/>
        <v>4.5557284545628719E-3</v>
      </c>
      <c r="CN257" s="100">
        <f t="shared" si="186"/>
        <v>7.3912787555668394E-3</v>
      </c>
      <c r="CO257" s="100">
        <f t="shared" si="187"/>
        <v>2.6339959781154932E-2</v>
      </c>
      <c r="CP257" s="101">
        <f t="shared" si="188"/>
        <v>1.2922670309609375E-3</v>
      </c>
      <c r="CQ257" s="100">
        <f t="shared" si="189"/>
        <v>6.8335926818443079E-3</v>
      </c>
      <c r="CR257" s="99">
        <f t="shared" si="190"/>
        <v>0.22471375639639382</v>
      </c>
      <c r="CS257" s="31">
        <v>1.5</v>
      </c>
      <c r="CT257" s="31">
        <v>1.5</v>
      </c>
      <c r="CU257" s="43">
        <v>0.1</v>
      </c>
      <c r="CV257" s="44">
        <v>0.39</v>
      </c>
      <c r="CW257" s="43">
        <v>2.1000000000000001E-2</v>
      </c>
      <c r="CX257" s="44">
        <v>0.15</v>
      </c>
    </row>
    <row r="258" spans="1:102" x14ac:dyDescent="0.25">
      <c r="A258" s="31">
        <v>244</v>
      </c>
      <c r="B258" s="83" t="s">
        <v>254</v>
      </c>
      <c r="C258" s="31">
        <v>40</v>
      </c>
      <c r="D258" s="31" t="s">
        <v>36</v>
      </c>
      <c r="E258" s="31" t="s">
        <v>6</v>
      </c>
      <c r="F258" s="31" t="s">
        <v>0</v>
      </c>
      <c r="G258" s="31" t="str">
        <f t="shared" si="191"/>
        <v>Kommunal 40 Y 4S D</v>
      </c>
      <c r="H258" s="48">
        <f t="shared" si="157"/>
        <v>5.3399418219464943E-2</v>
      </c>
      <c r="I258" s="40">
        <f t="shared" si="158"/>
        <v>6.9327326851636215E-2</v>
      </c>
      <c r="J258" s="99">
        <f t="shared" si="159"/>
        <v>2.7894618638550037E-4</v>
      </c>
      <c r="K258" s="48">
        <f t="shared" si="160"/>
        <v>1.018910293822017E-2</v>
      </c>
      <c r="L258" s="48">
        <f t="shared" si="161"/>
        <v>5.8859277727030541E-2</v>
      </c>
      <c r="M258" s="48">
        <f t="shared" si="192"/>
        <v>0.25026507267923409</v>
      </c>
      <c r="N258" s="99">
        <f t="shared" si="162"/>
        <v>2.0432380483841875E-3</v>
      </c>
      <c r="O258" s="48">
        <f t="shared" si="163"/>
        <v>1.1736347880846584E-2</v>
      </c>
      <c r="P258" s="48">
        <f t="shared" si="164"/>
        <v>1.5283654407330257E-2</v>
      </c>
      <c r="Q258" s="48">
        <f t="shared" si="165"/>
        <v>8.8288916590545816E-2</v>
      </c>
      <c r="R258" s="40">
        <f t="shared" si="193"/>
        <v>1.7518555087546386</v>
      </c>
      <c r="S258" s="99">
        <f t="shared" si="166"/>
        <v>3.0648570725762807E-3</v>
      </c>
      <c r="T258" s="48">
        <f t="shared" si="167"/>
        <v>1.7604521821269876E-2</v>
      </c>
      <c r="U258" s="40">
        <v>1.0036746720000007</v>
      </c>
      <c r="V258" s="40">
        <v>1.2</v>
      </c>
      <c r="W258" s="45">
        <v>0</v>
      </c>
      <c r="X258" s="40">
        <v>1.596098582821267</v>
      </c>
      <c r="Y258" s="42">
        <v>0</v>
      </c>
      <c r="Z258" s="42">
        <v>10.174107036829358</v>
      </c>
      <c r="AA258" s="42">
        <v>89.825892963170645</v>
      </c>
      <c r="AB258" s="42">
        <v>5.8681318681318642</v>
      </c>
      <c r="AC258" s="125">
        <v>1.1000000000000001</v>
      </c>
      <c r="AD258" s="94">
        <f t="shared" si="194"/>
        <v>2.6720259183952912E-2</v>
      </c>
      <c r="AE258" s="94">
        <f t="shared" si="210"/>
        <v>4.264816781612419E-2</v>
      </c>
      <c r="AF258" s="96">
        <f t="shared" si="211"/>
        <v>0</v>
      </c>
      <c r="AG258" s="95">
        <f t="shared" si="218"/>
        <v>4.3390702428590848E-3</v>
      </c>
      <c r="AH258" s="94">
        <f t="shared" si="219"/>
        <v>3.8309097573265102E-2</v>
      </c>
      <c r="AI258" s="94">
        <f t="shared" si="213"/>
        <v>0.25026507267923409</v>
      </c>
      <c r="AJ258" s="96">
        <f t="shared" si="169"/>
        <v>9.9763774356176685E-4</v>
      </c>
      <c r="AK258" s="95">
        <f t="shared" si="170"/>
        <v>6.1951223525250074E-3</v>
      </c>
      <c r="AL258" s="95">
        <f t="shared" si="171"/>
        <v>6.5086053642886277E-3</v>
      </c>
      <c r="AM258" s="94">
        <f t="shared" si="172"/>
        <v>5.7463646359897654E-2</v>
      </c>
      <c r="AN258" s="93">
        <f t="shared" si="173"/>
        <v>1.7518555087546386</v>
      </c>
      <c r="AO258" s="96">
        <f t="shared" si="174"/>
        <v>1.4964566153426501E-3</v>
      </c>
      <c r="AP258" s="95">
        <f t="shared" si="175"/>
        <v>9.2926835287875115E-3</v>
      </c>
      <c r="AQ258" s="93">
        <f t="shared" si="176"/>
        <v>0.10174107036829358</v>
      </c>
      <c r="AR258" s="31">
        <v>1.5</v>
      </c>
      <c r="AS258" s="31">
        <v>1.5</v>
      </c>
      <c r="AT258" s="31">
        <v>7</v>
      </c>
      <c r="AU258" s="43">
        <v>7.0999999999999994E-2</v>
      </c>
      <c r="AV258" s="44">
        <v>0.28000000000000003</v>
      </c>
      <c r="AW258" s="43">
        <v>1.7999999999999999E-2</v>
      </c>
      <c r="AX258" s="44">
        <v>0.13</v>
      </c>
      <c r="AY258" s="40">
        <v>6.3169879599642158</v>
      </c>
      <c r="AZ258" s="41">
        <v>0.5</v>
      </c>
      <c r="BA258" s="40">
        <v>0.72</v>
      </c>
      <c r="BB258" s="45">
        <v>1</v>
      </c>
      <c r="BC258" s="41">
        <v>2.8979862246705488</v>
      </c>
      <c r="BD258" s="41">
        <v>22.894025067660387</v>
      </c>
      <c r="BE258" s="41">
        <v>74.20798870766906</v>
      </c>
      <c r="BF258" s="125">
        <v>1.1000000000000001</v>
      </c>
      <c r="BG258" s="48">
        <f t="shared" si="198"/>
        <v>4.0294946924222417E-3</v>
      </c>
      <c r="BH258" s="48">
        <f t="shared" si="214"/>
        <v>4.0294946924222417E-3</v>
      </c>
      <c r="BI258" s="99">
        <f t="shared" si="215"/>
        <v>1.1677420111022746E-4</v>
      </c>
      <c r="BJ258" s="99">
        <f t="shared" si="201"/>
        <v>9.2251352498319279E-4</v>
      </c>
      <c r="BK258" s="48">
        <f t="shared" si="216"/>
        <v>2.9902069663288212E-3</v>
      </c>
      <c r="BL258" s="99">
        <f t="shared" si="177"/>
        <v>1.8408895084846198E-4</v>
      </c>
      <c r="BM258" s="48">
        <f t="shared" si="178"/>
        <v>9.854970737587052E-4</v>
      </c>
      <c r="BN258" s="48">
        <f t="shared" si="179"/>
        <v>1.3837702874747891E-3</v>
      </c>
      <c r="BO258" s="48">
        <f t="shared" si="180"/>
        <v>4.4853104494932319E-3</v>
      </c>
      <c r="BP258" s="99">
        <f t="shared" si="181"/>
        <v>2.7613342627269295E-4</v>
      </c>
      <c r="BQ258" s="48">
        <f t="shared" si="182"/>
        <v>1.4782456106380579E-3</v>
      </c>
      <c r="BR258" s="40">
        <f t="shared" si="183"/>
        <v>0.25792011292330935</v>
      </c>
      <c r="BS258" s="31">
        <v>1.5</v>
      </c>
      <c r="BT258" s="31">
        <v>1.5</v>
      </c>
      <c r="BU258" s="43">
        <v>0.125</v>
      </c>
      <c r="BV258" s="44">
        <v>0.42</v>
      </c>
      <c r="BW258" s="43">
        <v>2.3E-2</v>
      </c>
      <c r="BX258" s="44">
        <v>0.2</v>
      </c>
      <c r="BY258" s="40">
        <v>15.675043576489312</v>
      </c>
      <c r="BZ258" s="40">
        <v>0.52</v>
      </c>
      <c r="CA258" s="40">
        <v>0.65</v>
      </c>
      <c r="CB258" s="45">
        <v>1</v>
      </c>
      <c r="CC258" s="41">
        <v>0.71600171560489423</v>
      </c>
      <c r="CD258" s="41">
        <v>21.755373924034487</v>
      </c>
      <c r="CE258" s="41">
        <v>77.52862436036061</v>
      </c>
      <c r="CF258" s="125">
        <v>1.1000000000000001</v>
      </c>
      <c r="CG258" s="40">
        <f t="shared" si="203"/>
        <v>2.2649664343089789E-2</v>
      </c>
      <c r="CH258" s="40">
        <f t="shared" si="217"/>
        <v>2.2649664343089789E-2</v>
      </c>
      <c r="CI258" s="99">
        <f t="shared" si="205"/>
        <v>1.621719852752729E-4</v>
      </c>
      <c r="CJ258" s="100">
        <f t="shared" si="206"/>
        <v>4.9275191703778932E-3</v>
      </c>
      <c r="CK258" s="100">
        <f t="shared" si="207"/>
        <v>1.7559973187436621E-2</v>
      </c>
      <c r="CL258" s="101">
        <f t="shared" si="184"/>
        <v>8.6151135397395846E-4</v>
      </c>
      <c r="CM258" s="100">
        <f t="shared" si="185"/>
        <v>4.5557284545628719E-3</v>
      </c>
      <c r="CN258" s="100">
        <f t="shared" si="186"/>
        <v>7.3912787555668394E-3</v>
      </c>
      <c r="CO258" s="100">
        <f t="shared" si="187"/>
        <v>2.6339959781154932E-2</v>
      </c>
      <c r="CP258" s="101">
        <f t="shared" si="188"/>
        <v>1.2922670309609375E-3</v>
      </c>
      <c r="CQ258" s="100">
        <f t="shared" si="189"/>
        <v>6.8335926818443079E-3</v>
      </c>
      <c r="CR258" s="99">
        <f t="shared" si="190"/>
        <v>0.22471375639639382</v>
      </c>
      <c r="CS258" s="31">
        <v>1.5</v>
      </c>
      <c r="CT258" s="31">
        <v>1.5</v>
      </c>
      <c r="CU258" s="43">
        <v>0.1</v>
      </c>
      <c r="CV258" s="44">
        <v>0.39</v>
      </c>
      <c r="CW258" s="43">
        <v>2.1000000000000001E-2</v>
      </c>
      <c r="CX258" s="44">
        <v>0.15</v>
      </c>
    </row>
    <row r="259" spans="1:102" x14ac:dyDescent="0.25">
      <c r="A259" s="31">
        <v>245</v>
      </c>
      <c r="B259" s="83" t="s">
        <v>254</v>
      </c>
      <c r="C259" s="31">
        <v>40</v>
      </c>
      <c r="D259" s="31" t="s">
        <v>36</v>
      </c>
      <c r="E259" s="31" t="s">
        <v>6</v>
      </c>
      <c r="F259" s="31" t="s">
        <v>62</v>
      </c>
      <c r="G259" s="31" t="str">
        <f t="shared" si="191"/>
        <v>Kommunal 40 Y 4S EE</v>
      </c>
      <c r="H259" s="48">
        <f t="shared" si="157"/>
        <v>9.8701051223736902E-2</v>
      </c>
      <c r="I259" s="40">
        <f t="shared" si="158"/>
        <v>9.4893644342122191E-2</v>
      </c>
      <c r="J259" s="99">
        <f t="shared" si="159"/>
        <v>2.7894618638550037E-4</v>
      </c>
      <c r="K259" s="48">
        <f t="shared" si="160"/>
        <v>1.279024744507784E-2</v>
      </c>
      <c r="L259" s="48">
        <f t="shared" si="161"/>
        <v>8.1824450710658858E-2</v>
      </c>
      <c r="M259" s="48">
        <f t="shared" si="192"/>
        <v>0.1995032749234141</v>
      </c>
      <c r="N259" s="99">
        <f t="shared" si="162"/>
        <v>2.6412924220763911E-3</v>
      </c>
      <c r="O259" s="48">
        <f t="shared" si="163"/>
        <v>1.5450140830638413E-2</v>
      </c>
      <c r="P259" s="48">
        <f t="shared" si="164"/>
        <v>1.9185371167616757E-2</v>
      </c>
      <c r="Q259" s="48">
        <f t="shared" si="165"/>
        <v>0.12273667606598827</v>
      </c>
      <c r="R259" s="40">
        <f t="shared" si="193"/>
        <v>1.3965229244638988</v>
      </c>
      <c r="S259" s="99">
        <f t="shared" si="166"/>
        <v>3.9619386331145867E-3</v>
      </c>
      <c r="T259" s="48">
        <f t="shared" si="167"/>
        <v>2.3175211245957617E-2</v>
      </c>
      <c r="U259" s="40">
        <v>3.3700867199999993</v>
      </c>
      <c r="V259" s="40">
        <v>1.2</v>
      </c>
      <c r="W259" s="41">
        <v>0.1</v>
      </c>
      <c r="X259" s="40">
        <v>0.94713542277306062</v>
      </c>
      <c r="Y259" s="42">
        <v>0</v>
      </c>
      <c r="Z259" s="42">
        <v>10.174107036829358</v>
      </c>
      <c r="AA259" s="42">
        <v>89.825892963170645</v>
      </c>
      <c r="AB259" s="42">
        <v>2.9246467817896402</v>
      </c>
      <c r="AC259" s="125">
        <v>1.1000000000000001</v>
      </c>
      <c r="AD259" s="94">
        <f t="shared" si="194"/>
        <v>7.202189218822487E-2</v>
      </c>
      <c r="AE259" s="94">
        <f t="shared" si="210"/>
        <v>6.8214485306610159E-2</v>
      </c>
      <c r="AF259" s="96">
        <f t="shared" si="211"/>
        <v>0</v>
      </c>
      <c r="AG259" s="95">
        <f t="shared" si="218"/>
        <v>6.9402147497167532E-3</v>
      </c>
      <c r="AH259" s="94">
        <f t="shared" si="219"/>
        <v>6.1274270556893412E-2</v>
      </c>
      <c r="AI259" s="94">
        <f t="shared" si="213"/>
        <v>0.1995032749234141</v>
      </c>
      <c r="AJ259" s="96">
        <f t="shared" si="169"/>
        <v>1.5956921172539708E-3</v>
      </c>
      <c r="AK259" s="95">
        <f t="shared" si="170"/>
        <v>9.9089153023168355E-3</v>
      </c>
      <c r="AL259" s="95">
        <f t="shared" si="171"/>
        <v>1.0410322124575129E-2</v>
      </c>
      <c r="AM259" s="94">
        <f t="shared" si="172"/>
        <v>9.1911405835340118E-2</v>
      </c>
      <c r="AN259" s="93">
        <f t="shared" si="173"/>
        <v>1.3965229244638988</v>
      </c>
      <c r="AO259" s="96">
        <f t="shared" si="174"/>
        <v>2.3935381758809562E-3</v>
      </c>
      <c r="AP259" s="95">
        <f t="shared" si="175"/>
        <v>1.4863372953475252E-2</v>
      </c>
      <c r="AQ259" s="93">
        <f t="shared" si="176"/>
        <v>0.10174107036829359</v>
      </c>
      <c r="AR259" s="31">
        <v>1.5</v>
      </c>
      <c r="AS259" s="31">
        <v>1.5</v>
      </c>
      <c r="AT259" s="31">
        <v>7</v>
      </c>
      <c r="AU259" s="43">
        <v>7.0999999999999994E-2</v>
      </c>
      <c r="AV259" s="44">
        <v>0.28000000000000003</v>
      </c>
      <c r="AW259" s="43">
        <v>1.7999999999999999E-2</v>
      </c>
      <c r="AX259" s="44">
        <v>0.13</v>
      </c>
      <c r="AY259" s="40">
        <v>6.3169879599642158</v>
      </c>
      <c r="AZ259" s="41">
        <v>0.5</v>
      </c>
      <c r="BA259" s="40">
        <v>0.72</v>
      </c>
      <c r="BB259" s="45">
        <v>1</v>
      </c>
      <c r="BC259" s="41">
        <v>2.8979862246705488</v>
      </c>
      <c r="BD259" s="41">
        <v>22.894025067660387</v>
      </c>
      <c r="BE259" s="41">
        <v>74.20798870766906</v>
      </c>
      <c r="BF259" s="125">
        <v>1.1000000000000001</v>
      </c>
      <c r="BG259" s="48">
        <f t="shared" si="198"/>
        <v>4.0294946924222417E-3</v>
      </c>
      <c r="BH259" s="48">
        <f t="shared" si="214"/>
        <v>4.0294946924222417E-3</v>
      </c>
      <c r="BI259" s="99">
        <f t="shared" si="215"/>
        <v>1.1677420111022746E-4</v>
      </c>
      <c r="BJ259" s="99">
        <f t="shared" si="201"/>
        <v>9.2251352498319279E-4</v>
      </c>
      <c r="BK259" s="48">
        <f t="shared" si="216"/>
        <v>2.9902069663288212E-3</v>
      </c>
      <c r="BL259" s="99">
        <f t="shared" si="177"/>
        <v>1.8408895084846198E-4</v>
      </c>
      <c r="BM259" s="48">
        <f t="shared" si="178"/>
        <v>9.854970737587052E-4</v>
      </c>
      <c r="BN259" s="48">
        <f t="shared" si="179"/>
        <v>1.3837702874747891E-3</v>
      </c>
      <c r="BO259" s="48">
        <f t="shared" si="180"/>
        <v>4.4853104494932319E-3</v>
      </c>
      <c r="BP259" s="99">
        <f t="shared" si="181"/>
        <v>2.7613342627269295E-4</v>
      </c>
      <c r="BQ259" s="48">
        <f t="shared" si="182"/>
        <v>1.4782456106380579E-3</v>
      </c>
      <c r="BR259" s="40">
        <f t="shared" si="183"/>
        <v>0.25792011292330935</v>
      </c>
      <c r="BS259" s="31">
        <v>1.5</v>
      </c>
      <c r="BT259" s="31">
        <v>1.5</v>
      </c>
      <c r="BU259" s="43">
        <v>0.125</v>
      </c>
      <c r="BV259" s="44">
        <v>0.42</v>
      </c>
      <c r="BW259" s="43">
        <v>2.3E-2</v>
      </c>
      <c r="BX259" s="44">
        <v>0.2</v>
      </c>
      <c r="BY259" s="40">
        <v>15.675043576489312</v>
      </c>
      <c r="BZ259" s="40">
        <v>0.52</v>
      </c>
      <c r="CA259" s="40">
        <v>0.65</v>
      </c>
      <c r="CB259" s="45">
        <v>1</v>
      </c>
      <c r="CC259" s="41">
        <v>0.71600171560489423</v>
      </c>
      <c r="CD259" s="41">
        <v>21.755373924034487</v>
      </c>
      <c r="CE259" s="41">
        <v>77.52862436036061</v>
      </c>
      <c r="CF259" s="125">
        <v>1.1000000000000001</v>
      </c>
      <c r="CG259" s="40">
        <f t="shared" si="203"/>
        <v>2.2649664343089789E-2</v>
      </c>
      <c r="CH259" s="40">
        <f t="shared" si="217"/>
        <v>2.2649664343089789E-2</v>
      </c>
      <c r="CI259" s="99">
        <f t="shared" si="205"/>
        <v>1.621719852752729E-4</v>
      </c>
      <c r="CJ259" s="100">
        <f t="shared" si="206"/>
        <v>4.9275191703778932E-3</v>
      </c>
      <c r="CK259" s="100">
        <f t="shared" si="207"/>
        <v>1.7559973187436621E-2</v>
      </c>
      <c r="CL259" s="101">
        <f t="shared" si="184"/>
        <v>8.6151135397395846E-4</v>
      </c>
      <c r="CM259" s="100">
        <f t="shared" si="185"/>
        <v>4.5557284545628719E-3</v>
      </c>
      <c r="CN259" s="100">
        <f t="shared" si="186"/>
        <v>7.3912787555668394E-3</v>
      </c>
      <c r="CO259" s="100">
        <f t="shared" si="187"/>
        <v>2.6339959781154932E-2</v>
      </c>
      <c r="CP259" s="101">
        <f t="shared" si="188"/>
        <v>1.2922670309609375E-3</v>
      </c>
      <c r="CQ259" s="100">
        <f t="shared" si="189"/>
        <v>6.8335926818443079E-3</v>
      </c>
      <c r="CR259" s="99">
        <f t="shared" si="190"/>
        <v>0.22471375639639382</v>
      </c>
      <c r="CS259" s="31">
        <v>1.5</v>
      </c>
      <c r="CT259" s="31">
        <v>1.5</v>
      </c>
      <c r="CU259" s="43">
        <v>0.1</v>
      </c>
      <c r="CV259" s="44">
        <v>0.39</v>
      </c>
      <c r="CW259" s="43">
        <v>2.1000000000000001E-2</v>
      </c>
      <c r="CX259" s="44">
        <v>0.15</v>
      </c>
    </row>
    <row r="260" spans="1:102" x14ac:dyDescent="0.25">
      <c r="A260" s="31">
        <v>246</v>
      </c>
      <c r="B260" s="83" t="s">
        <v>254</v>
      </c>
      <c r="C260" s="31">
        <v>40</v>
      </c>
      <c r="D260" s="31" t="s">
        <v>36</v>
      </c>
      <c r="E260" s="31" t="s">
        <v>6</v>
      </c>
      <c r="F260" s="31" t="s">
        <v>63</v>
      </c>
      <c r="G260" s="31" t="str">
        <f t="shared" si="191"/>
        <v>Kommunal 40 Y 4S ES</v>
      </c>
      <c r="H260" s="48">
        <f t="shared" si="157"/>
        <v>6.9850047607336915E-2</v>
      </c>
      <c r="I260" s="40">
        <f t="shared" si="158"/>
        <v>6.2079889933154012E-2</v>
      </c>
      <c r="J260" s="99">
        <f t="shared" si="159"/>
        <v>2.7894618638550037E-4</v>
      </c>
      <c r="K260" s="48">
        <f t="shared" si="160"/>
        <v>9.4517409487071043E-3</v>
      </c>
      <c r="L260" s="48">
        <f t="shared" si="161"/>
        <v>5.2349202798061413E-2</v>
      </c>
      <c r="M260" s="48">
        <f t="shared" si="192"/>
        <v>0.12698794294475246</v>
      </c>
      <c r="N260" s="99">
        <f t="shared" si="162"/>
        <v>1.8737039984073152E-3</v>
      </c>
      <c r="O260" s="48">
        <f t="shared" si="163"/>
        <v>1.068357678301694E-2</v>
      </c>
      <c r="P260" s="48">
        <f t="shared" si="164"/>
        <v>1.4177611423060656E-2</v>
      </c>
      <c r="Q260" s="48">
        <f t="shared" si="165"/>
        <v>7.8523804197092123E-2</v>
      </c>
      <c r="R260" s="40">
        <f t="shared" si="193"/>
        <v>0.88891560061326724</v>
      </c>
      <c r="S260" s="99">
        <f t="shared" si="166"/>
        <v>2.8105559976109727E-3</v>
      </c>
      <c r="T260" s="48">
        <f t="shared" si="167"/>
        <v>1.6025365174525408E-2</v>
      </c>
      <c r="U260" s="40">
        <v>2.0200752</v>
      </c>
      <c r="V260" s="40">
        <v>1.2</v>
      </c>
      <c r="W260" s="41">
        <v>0.1</v>
      </c>
      <c r="X260" s="40">
        <v>0.82001395080725714</v>
      </c>
      <c r="Y260" s="42">
        <v>0</v>
      </c>
      <c r="Z260" s="42">
        <v>10.17410703682936</v>
      </c>
      <c r="AA260" s="42">
        <v>89.825892963170645</v>
      </c>
      <c r="AB260" s="42">
        <v>3.5871559633027528</v>
      </c>
      <c r="AC260" s="125">
        <v>1.1000000000000001</v>
      </c>
      <c r="AD260" s="94">
        <f t="shared" si="194"/>
        <v>4.3170888571824884E-2</v>
      </c>
      <c r="AE260" s="94">
        <f t="shared" si="210"/>
        <v>3.5400730897641987E-2</v>
      </c>
      <c r="AF260" s="96">
        <f t="shared" si="211"/>
        <v>0</v>
      </c>
      <c r="AG260" s="95">
        <f t="shared" si="218"/>
        <v>3.6017082533460185E-3</v>
      </c>
      <c r="AH260" s="94">
        <f t="shared" si="219"/>
        <v>3.1799022644295974E-2</v>
      </c>
      <c r="AI260" s="94">
        <f t="shared" si="213"/>
        <v>0.12698794294475246</v>
      </c>
      <c r="AJ260" s="96">
        <f t="shared" si="169"/>
        <v>8.2810369358489477E-4</v>
      </c>
      <c r="AK260" s="95">
        <f t="shared" si="170"/>
        <v>5.1423512546953619E-3</v>
      </c>
      <c r="AL260" s="95">
        <f t="shared" si="171"/>
        <v>5.402562380019028E-3</v>
      </c>
      <c r="AM260" s="94">
        <f t="shared" si="172"/>
        <v>4.7698533966443961E-2</v>
      </c>
      <c r="AN260" s="93">
        <f t="shared" si="173"/>
        <v>0.88891560061326724</v>
      </c>
      <c r="AO260" s="96">
        <f t="shared" si="174"/>
        <v>1.2421555403773423E-3</v>
      </c>
      <c r="AP260" s="95">
        <f t="shared" si="175"/>
        <v>7.7135268820430428E-3</v>
      </c>
      <c r="AQ260" s="93">
        <f t="shared" si="176"/>
        <v>0.10174107036829359</v>
      </c>
      <c r="AR260" s="31">
        <v>1.5</v>
      </c>
      <c r="AS260" s="31">
        <v>1.5</v>
      </c>
      <c r="AT260" s="31">
        <v>7</v>
      </c>
      <c r="AU260" s="43">
        <v>7.0999999999999994E-2</v>
      </c>
      <c r="AV260" s="44">
        <v>0.28000000000000003</v>
      </c>
      <c r="AW260" s="43">
        <v>1.7999999999999999E-2</v>
      </c>
      <c r="AX260" s="44">
        <v>0.13</v>
      </c>
      <c r="AY260" s="40">
        <v>6.3169879599642158</v>
      </c>
      <c r="AZ260" s="41">
        <v>0.5</v>
      </c>
      <c r="BA260" s="40">
        <v>0.72</v>
      </c>
      <c r="BB260" s="45">
        <v>1</v>
      </c>
      <c r="BC260" s="41">
        <v>2.8979862246705488</v>
      </c>
      <c r="BD260" s="41">
        <v>22.894025067660387</v>
      </c>
      <c r="BE260" s="41">
        <v>74.20798870766906</v>
      </c>
      <c r="BF260" s="125">
        <v>1.1000000000000001</v>
      </c>
      <c r="BG260" s="48">
        <f t="shared" si="198"/>
        <v>4.0294946924222417E-3</v>
      </c>
      <c r="BH260" s="48">
        <f t="shared" si="214"/>
        <v>4.0294946924222417E-3</v>
      </c>
      <c r="BI260" s="99">
        <f t="shared" si="215"/>
        <v>1.1677420111022746E-4</v>
      </c>
      <c r="BJ260" s="99">
        <f t="shared" si="201"/>
        <v>9.2251352498319279E-4</v>
      </c>
      <c r="BK260" s="48">
        <f t="shared" si="216"/>
        <v>2.9902069663288212E-3</v>
      </c>
      <c r="BL260" s="99">
        <f t="shared" si="177"/>
        <v>1.8408895084846198E-4</v>
      </c>
      <c r="BM260" s="48">
        <f t="shared" si="178"/>
        <v>9.854970737587052E-4</v>
      </c>
      <c r="BN260" s="48">
        <f t="shared" si="179"/>
        <v>1.3837702874747891E-3</v>
      </c>
      <c r="BO260" s="48">
        <f t="shared" si="180"/>
        <v>4.4853104494932319E-3</v>
      </c>
      <c r="BP260" s="99">
        <f t="shared" si="181"/>
        <v>2.7613342627269295E-4</v>
      </c>
      <c r="BQ260" s="48">
        <f t="shared" si="182"/>
        <v>1.4782456106380579E-3</v>
      </c>
      <c r="BR260" s="40">
        <f t="shared" si="183"/>
        <v>0.25792011292330935</v>
      </c>
      <c r="BS260" s="31">
        <v>1.5</v>
      </c>
      <c r="BT260" s="31">
        <v>1.5</v>
      </c>
      <c r="BU260" s="43">
        <v>0.125</v>
      </c>
      <c r="BV260" s="44">
        <v>0.42</v>
      </c>
      <c r="BW260" s="43">
        <v>2.3E-2</v>
      </c>
      <c r="BX260" s="44">
        <v>0.2</v>
      </c>
      <c r="BY260" s="40">
        <v>15.675043576489312</v>
      </c>
      <c r="BZ260" s="40">
        <v>0.52</v>
      </c>
      <c r="CA260" s="40">
        <v>0.65</v>
      </c>
      <c r="CB260" s="45">
        <v>1</v>
      </c>
      <c r="CC260" s="41">
        <v>0.71600171560489423</v>
      </c>
      <c r="CD260" s="41">
        <v>21.755373924034487</v>
      </c>
      <c r="CE260" s="41">
        <v>77.52862436036061</v>
      </c>
      <c r="CF260" s="125">
        <v>1.1000000000000001</v>
      </c>
      <c r="CG260" s="40">
        <f t="shared" si="203"/>
        <v>2.2649664343089789E-2</v>
      </c>
      <c r="CH260" s="40">
        <f t="shared" si="217"/>
        <v>2.2649664343089789E-2</v>
      </c>
      <c r="CI260" s="99">
        <f t="shared" si="205"/>
        <v>1.621719852752729E-4</v>
      </c>
      <c r="CJ260" s="100">
        <f t="shared" si="206"/>
        <v>4.9275191703778932E-3</v>
      </c>
      <c r="CK260" s="100">
        <f t="shared" si="207"/>
        <v>1.7559973187436621E-2</v>
      </c>
      <c r="CL260" s="101">
        <f t="shared" si="184"/>
        <v>8.6151135397395846E-4</v>
      </c>
      <c r="CM260" s="100">
        <f t="shared" si="185"/>
        <v>4.5557284545628719E-3</v>
      </c>
      <c r="CN260" s="100">
        <f t="shared" si="186"/>
        <v>7.3912787555668394E-3</v>
      </c>
      <c r="CO260" s="100">
        <f t="shared" si="187"/>
        <v>2.6339959781154932E-2</v>
      </c>
      <c r="CP260" s="101">
        <f t="shared" si="188"/>
        <v>1.2922670309609375E-3</v>
      </c>
      <c r="CQ260" s="100">
        <f t="shared" si="189"/>
        <v>6.8335926818443079E-3</v>
      </c>
      <c r="CR260" s="99">
        <f t="shared" si="190"/>
        <v>0.22471375639639382</v>
      </c>
      <c r="CS260" s="31">
        <v>1.5</v>
      </c>
      <c r="CT260" s="31">
        <v>1.5</v>
      </c>
      <c r="CU260" s="43">
        <v>0.1</v>
      </c>
      <c r="CV260" s="44">
        <v>0.39</v>
      </c>
      <c r="CW260" s="43">
        <v>2.1000000000000001E-2</v>
      </c>
      <c r="CX260" s="44">
        <v>0.15</v>
      </c>
    </row>
    <row r="261" spans="1:102" x14ac:dyDescent="0.25">
      <c r="A261" s="31">
        <v>247</v>
      </c>
      <c r="B261" s="83" t="s">
        <v>254</v>
      </c>
      <c r="C261" s="31">
        <v>40</v>
      </c>
      <c r="D261" s="31" t="s">
        <v>36</v>
      </c>
      <c r="E261" s="31" t="s">
        <v>6</v>
      </c>
      <c r="F261" s="31" t="s">
        <v>64</v>
      </c>
      <c r="G261" s="31" t="str">
        <f t="shared" si="191"/>
        <v>Kommunal 40 Y 4S F</v>
      </c>
      <c r="H261" s="48">
        <f t="shared" si="157"/>
        <v>4.4687638054375103E-2</v>
      </c>
      <c r="I261" s="40">
        <f t="shared" si="158"/>
        <v>4.2888789279609485E-2</v>
      </c>
      <c r="J261" s="99">
        <f t="shared" si="159"/>
        <v>3.9378460044120381E-4</v>
      </c>
      <c r="K261" s="48">
        <f t="shared" si="160"/>
        <v>8.5019090302534406E-3</v>
      </c>
      <c r="L261" s="48">
        <f t="shared" si="161"/>
        <v>3.3993095648914846E-2</v>
      </c>
      <c r="M261" s="48">
        <f t="shared" si="192"/>
        <v>4.5190484316877763E-2</v>
      </c>
      <c r="N261" s="99">
        <f t="shared" si="162"/>
        <v>1.475856003512467E-3</v>
      </c>
      <c r="O261" s="48">
        <f t="shared" si="163"/>
        <v>8.0313299164608588E-3</v>
      </c>
      <c r="P261" s="48">
        <f t="shared" si="164"/>
        <v>1.2752863545380161E-2</v>
      </c>
      <c r="Q261" s="48">
        <f t="shared" si="165"/>
        <v>5.0989643473372273E-2</v>
      </c>
      <c r="R261" s="40">
        <f t="shared" si="193"/>
        <v>0.31633339021814433</v>
      </c>
      <c r="S261" s="99">
        <f t="shared" si="166"/>
        <v>2.2137840052687003E-3</v>
      </c>
      <c r="T261" s="48">
        <f t="shared" si="167"/>
        <v>1.204699487469129E-2</v>
      </c>
      <c r="U261" s="40">
        <v>0.24776927999999998</v>
      </c>
      <c r="V261" s="40">
        <v>1.45</v>
      </c>
      <c r="W261" s="41">
        <v>0.5</v>
      </c>
      <c r="X261" s="40">
        <v>0.90011101032566898</v>
      </c>
      <c r="Y261" s="42">
        <v>0.70845794954218966</v>
      </c>
      <c r="Z261" s="42">
        <v>16.35988171820269</v>
      </c>
      <c r="AA261" s="42">
        <v>82.93166033225512</v>
      </c>
      <c r="AB261" s="42">
        <v>2.787878787878789</v>
      </c>
      <c r="AC261" s="125">
        <v>1.1000000000000001</v>
      </c>
      <c r="AD261" s="94">
        <f t="shared" si="194"/>
        <v>1.8008479018863072E-2</v>
      </c>
      <c r="AE261" s="94">
        <f t="shared" si="210"/>
        <v>1.6209630244097453E-2</v>
      </c>
      <c r="AF261" s="96">
        <f t="shared" si="211"/>
        <v>1.1483841405570345E-4</v>
      </c>
      <c r="AG261" s="95">
        <f t="shared" si="218"/>
        <v>2.6518763348923535E-3</v>
      </c>
      <c r="AH261" s="94">
        <f t="shared" si="219"/>
        <v>1.3442915495149397E-2</v>
      </c>
      <c r="AI261" s="94">
        <f t="shared" si="213"/>
        <v>4.5190484316877763E-2</v>
      </c>
      <c r="AJ261" s="96">
        <f t="shared" si="169"/>
        <v>4.3025569869004619E-4</v>
      </c>
      <c r="AK261" s="95">
        <f t="shared" si="170"/>
        <v>2.4901043881392806E-3</v>
      </c>
      <c r="AL261" s="95">
        <f t="shared" si="171"/>
        <v>3.9778145023385298E-3</v>
      </c>
      <c r="AM261" s="94">
        <f t="shared" si="172"/>
        <v>2.0164373242724097E-2</v>
      </c>
      <c r="AN261" s="93">
        <f t="shared" si="173"/>
        <v>0.31633339021814433</v>
      </c>
      <c r="AO261" s="96">
        <f t="shared" si="174"/>
        <v>6.4538354803506939E-4</v>
      </c>
      <c r="AP261" s="95">
        <f t="shared" si="175"/>
        <v>3.7351565822089207E-3</v>
      </c>
      <c r="AQ261" s="93">
        <f t="shared" si="176"/>
        <v>0.17068339667744881</v>
      </c>
      <c r="AR261" s="31">
        <v>1.5</v>
      </c>
      <c r="AS261" s="31">
        <v>1.5</v>
      </c>
      <c r="AT261" s="31">
        <v>7</v>
      </c>
      <c r="AU261" s="43">
        <v>7.0999999999999994E-2</v>
      </c>
      <c r="AV261" s="44">
        <v>0.28000000000000003</v>
      </c>
      <c r="AW261" s="43">
        <v>1.7999999999999999E-2</v>
      </c>
      <c r="AX261" s="44">
        <v>0.13</v>
      </c>
      <c r="AY261" s="40">
        <v>6.316987959964214</v>
      </c>
      <c r="AZ261" s="41">
        <v>0.5</v>
      </c>
      <c r="BA261" s="40">
        <v>0.72</v>
      </c>
      <c r="BB261" s="45">
        <v>1</v>
      </c>
      <c r="BC261" s="41">
        <v>2.8979862246705492</v>
      </c>
      <c r="BD261" s="41">
        <v>22.894025067660383</v>
      </c>
      <c r="BE261" s="41">
        <v>74.207988707669074</v>
      </c>
      <c r="BF261" s="125">
        <v>1.1000000000000001</v>
      </c>
      <c r="BG261" s="48">
        <f t="shared" si="198"/>
        <v>4.0294946924222409E-3</v>
      </c>
      <c r="BH261" s="48">
        <f t="shared" si="214"/>
        <v>4.0294946924222409E-3</v>
      </c>
      <c r="BI261" s="99">
        <f t="shared" si="215"/>
        <v>1.1677420111022746E-4</v>
      </c>
      <c r="BJ261" s="99">
        <f t="shared" si="201"/>
        <v>9.2251352498319247E-4</v>
      </c>
      <c r="BK261" s="48">
        <f t="shared" si="216"/>
        <v>2.9902069663288212E-3</v>
      </c>
      <c r="BL261" s="99">
        <f t="shared" si="177"/>
        <v>1.8408895084846193E-4</v>
      </c>
      <c r="BM261" s="48">
        <f t="shared" si="178"/>
        <v>9.8549707375870498E-4</v>
      </c>
      <c r="BN261" s="48">
        <f t="shared" si="179"/>
        <v>1.3837702874747886E-3</v>
      </c>
      <c r="BO261" s="48">
        <f t="shared" si="180"/>
        <v>4.4853104494932319E-3</v>
      </c>
      <c r="BP261" s="99">
        <f t="shared" si="181"/>
        <v>2.7613342627269289E-4</v>
      </c>
      <c r="BQ261" s="48">
        <f t="shared" si="182"/>
        <v>1.4782456106380575E-3</v>
      </c>
      <c r="BR261" s="40">
        <f t="shared" si="183"/>
        <v>0.2579201129233093</v>
      </c>
      <c r="BS261" s="31">
        <v>1.5</v>
      </c>
      <c r="BT261" s="31">
        <v>1.5</v>
      </c>
      <c r="BU261" s="43">
        <v>0.125</v>
      </c>
      <c r="BV261" s="44">
        <v>0.42</v>
      </c>
      <c r="BW261" s="43">
        <v>2.3E-2</v>
      </c>
      <c r="BX261" s="44">
        <v>0.2</v>
      </c>
      <c r="BY261" s="40">
        <v>15.675043576489314</v>
      </c>
      <c r="BZ261" s="40">
        <v>0.52</v>
      </c>
      <c r="CA261" s="40">
        <v>0.65</v>
      </c>
      <c r="CB261" s="45">
        <v>1</v>
      </c>
      <c r="CC261" s="41">
        <v>0.71600171560489401</v>
      </c>
      <c r="CD261" s="41">
        <v>21.755373924034487</v>
      </c>
      <c r="CE261" s="41">
        <v>77.528624360360624</v>
      </c>
      <c r="CF261" s="125">
        <v>1.1000000000000001</v>
      </c>
      <c r="CG261" s="40">
        <f t="shared" si="203"/>
        <v>2.2649664343089796E-2</v>
      </c>
      <c r="CH261" s="40">
        <f t="shared" si="217"/>
        <v>2.2649664343089796E-2</v>
      </c>
      <c r="CI261" s="99">
        <f t="shared" si="205"/>
        <v>1.6217198527527287E-4</v>
      </c>
      <c r="CJ261" s="100">
        <f t="shared" si="206"/>
        <v>4.9275191703778949E-3</v>
      </c>
      <c r="CK261" s="100">
        <f t="shared" si="207"/>
        <v>1.7559973187436628E-2</v>
      </c>
      <c r="CL261" s="101">
        <f t="shared" si="184"/>
        <v>8.6151135397395879E-4</v>
      </c>
      <c r="CM261" s="100">
        <f t="shared" si="185"/>
        <v>4.5557284545628737E-3</v>
      </c>
      <c r="CN261" s="100">
        <f t="shared" si="186"/>
        <v>7.3912787555668429E-3</v>
      </c>
      <c r="CO261" s="100">
        <f t="shared" si="187"/>
        <v>2.6339959781154942E-2</v>
      </c>
      <c r="CP261" s="101">
        <f t="shared" si="188"/>
        <v>1.2922670309609382E-3</v>
      </c>
      <c r="CQ261" s="100">
        <f t="shared" si="189"/>
        <v>6.8335926818443105E-3</v>
      </c>
      <c r="CR261" s="99">
        <f t="shared" si="190"/>
        <v>0.22471375639639382</v>
      </c>
      <c r="CS261" s="31">
        <v>1.5</v>
      </c>
      <c r="CT261" s="31">
        <v>1.5</v>
      </c>
      <c r="CU261" s="43">
        <v>0.1</v>
      </c>
      <c r="CV261" s="44">
        <v>0.39</v>
      </c>
      <c r="CW261" s="43">
        <v>2.1000000000000001E-2</v>
      </c>
      <c r="CX261" s="44">
        <v>0.15</v>
      </c>
    </row>
    <row r="262" spans="1:102" x14ac:dyDescent="0.25">
      <c r="A262" s="31">
        <v>248</v>
      </c>
      <c r="B262" s="83" t="s">
        <v>254</v>
      </c>
      <c r="C262" s="31">
        <v>50</v>
      </c>
      <c r="D262" s="31" t="s">
        <v>36</v>
      </c>
      <c r="E262" s="31" t="s">
        <v>4</v>
      </c>
      <c r="F262" s="31" t="s">
        <v>12</v>
      </c>
      <c r="G262" s="31" t="str">
        <f t="shared" si="191"/>
        <v>Kommunal 50 C 4S A</v>
      </c>
      <c r="H262" s="48">
        <f t="shared" si="157"/>
        <v>5.0258252679345528E-2</v>
      </c>
      <c r="I262" s="40">
        <f t="shared" si="158"/>
        <v>5.6596911276293183E-2</v>
      </c>
      <c r="J262" s="99">
        <f t="shared" si="159"/>
        <v>5.7671001758307261E-4</v>
      </c>
      <c r="K262" s="48">
        <f t="shared" si="160"/>
        <v>1.057613710275661E-2</v>
      </c>
      <c r="L262" s="48">
        <f t="shared" si="161"/>
        <v>4.5444064155953492E-2</v>
      </c>
      <c r="M262" s="48">
        <f t="shared" si="192"/>
        <v>0.15188275603447313</v>
      </c>
      <c r="N262" s="99">
        <f t="shared" si="162"/>
        <v>1.8707127332080263E-3</v>
      </c>
      <c r="O262" s="48">
        <f t="shared" si="163"/>
        <v>1.0276383185301042E-2</v>
      </c>
      <c r="P262" s="48">
        <f t="shared" si="164"/>
        <v>1.5864205654134912E-2</v>
      </c>
      <c r="Q262" s="48">
        <f t="shared" si="165"/>
        <v>6.8166096233930246E-2</v>
      </c>
      <c r="R262" s="40">
        <f t="shared" si="193"/>
        <v>1.0631792922413119</v>
      </c>
      <c r="S262" s="99">
        <f t="shared" si="166"/>
        <v>2.8060690998120393E-3</v>
      </c>
      <c r="T262" s="48">
        <f t="shared" si="167"/>
        <v>1.5414574777951563E-2</v>
      </c>
      <c r="U262" s="40">
        <v>0.28155600000000008</v>
      </c>
      <c r="V262" s="40">
        <v>1.45</v>
      </c>
      <c r="W262" s="41">
        <v>0.5</v>
      </c>
      <c r="X262" s="40">
        <v>1.3097440688617403</v>
      </c>
      <c r="Y262" s="42">
        <v>0.81515299544557829</v>
      </c>
      <c r="Z262" s="42">
        <v>13.671957377700943</v>
      </c>
      <c r="AA262" s="42">
        <v>85.512889626853479</v>
      </c>
      <c r="AB262" s="42">
        <v>5.6666666666666661</v>
      </c>
      <c r="AC262" s="125">
        <v>1.1000000000000001</v>
      </c>
      <c r="AD262" s="94">
        <f t="shared" si="194"/>
        <v>2.0464180703253496E-2</v>
      </c>
      <c r="AE262" s="94">
        <f t="shared" si="210"/>
        <v>2.6802839300201144E-2</v>
      </c>
      <c r="AF262" s="96">
        <f t="shared" si="211"/>
        <v>2.1848414742005429E-4</v>
      </c>
      <c r="AG262" s="95">
        <f t="shared" si="218"/>
        <v>3.6644727651371782E-3</v>
      </c>
      <c r="AH262" s="94">
        <f t="shared" si="219"/>
        <v>2.2919882387643913E-2</v>
      </c>
      <c r="AI262" s="94">
        <f t="shared" si="213"/>
        <v>0.15188275603447313</v>
      </c>
      <c r="AJ262" s="96">
        <f t="shared" si="169"/>
        <v>6.7273544930232998E-4</v>
      </c>
      <c r="AK262" s="95">
        <f t="shared" si="170"/>
        <v>4.0056370846321184E-3</v>
      </c>
      <c r="AL262" s="95">
        <f t="shared" si="171"/>
        <v>5.4967091477057676E-3</v>
      </c>
      <c r="AM262" s="94">
        <f t="shared" si="172"/>
        <v>3.4379823581465865E-2</v>
      </c>
      <c r="AN262" s="93">
        <f t="shared" si="173"/>
        <v>1.0631792922413119</v>
      </c>
      <c r="AO262" s="96">
        <f t="shared" si="174"/>
        <v>1.009103173953495E-3</v>
      </c>
      <c r="AP262" s="95">
        <f t="shared" si="175"/>
        <v>6.0084556269481776E-3</v>
      </c>
      <c r="AQ262" s="93">
        <f t="shared" si="176"/>
        <v>0.14487110373146522</v>
      </c>
      <c r="AR262" s="31">
        <v>1.5</v>
      </c>
      <c r="AS262" s="31">
        <v>1.5</v>
      </c>
      <c r="AT262" s="31">
        <v>7</v>
      </c>
      <c r="AU262" s="43">
        <v>7.0999999999999994E-2</v>
      </c>
      <c r="AV262" s="44">
        <v>0.28000000000000003</v>
      </c>
      <c r="AW262" s="43">
        <v>1.7999999999999999E-2</v>
      </c>
      <c r="AX262" s="44">
        <v>0.13</v>
      </c>
      <c r="AY262" s="40">
        <v>7.081758249007474</v>
      </c>
      <c r="AZ262" s="41">
        <v>0.5</v>
      </c>
      <c r="BA262" s="40">
        <v>0.72</v>
      </c>
      <c r="BB262" s="45">
        <v>1</v>
      </c>
      <c r="BC262" s="41">
        <v>3.3197225366043677</v>
      </c>
      <c r="BD262" s="41">
        <v>24.127673726603245</v>
      </c>
      <c r="BE262" s="41">
        <v>72.552603736792392</v>
      </c>
      <c r="BF262" s="125">
        <v>1.1000000000000001</v>
      </c>
      <c r="BG262" s="48">
        <f t="shared" si="198"/>
        <v>4.5173281092583716E-3</v>
      </c>
      <c r="BH262" s="48">
        <f t="shared" si="214"/>
        <v>4.5173281092583716E-3</v>
      </c>
      <c r="BI262" s="99">
        <f t="shared" si="215"/>
        <v>1.4996275929541415E-4</v>
      </c>
      <c r="BJ262" s="99">
        <f t="shared" si="201"/>
        <v>1.0899261873619952E-3</v>
      </c>
      <c r="BK262" s="48">
        <f t="shared" si="216"/>
        <v>3.2774391626009623E-3</v>
      </c>
      <c r="BL262" s="99">
        <f t="shared" si="177"/>
        <v>2.1162187416007153E-4</v>
      </c>
      <c r="BM262" s="48">
        <f t="shared" si="178"/>
        <v>1.1132568312122305E-3</v>
      </c>
      <c r="BN262" s="48">
        <f t="shared" si="179"/>
        <v>1.6348892810429927E-3</v>
      </c>
      <c r="BO262" s="48">
        <f t="shared" si="180"/>
        <v>4.9161587439014434E-3</v>
      </c>
      <c r="BP262" s="99">
        <f t="shared" si="181"/>
        <v>3.174328112401073E-4</v>
      </c>
      <c r="BQ262" s="48">
        <f t="shared" si="182"/>
        <v>1.6698852468183456E-3</v>
      </c>
      <c r="BR262" s="40">
        <f t="shared" si="183"/>
        <v>0.27447396263207613</v>
      </c>
      <c r="BS262" s="31">
        <v>1.5</v>
      </c>
      <c r="BT262" s="31">
        <v>1.5</v>
      </c>
      <c r="BU262" s="43">
        <v>0.125</v>
      </c>
      <c r="BV262" s="44">
        <v>0.42</v>
      </c>
      <c r="BW262" s="43">
        <v>2.3E-2</v>
      </c>
      <c r="BX262" s="44">
        <v>0.2</v>
      </c>
      <c r="BY262" s="40">
        <v>17.493153787299189</v>
      </c>
      <c r="BZ262" s="40">
        <v>0.52</v>
      </c>
      <c r="CA262" s="40">
        <v>0.65</v>
      </c>
      <c r="CB262" s="45">
        <v>1</v>
      </c>
      <c r="CC262" s="41">
        <v>0.82393172144641669</v>
      </c>
      <c r="CD262" s="41">
        <v>23.031994076959833</v>
      </c>
      <c r="CE262" s="41">
        <v>76.144074201593753</v>
      </c>
      <c r="CF262" s="125">
        <v>1.1000000000000001</v>
      </c>
      <c r="CG262" s="40">
        <f t="shared" si="203"/>
        <v>2.5276743866833661E-2</v>
      </c>
      <c r="CH262" s="40">
        <f t="shared" si="217"/>
        <v>2.5276743866833661E-2</v>
      </c>
      <c r="CI262" s="99">
        <f t="shared" si="205"/>
        <v>2.0826311086760411E-4</v>
      </c>
      <c r="CJ262" s="100">
        <f t="shared" si="206"/>
        <v>5.8217381502574366E-3</v>
      </c>
      <c r="CK262" s="100">
        <f t="shared" si="207"/>
        <v>1.9246742605708619E-2</v>
      </c>
      <c r="CL262" s="101">
        <f t="shared" si="184"/>
        <v>9.8635540974562476E-4</v>
      </c>
      <c r="CM262" s="100">
        <f t="shared" si="185"/>
        <v>5.1574892694566925E-3</v>
      </c>
      <c r="CN262" s="100">
        <f t="shared" si="186"/>
        <v>8.7326072253861541E-3</v>
      </c>
      <c r="CO262" s="100">
        <f t="shared" si="187"/>
        <v>2.8870113908562929E-2</v>
      </c>
      <c r="CP262" s="101">
        <f t="shared" si="188"/>
        <v>1.479533114618437E-3</v>
      </c>
      <c r="CQ262" s="100">
        <f t="shared" si="189"/>
        <v>7.7362339041850397E-3</v>
      </c>
      <c r="CR262" s="99">
        <f t="shared" si="190"/>
        <v>0.23855925798406249</v>
      </c>
      <c r="CS262" s="31">
        <v>1.5</v>
      </c>
      <c r="CT262" s="31">
        <v>1.5</v>
      </c>
      <c r="CU262" s="43">
        <v>0.1</v>
      </c>
      <c r="CV262" s="44">
        <v>0.39</v>
      </c>
      <c r="CW262" s="43">
        <v>2.1000000000000001E-2</v>
      </c>
      <c r="CX262" s="44">
        <v>0.15</v>
      </c>
    </row>
    <row r="263" spans="1:102" x14ac:dyDescent="0.25">
      <c r="A263" s="31">
        <v>249</v>
      </c>
      <c r="B263" s="83" t="s">
        <v>254</v>
      </c>
      <c r="C263" s="31">
        <v>50</v>
      </c>
      <c r="D263" s="31" t="s">
        <v>36</v>
      </c>
      <c r="E263" s="31" t="s">
        <v>4</v>
      </c>
      <c r="F263" s="31" t="s">
        <v>13</v>
      </c>
      <c r="G263" s="31" t="str">
        <f t="shared" si="191"/>
        <v>Kommunal 50 C 4S B</v>
      </c>
      <c r="H263" s="48">
        <f t="shared" si="157"/>
        <v>5.0258252679345528E-2</v>
      </c>
      <c r="I263" s="40">
        <f t="shared" si="158"/>
        <v>5.6596911276293183E-2</v>
      </c>
      <c r="J263" s="99">
        <f t="shared" si="159"/>
        <v>5.7671001758307261E-4</v>
      </c>
      <c r="K263" s="48">
        <f t="shared" si="160"/>
        <v>1.057613710275661E-2</v>
      </c>
      <c r="L263" s="48">
        <f t="shared" si="161"/>
        <v>4.5444064155953492E-2</v>
      </c>
      <c r="M263" s="48">
        <f t="shared" si="192"/>
        <v>0.15188275603447313</v>
      </c>
      <c r="N263" s="99">
        <f t="shared" si="162"/>
        <v>1.8707127332080263E-3</v>
      </c>
      <c r="O263" s="48">
        <f t="shared" si="163"/>
        <v>1.0276383185301042E-2</v>
      </c>
      <c r="P263" s="48">
        <f t="shared" si="164"/>
        <v>1.5864205654134912E-2</v>
      </c>
      <c r="Q263" s="48">
        <f t="shared" si="165"/>
        <v>6.8166096233930246E-2</v>
      </c>
      <c r="R263" s="40">
        <f t="shared" si="193"/>
        <v>1.0631792922413119</v>
      </c>
      <c r="S263" s="99">
        <f t="shared" si="166"/>
        <v>2.8060690998120393E-3</v>
      </c>
      <c r="T263" s="48">
        <f t="shared" si="167"/>
        <v>1.5414574777951563E-2</v>
      </c>
      <c r="U263" s="40">
        <v>0.28155600000000008</v>
      </c>
      <c r="V263" s="40">
        <v>1.45</v>
      </c>
      <c r="W263" s="41">
        <v>0.5</v>
      </c>
      <c r="X263" s="40">
        <v>1.3097440688617403</v>
      </c>
      <c r="Y263" s="42">
        <v>0.81515299544557829</v>
      </c>
      <c r="Z263" s="42">
        <v>13.671957377700943</v>
      </c>
      <c r="AA263" s="42">
        <v>85.512889626853479</v>
      </c>
      <c r="AB263" s="42">
        <v>5.6666666666666661</v>
      </c>
      <c r="AC263" s="125">
        <v>1.1000000000000001</v>
      </c>
      <c r="AD263" s="94">
        <f t="shared" si="194"/>
        <v>2.0464180703253496E-2</v>
      </c>
      <c r="AE263" s="94">
        <f t="shared" si="210"/>
        <v>2.6802839300201144E-2</v>
      </c>
      <c r="AF263" s="96">
        <f t="shared" si="211"/>
        <v>2.1848414742005429E-4</v>
      </c>
      <c r="AG263" s="95">
        <f t="shared" si="218"/>
        <v>3.6644727651371782E-3</v>
      </c>
      <c r="AH263" s="94">
        <f t="shared" si="219"/>
        <v>2.2919882387643913E-2</v>
      </c>
      <c r="AI263" s="94">
        <f t="shared" si="213"/>
        <v>0.15188275603447313</v>
      </c>
      <c r="AJ263" s="96">
        <f t="shared" si="169"/>
        <v>6.7273544930232998E-4</v>
      </c>
      <c r="AK263" s="95">
        <f t="shared" si="170"/>
        <v>4.0056370846321184E-3</v>
      </c>
      <c r="AL263" s="95">
        <f t="shared" si="171"/>
        <v>5.4967091477057676E-3</v>
      </c>
      <c r="AM263" s="94">
        <f t="shared" si="172"/>
        <v>3.4379823581465865E-2</v>
      </c>
      <c r="AN263" s="93">
        <f t="shared" si="173"/>
        <v>1.0631792922413119</v>
      </c>
      <c r="AO263" s="96">
        <f t="shared" si="174"/>
        <v>1.009103173953495E-3</v>
      </c>
      <c r="AP263" s="95">
        <f t="shared" si="175"/>
        <v>6.0084556269481776E-3</v>
      </c>
      <c r="AQ263" s="93">
        <f t="shared" si="176"/>
        <v>0.14487110373146522</v>
      </c>
      <c r="AR263" s="31">
        <v>1.5</v>
      </c>
      <c r="AS263" s="31">
        <v>1.5</v>
      </c>
      <c r="AT263" s="31">
        <v>7</v>
      </c>
      <c r="AU263" s="43">
        <v>7.0999999999999994E-2</v>
      </c>
      <c r="AV263" s="44">
        <v>0.28000000000000003</v>
      </c>
      <c r="AW263" s="43">
        <v>1.7999999999999999E-2</v>
      </c>
      <c r="AX263" s="44">
        <v>0.13</v>
      </c>
      <c r="AY263" s="40">
        <v>7.081758249007474</v>
      </c>
      <c r="AZ263" s="41">
        <v>0.5</v>
      </c>
      <c r="BA263" s="40">
        <v>0.72</v>
      </c>
      <c r="BB263" s="45">
        <v>1</v>
      </c>
      <c r="BC263" s="41">
        <v>3.3197225366043677</v>
      </c>
      <c r="BD263" s="41">
        <v>24.127673726603245</v>
      </c>
      <c r="BE263" s="41">
        <v>72.552603736792392</v>
      </c>
      <c r="BF263" s="125">
        <v>1.1000000000000001</v>
      </c>
      <c r="BG263" s="48">
        <f t="shared" si="198"/>
        <v>4.5173281092583716E-3</v>
      </c>
      <c r="BH263" s="48">
        <f t="shared" si="214"/>
        <v>4.5173281092583716E-3</v>
      </c>
      <c r="BI263" s="99">
        <f t="shared" si="215"/>
        <v>1.4996275929541415E-4</v>
      </c>
      <c r="BJ263" s="99">
        <f t="shared" si="201"/>
        <v>1.0899261873619952E-3</v>
      </c>
      <c r="BK263" s="48">
        <f t="shared" si="216"/>
        <v>3.2774391626009623E-3</v>
      </c>
      <c r="BL263" s="99">
        <f t="shared" si="177"/>
        <v>2.1162187416007153E-4</v>
      </c>
      <c r="BM263" s="48">
        <f t="shared" si="178"/>
        <v>1.1132568312122305E-3</v>
      </c>
      <c r="BN263" s="48">
        <f t="shared" si="179"/>
        <v>1.6348892810429927E-3</v>
      </c>
      <c r="BO263" s="48">
        <f t="shared" si="180"/>
        <v>4.9161587439014434E-3</v>
      </c>
      <c r="BP263" s="99">
        <f t="shared" si="181"/>
        <v>3.174328112401073E-4</v>
      </c>
      <c r="BQ263" s="48">
        <f t="shared" si="182"/>
        <v>1.6698852468183456E-3</v>
      </c>
      <c r="BR263" s="40">
        <f t="shared" si="183"/>
        <v>0.27447396263207613</v>
      </c>
      <c r="BS263" s="31">
        <v>1.5</v>
      </c>
      <c r="BT263" s="31">
        <v>1.5</v>
      </c>
      <c r="BU263" s="43">
        <v>0.125</v>
      </c>
      <c r="BV263" s="44">
        <v>0.42</v>
      </c>
      <c r="BW263" s="43">
        <v>2.3E-2</v>
      </c>
      <c r="BX263" s="44">
        <v>0.2</v>
      </c>
      <c r="BY263" s="40">
        <v>17.493153787299189</v>
      </c>
      <c r="BZ263" s="40">
        <v>0.52</v>
      </c>
      <c r="CA263" s="40">
        <v>0.65</v>
      </c>
      <c r="CB263" s="45">
        <v>1</v>
      </c>
      <c r="CC263" s="41">
        <v>0.82393172144641669</v>
      </c>
      <c r="CD263" s="41">
        <v>23.031994076959833</v>
      </c>
      <c r="CE263" s="41">
        <v>76.144074201593753</v>
      </c>
      <c r="CF263" s="125">
        <v>1.1000000000000001</v>
      </c>
      <c r="CG263" s="40">
        <f t="shared" si="203"/>
        <v>2.5276743866833661E-2</v>
      </c>
      <c r="CH263" s="40">
        <f t="shared" si="217"/>
        <v>2.5276743866833661E-2</v>
      </c>
      <c r="CI263" s="99">
        <f t="shared" si="205"/>
        <v>2.0826311086760411E-4</v>
      </c>
      <c r="CJ263" s="100">
        <f t="shared" si="206"/>
        <v>5.8217381502574366E-3</v>
      </c>
      <c r="CK263" s="100">
        <f t="shared" si="207"/>
        <v>1.9246742605708619E-2</v>
      </c>
      <c r="CL263" s="101">
        <f t="shared" si="184"/>
        <v>9.8635540974562476E-4</v>
      </c>
      <c r="CM263" s="100">
        <f t="shared" si="185"/>
        <v>5.1574892694566925E-3</v>
      </c>
      <c r="CN263" s="100">
        <f t="shared" si="186"/>
        <v>8.7326072253861541E-3</v>
      </c>
      <c r="CO263" s="100">
        <f t="shared" si="187"/>
        <v>2.8870113908562929E-2</v>
      </c>
      <c r="CP263" s="101">
        <f t="shared" si="188"/>
        <v>1.479533114618437E-3</v>
      </c>
      <c r="CQ263" s="100">
        <f t="shared" si="189"/>
        <v>7.7362339041850397E-3</v>
      </c>
      <c r="CR263" s="99">
        <f t="shared" si="190"/>
        <v>0.23855925798406249</v>
      </c>
      <c r="CS263" s="31">
        <v>1.5</v>
      </c>
      <c r="CT263" s="31">
        <v>1.5</v>
      </c>
      <c r="CU263" s="43">
        <v>0.1</v>
      </c>
      <c r="CV263" s="44">
        <v>0.39</v>
      </c>
      <c r="CW263" s="43">
        <v>2.1000000000000001E-2</v>
      </c>
      <c r="CX263" s="44">
        <v>0.15</v>
      </c>
    </row>
    <row r="264" spans="1:102" x14ac:dyDescent="0.25">
      <c r="A264" s="31">
        <v>250</v>
      </c>
      <c r="B264" s="83" t="s">
        <v>254</v>
      </c>
      <c r="C264" s="31">
        <v>50</v>
      </c>
      <c r="D264" s="31" t="s">
        <v>36</v>
      </c>
      <c r="E264" s="31" t="s">
        <v>4</v>
      </c>
      <c r="F264" s="31" t="s">
        <v>70</v>
      </c>
      <c r="G264" s="31" t="str">
        <f t="shared" si="191"/>
        <v>Kommunal 50 C 4S Ck</v>
      </c>
      <c r="H264" s="48">
        <f t="shared" si="157"/>
        <v>4.8211834609020177E-2</v>
      </c>
      <c r="I264" s="40">
        <f t="shared" si="158"/>
        <v>5.3916627346273067E-2</v>
      </c>
      <c r="J264" s="99">
        <f t="shared" si="159"/>
        <v>5.5486160284106724E-4</v>
      </c>
      <c r="K264" s="48">
        <f t="shared" si="160"/>
        <v>1.0209689826242893E-2</v>
      </c>
      <c r="L264" s="48">
        <f t="shared" si="161"/>
        <v>4.3152075917189107E-2</v>
      </c>
      <c r="M264" s="48">
        <f t="shared" si="192"/>
        <v>0.13669448043102586</v>
      </c>
      <c r="N264" s="99">
        <f t="shared" si="162"/>
        <v>1.8034391882777935E-3</v>
      </c>
      <c r="O264" s="48">
        <f t="shared" si="163"/>
        <v>9.8758194768378306E-3</v>
      </c>
      <c r="P264" s="48">
        <f t="shared" si="164"/>
        <v>1.5314534739364338E-2</v>
      </c>
      <c r="Q264" s="48">
        <f t="shared" si="165"/>
        <v>6.4728113875783658E-2</v>
      </c>
      <c r="R264" s="40">
        <f t="shared" si="193"/>
        <v>0.95686136301718105</v>
      </c>
      <c r="S264" s="99">
        <f t="shared" si="166"/>
        <v>2.7051587824166901E-3</v>
      </c>
      <c r="T264" s="48">
        <f t="shared" si="167"/>
        <v>1.4813729215256746E-2</v>
      </c>
      <c r="U264" s="40">
        <v>0.25340040000000008</v>
      </c>
      <c r="V264" s="40">
        <v>1.45</v>
      </c>
      <c r="W264" s="41">
        <v>0.5</v>
      </c>
      <c r="X264" s="40">
        <v>1.3097440688617408</v>
      </c>
      <c r="Y264" s="42">
        <v>0.81515299544557829</v>
      </c>
      <c r="Z264" s="42">
        <v>13.671957377700943</v>
      </c>
      <c r="AA264" s="42">
        <v>85.512889626853479</v>
      </c>
      <c r="AB264" s="42">
        <v>5.6666666666666661</v>
      </c>
      <c r="AC264" s="125">
        <v>1.1000000000000001</v>
      </c>
      <c r="AD264" s="94">
        <f t="shared" si="194"/>
        <v>1.8417762632928145E-2</v>
      </c>
      <c r="AE264" s="94">
        <f t="shared" si="210"/>
        <v>2.4122555370181036E-2</v>
      </c>
      <c r="AF264" s="96">
        <f t="shared" si="211"/>
        <v>1.9663573267804892E-4</v>
      </c>
      <c r="AG264" s="95">
        <f t="shared" si="218"/>
        <v>3.2980254886234611E-3</v>
      </c>
      <c r="AH264" s="94">
        <f t="shared" si="219"/>
        <v>2.0627894148879524E-2</v>
      </c>
      <c r="AI264" s="94">
        <f t="shared" si="213"/>
        <v>0.13669448043102586</v>
      </c>
      <c r="AJ264" s="96">
        <f t="shared" si="169"/>
        <v>6.0546190437209713E-4</v>
      </c>
      <c r="AK264" s="95">
        <f t="shared" si="170"/>
        <v>3.6050733761689075E-3</v>
      </c>
      <c r="AL264" s="95">
        <f t="shared" si="171"/>
        <v>4.9470382329351919E-3</v>
      </c>
      <c r="AM264" s="94">
        <f t="shared" si="172"/>
        <v>3.0941841223319284E-2</v>
      </c>
      <c r="AN264" s="93">
        <f t="shared" si="173"/>
        <v>0.95686136301718105</v>
      </c>
      <c r="AO264" s="96">
        <f t="shared" si="174"/>
        <v>9.0819285655814575E-4</v>
      </c>
      <c r="AP264" s="95">
        <f t="shared" si="175"/>
        <v>5.4076100642533606E-3</v>
      </c>
      <c r="AQ264" s="93">
        <f t="shared" si="176"/>
        <v>0.14487110373146522</v>
      </c>
      <c r="AR264" s="31">
        <v>1.5</v>
      </c>
      <c r="AS264" s="31">
        <v>1.5</v>
      </c>
      <c r="AT264" s="31">
        <v>7</v>
      </c>
      <c r="AU264" s="43">
        <v>7.0999999999999994E-2</v>
      </c>
      <c r="AV264" s="44">
        <v>0.28000000000000003</v>
      </c>
      <c r="AW264" s="43">
        <v>1.7999999999999999E-2</v>
      </c>
      <c r="AX264" s="44">
        <v>0.13</v>
      </c>
      <c r="AY264" s="40">
        <v>7.081758249007474</v>
      </c>
      <c r="AZ264" s="41">
        <v>0.5</v>
      </c>
      <c r="BA264" s="40">
        <v>0.72</v>
      </c>
      <c r="BB264" s="45">
        <v>1</v>
      </c>
      <c r="BC264" s="41">
        <v>3.3197225366043677</v>
      </c>
      <c r="BD264" s="41">
        <v>24.127673726603245</v>
      </c>
      <c r="BE264" s="41">
        <v>72.552603736792392</v>
      </c>
      <c r="BF264" s="125">
        <v>1.1000000000000001</v>
      </c>
      <c r="BG264" s="48">
        <f t="shared" si="198"/>
        <v>4.5173281092583716E-3</v>
      </c>
      <c r="BH264" s="48">
        <f t="shared" si="214"/>
        <v>4.5173281092583716E-3</v>
      </c>
      <c r="BI264" s="99">
        <f t="shared" si="215"/>
        <v>1.4996275929541415E-4</v>
      </c>
      <c r="BJ264" s="99">
        <f t="shared" si="201"/>
        <v>1.0899261873619952E-3</v>
      </c>
      <c r="BK264" s="48">
        <f t="shared" si="216"/>
        <v>3.2774391626009623E-3</v>
      </c>
      <c r="BL264" s="99">
        <f t="shared" si="177"/>
        <v>2.1162187416007153E-4</v>
      </c>
      <c r="BM264" s="48">
        <f t="shared" si="178"/>
        <v>1.1132568312122305E-3</v>
      </c>
      <c r="BN264" s="48">
        <f t="shared" si="179"/>
        <v>1.6348892810429927E-3</v>
      </c>
      <c r="BO264" s="48">
        <f t="shared" si="180"/>
        <v>4.9161587439014434E-3</v>
      </c>
      <c r="BP264" s="99">
        <f t="shared" si="181"/>
        <v>3.174328112401073E-4</v>
      </c>
      <c r="BQ264" s="48">
        <f t="shared" si="182"/>
        <v>1.6698852468183456E-3</v>
      </c>
      <c r="BR264" s="40">
        <f t="shared" si="183"/>
        <v>0.27447396263207613</v>
      </c>
      <c r="BS264" s="31">
        <v>1.5</v>
      </c>
      <c r="BT264" s="31">
        <v>1.5</v>
      </c>
      <c r="BU264" s="43">
        <v>0.125</v>
      </c>
      <c r="BV264" s="44">
        <v>0.42</v>
      </c>
      <c r="BW264" s="43">
        <v>2.3E-2</v>
      </c>
      <c r="BX264" s="44">
        <v>0.2</v>
      </c>
      <c r="BY264" s="40">
        <v>17.493153787299189</v>
      </c>
      <c r="BZ264" s="40">
        <v>0.52</v>
      </c>
      <c r="CA264" s="40">
        <v>0.65</v>
      </c>
      <c r="CB264" s="45">
        <v>1</v>
      </c>
      <c r="CC264" s="41">
        <v>0.82393172144641669</v>
      </c>
      <c r="CD264" s="41">
        <v>23.031994076959833</v>
      </c>
      <c r="CE264" s="41">
        <v>76.144074201593753</v>
      </c>
      <c r="CF264" s="125">
        <v>1.1000000000000001</v>
      </c>
      <c r="CG264" s="40">
        <f t="shared" si="203"/>
        <v>2.5276743866833661E-2</v>
      </c>
      <c r="CH264" s="40">
        <f t="shared" si="217"/>
        <v>2.5276743866833661E-2</v>
      </c>
      <c r="CI264" s="99">
        <f t="shared" si="205"/>
        <v>2.0826311086760411E-4</v>
      </c>
      <c r="CJ264" s="100">
        <f t="shared" si="206"/>
        <v>5.8217381502574366E-3</v>
      </c>
      <c r="CK264" s="100">
        <f t="shared" si="207"/>
        <v>1.9246742605708619E-2</v>
      </c>
      <c r="CL264" s="101">
        <f t="shared" si="184"/>
        <v>9.8635540974562476E-4</v>
      </c>
      <c r="CM264" s="100">
        <f t="shared" si="185"/>
        <v>5.1574892694566925E-3</v>
      </c>
      <c r="CN264" s="100">
        <f t="shared" si="186"/>
        <v>8.7326072253861541E-3</v>
      </c>
      <c r="CO264" s="100">
        <f t="shared" si="187"/>
        <v>2.8870113908562929E-2</v>
      </c>
      <c r="CP264" s="101">
        <f t="shared" si="188"/>
        <v>1.479533114618437E-3</v>
      </c>
      <c r="CQ264" s="100">
        <f t="shared" si="189"/>
        <v>7.7362339041850397E-3</v>
      </c>
      <c r="CR264" s="99">
        <f t="shared" si="190"/>
        <v>0.23855925798406249</v>
      </c>
      <c r="CS264" s="31">
        <v>1.5</v>
      </c>
      <c r="CT264" s="31">
        <v>1.5</v>
      </c>
      <c r="CU264" s="43">
        <v>0.1</v>
      </c>
      <c r="CV264" s="44">
        <v>0.39</v>
      </c>
      <c r="CW264" s="43">
        <v>2.1000000000000001E-2</v>
      </c>
      <c r="CX264" s="44">
        <v>0.15</v>
      </c>
    </row>
    <row r="265" spans="1:102" x14ac:dyDescent="0.25">
      <c r="A265" s="31">
        <v>251</v>
      </c>
      <c r="B265" s="83" t="s">
        <v>254</v>
      </c>
      <c r="C265" s="31">
        <v>50</v>
      </c>
      <c r="D265" s="31" t="s">
        <v>36</v>
      </c>
      <c r="E265" s="31" t="s">
        <v>4</v>
      </c>
      <c r="F265" s="31" t="s">
        <v>71</v>
      </c>
      <c r="G265" s="31" t="str">
        <f t="shared" si="191"/>
        <v>Kommunal 50 C 4S Cm</v>
      </c>
      <c r="H265" s="48">
        <f t="shared" si="157"/>
        <v>4.8211834609020177E-2</v>
      </c>
      <c r="I265" s="40">
        <f t="shared" si="158"/>
        <v>5.3916627346273067E-2</v>
      </c>
      <c r="J265" s="99">
        <f t="shared" si="159"/>
        <v>5.5486160284106724E-4</v>
      </c>
      <c r="K265" s="48">
        <f t="shared" si="160"/>
        <v>1.0209689826242893E-2</v>
      </c>
      <c r="L265" s="48">
        <f t="shared" si="161"/>
        <v>4.3152075917189107E-2</v>
      </c>
      <c r="M265" s="48">
        <f t="shared" si="192"/>
        <v>0.13669448043102586</v>
      </c>
      <c r="N265" s="99">
        <f t="shared" si="162"/>
        <v>1.8034391882777935E-3</v>
      </c>
      <c r="O265" s="48">
        <f t="shared" si="163"/>
        <v>9.8758194768378306E-3</v>
      </c>
      <c r="P265" s="48">
        <f t="shared" si="164"/>
        <v>1.5314534739364338E-2</v>
      </c>
      <c r="Q265" s="48">
        <f t="shared" si="165"/>
        <v>6.4728113875783658E-2</v>
      </c>
      <c r="R265" s="40">
        <f t="shared" si="193"/>
        <v>0.95686136301718105</v>
      </c>
      <c r="S265" s="99">
        <f t="shared" si="166"/>
        <v>2.7051587824166901E-3</v>
      </c>
      <c r="T265" s="48">
        <f t="shared" si="167"/>
        <v>1.4813729215256746E-2</v>
      </c>
      <c r="U265" s="40">
        <v>0.25340040000000008</v>
      </c>
      <c r="V265" s="40">
        <v>1.45</v>
      </c>
      <c r="W265" s="41">
        <v>0.5</v>
      </c>
      <c r="X265" s="40">
        <v>1.3097440688617408</v>
      </c>
      <c r="Y265" s="42">
        <v>0.81515299544557829</v>
      </c>
      <c r="Z265" s="42">
        <v>13.671957377700943</v>
      </c>
      <c r="AA265" s="42">
        <v>85.512889626853479</v>
      </c>
      <c r="AB265" s="42">
        <v>5.6666666666666661</v>
      </c>
      <c r="AC265" s="125">
        <v>1.1000000000000001</v>
      </c>
      <c r="AD265" s="94">
        <f t="shared" si="194"/>
        <v>1.8417762632928145E-2</v>
      </c>
      <c r="AE265" s="94">
        <f t="shared" si="210"/>
        <v>2.4122555370181036E-2</v>
      </c>
      <c r="AF265" s="96">
        <f t="shared" si="211"/>
        <v>1.9663573267804892E-4</v>
      </c>
      <c r="AG265" s="95">
        <f t="shared" si="218"/>
        <v>3.2980254886234611E-3</v>
      </c>
      <c r="AH265" s="94">
        <f t="shared" si="219"/>
        <v>2.0627894148879524E-2</v>
      </c>
      <c r="AI265" s="94">
        <f t="shared" si="213"/>
        <v>0.13669448043102586</v>
      </c>
      <c r="AJ265" s="96">
        <f t="shared" si="169"/>
        <v>6.0546190437209713E-4</v>
      </c>
      <c r="AK265" s="95">
        <f t="shared" si="170"/>
        <v>3.6050733761689075E-3</v>
      </c>
      <c r="AL265" s="95">
        <f t="shared" si="171"/>
        <v>4.9470382329351919E-3</v>
      </c>
      <c r="AM265" s="94">
        <f t="shared" si="172"/>
        <v>3.0941841223319284E-2</v>
      </c>
      <c r="AN265" s="93">
        <f t="shared" si="173"/>
        <v>0.95686136301718105</v>
      </c>
      <c r="AO265" s="96">
        <f t="shared" si="174"/>
        <v>9.0819285655814575E-4</v>
      </c>
      <c r="AP265" s="95">
        <f t="shared" si="175"/>
        <v>5.4076100642533606E-3</v>
      </c>
      <c r="AQ265" s="93">
        <f t="shared" si="176"/>
        <v>0.14487110373146522</v>
      </c>
      <c r="AR265" s="31">
        <v>1.5</v>
      </c>
      <c r="AS265" s="31">
        <v>1.5</v>
      </c>
      <c r="AT265" s="31">
        <v>7</v>
      </c>
      <c r="AU265" s="43">
        <v>7.0999999999999994E-2</v>
      </c>
      <c r="AV265" s="44">
        <v>0.28000000000000003</v>
      </c>
      <c r="AW265" s="43">
        <v>1.7999999999999999E-2</v>
      </c>
      <c r="AX265" s="44">
        <v>0.13</v>
      </c>
      <c r="AY265" s="40">
        <v>7.081758249007474</v>
      </c>
      <c r="AZ265" s="41">
        <v>0.5</v>
      </c>
      <c r="BA265" s="40">
        <v>0.72</v>
      </c>
      <c r="BB265" s="45">
        <v>1</v>
      </c>
      <c r="BC265" s="41">
        <v>3.3197225366043677</v>
      </c>
      <c r="BD265" s="41">
        <v>24.127673726603245</v>
      </c>
      <c r="BE265" s="41">
        <v>72.552603736792392</v>
      </c>
      <c r="BF265" s="125">
        <v>1.1000000000000001</v>
      </c>
      <c r="BG265" s="48">
        <f t="shared" si="198"/>
        <v>4.5173281092583716E-3</v>
      </c>
      <c r="BH265" s="48">
        <f t="shared" si="214"/>
        <v>4.5173281092583716E-3</v>
      </c>
      <c r="BI265" s="99">
        <f t="shared" si="215"/>
        <v>1.4996275929541415E-4</v>
      </c>
      <c r="BJ265" s="99">
        <f t="shared" si="201"/>
        <v>1.0899261873619952E-3</v>
      </c>
      <c r="BK265" s="48">
        <f t="shared" si="216"/>
        <v>3.2774391626009623E-3</v>
      </c>
      <c r="BL265" s="99">
        <f t="shared" si="177"/>
        <v>2.1162187416007153E-4</v>
      </c>
      <c r="BM265" s="48">
        <f t="shared" si="178"/>
        <v>1.1132568312122305E-3</v>
      </c>
      <c r="BN265" s="48">
        <f t="shared" si="179"/>
        <v>1.6348892810429927E-3</v>
      </c>
      <c r="BO265" s="48">
        <f t="shared" si="180"/>
        <v>4.9161587439014434E-3</v>
      </c>
      <c r="BP265" s="99">
        <f t="shared" si="181"/>
        <v>3.174328112401073E-4</v>
      </c>
      <c r="BQ265" s="48">
        <f t="shared" si="182"/>
        <v>1.6698852468183456E-3</v>
      </c>
      <c r="BR265" s="40">
        <f t="shared" si="183"/>
        <v>0.27447396263207613</v>
      </c>
      <c r="BS265" s="31">
        <v>1.5</v>
      </c>
      <c r="BT265" s="31">
        <v>1.5</v>
      </c>
      <c r="BU265" s="43">
        <v>0.125</v>
      </c>
      <c r="BV265" s="44">
        <v>0.42</v>
      </c>
      <c r="BW265" s="43">
        <v>2.3E-2</v>
      </c>
      <c r="BX265" s="44">
        <v>0.2</v>
      </c>
      <c r="BY265" s="40">
        <v>17.493153787299189</v>
      </c>
      <c r="BZ265" s="40">
        <v>0.52</v>
      </c>
      <c r="CA265" s="40">
        <v>0.65</v>
      </c>
      <c r="CB265" s="45">
        <v>1</v>
      </c>
      <c r="CC265" s="41">
        <v>0.82393172144641669</v>
      </c>
      <c r="CD265" s="41">
        <v>23.031994076959833</v>
      </c>
      <c r="CE265" s="41">
        <v>76.144074201593753</v>
      </c>
      <c r="CF265" s="125">
        <v>1.1000000000000001</v>
      </c>
      <c r="CG265" s="40">
        <f t="shared" si="203"/>
        <v>2.5276743866833661E-2</v>
      </c>
      <c r="CH265" s="40">
        <f t="shared" si="217"/>
        <v>2.5276743866833661E-2</v>
      </c>
      <c r="CI265" s="99">
        <f t="shared" si="205"/>
        <v>2.0826311086760411E-4</v>
      </c>
      <c r="CJ265" s="100">
        <f t="shared" si="206"/>
        <v>5.8217381502574366E-3</v>
      </c>
      <c r="CK265" s="100">
        <f t="shared" si="207"/>
        <v>1.9246742605708619E-2</v>
      </c>
      <c r="CL265" s="101">
        <f t="shared" si="184"/>
        <v>9.8635540974562476E-4</v>
      </c>
      <c r="CM265" s="100">
        <f t="shared" si="185"/>
        <v>5.1574892694566925E-3</v>
      </c>
      <c r="CN265" s="100">
        <f t="shared" si="186"/>
        <v>8.7326072253861541E-3</v>
      </c>
      <c r="CO265" s="100">
        <f t="shared" si="187"/>
        <v>2.8870113908562929E-2</v>
      </c>
      <c r="CP265" s="101">
        <f t="shared" si="188"/>
        <v>1.479533114618437E-3</v>
      </c>
      <c r="CQ265" s="100">
        <f t="shared" si="189"/>
        <v>7.7362339041850397E-3</v>
      </c>
      <c r="CR265" s="99">
        <f t="shared" si="190"/>
        <v>0.23855925798406249</v>
      </c>
      <c r="CS265" s="31">
        <v>1.5</v>
      </c>
      <c r="CT265" s="31">
        <v>1.5</v>
      </c>
      <c r="CU265" s="43">
        <v>0.1</v>
      </c>
      <c r="CV265" s="44">
        <v>0.39</v>
      </c>
      <c r="CW265" s="43">
        <v>2.1000000000000001E-2</v>
      </c>
      <c r="CX265" s="44">
        <v>0.15</v>
      </c>
    </row>
    <row r="266" spans="1:102" x14ac:dyDescent="0.25">
      <c r="A266" s="31">
        <v>252</v>
      </c>
      <c r="B266" s="83" t="s">
        <v>254</v>
      </c>
      <c r="C266" s="31">
        <v>50</v>
      </c>
      <c r="D266" s="31" t="s">
        <v>36</v>
      </c>
      <c r="E266" s="31" t="s">
        <v>4</v>
      </c>
      <c r="F266" s="31" t="s">
        <v>0</v>
      </c>
      <c r="G266" s="31" t="str">
        <f t="shared" si="191"/>
        <v>Kommunal 50 C 4S D</v>
      </c>
      <c r="H266" s="48">
        <f t="shared" si="157"/>
        <v>4.6310715702436542E-2</v>
      </c>
      <c r="I266" s="40">
        <f t="shared" si="158"/>
        <v>6.6036748496985792E-2</v>
      </c>
      <c r="J266" s="99">
        <f t="shared" si="159"/>
        <v>3.5822587016301824E-4</v>
      </c>
      <c r="K266" s="48">
        <f t="shared" si="160"/>
        <v>1.0855126460328358E-2</v>
      </c>
      <c r="L266" s="48">
        <f t="shared" si="161"/>
        <v>5.4823396166494405E-2</v>
      </c>
      <c r="M266" s="48">
        <f t="shared" si="192"/>
        <v>0.36645372926681474</v>
      </c>
      <c r="N266" s="99">
        <f t="shared" si="162"/>
        <v>2.059348953785357E-3</v>
      </c>
      <c r="O266" s="48">
        <f t="shared" si="163"/>
        <v>1.157381336679145E-2</v>
      </c>
      <c r="P266" s="48">
        <f t="shared" si="164"/>
        <v>1.6282689690492534E-2</v>
      </c>
      <c r="Q266" s="48">
        <f t="shared" si="165"/>
        <v>8.2235094249741611E-2</v>
      </c>
      <c r="R266" s="40">
        <f t="shared" si="193"/>
        <v>2.5651761048677031</v>
      </c>
      <c r="S266" s="99">
        <f t="shared" si="166"/>
        <v>3.0890234306780351E-3</v>
      </c>
      <c r="T266" s="48">
        <f t="shared" si="167"/>
        <v>1.7360720050187177E-2</v>
      </c>
      <c r="U266" s="40">
        <v>0.62040329999999988</v>
      </c>
      <c r="V266" s="40">
        <v>1.2</v>
      </c>
      <c r="W266" s="45">
        <v>0</v>
      </c>
      <c r="X266" s="40">
        <v>2.1943124233578808</v>
      </c>
      <c r="Y266" s="42">
        <v>0</v>
      </c>
      <c r="Z266" s="42">
        <v>10.88071439877112</v>
      </c>
      <c r="AA266" s="42">
        <v>89.119285601228881</v>
      </c>
      <c r="AB266" s="42">
        <v>10.111111111111114</v>
      </c>
      <c r="AC266" s="125">
        <v>1.1000000000000001</v>
      </c>
      <c r="AD266" s="94">
        <f t="shared" si="194"/>
        <v>1.6516643726344506E-2</v>
      </c>
      <c r="AE266" s="94">
        <f t="shared" si="210"/>
        <v>3.6242676520893753E-2</v>
      </c>
      <c r="AF266" s="96">
        <f t="shared" si="211"/>
        <v>0</v>
      </c>
      <c r="AG266" s="95">
        <f t="shared" si="218"/>
        <v>3.9434621227089264E-3</v>
      </c>
      <c r="AH266" s="94">
        <f t="shared" si="219"/>
        <v>3.2299214398184825E-2</v>
      </c>
      <c r="AI266" s="94">
        <f t="shared" si="213"/>
        <v>0.36645372926681474</v>
      </c>
      <c r="AJ266" s="96">
        <f t="shared" si="169"/>
        <v>8.6137166987966052E-4</v>
      </c>
      <c r="AK266" s="95">
        <f t="shared" si="170"/>
        <v>5.3030672661225266E-3</v>
      </c>
      <c r="AL266" s="95">
        <f t="shared" si="171"/>
        <v>5.9151931840633895E-3</v>
      </c>
      <c r="AM266" s="94">
        <f t="shared" si="172"/>
        <v>4.8448821597277238E-2</v>
      </c>
      <c r="AN266" s="93">
        <f t="shared" si="173"/>
        <v>2.5651761048677031</v>
      </c>
      <c r="AO266" s="96">
        <f t="shared" si="174"/>
        <v>1.2920575048194908E-3</v>
      </c>
      <c r="AP266" s="95">
        <f t="shared" si="175"/>
        <v>7.9546008991837908E-3</v>
      </c>
      <c r="AQ266" s="93">
        <f t="shared" si="176"/>
        <v>0.1088071439877112</v>
      </c>
      <c r="AR266" s="31">
        <v>1.5</v>
      </c>
      <c r="AS266" s="31">
        <v>1.5</v>
      </c>
      <c r="AT266" s="31">
        <v>7</v>
      </c>
      <c r="AU266" s="43">
        <v>7.0999999999999994E-2</v>
      </c>
      <c r="AV266" s="44">
        <v>0.28000000000000003</v>
      </c>
      <c r="AW266" s="43">
        <v>1.7999999999999999E-2</v>
      </c>
      <c r="AX266" s="44">
        <v>0.13</v>
      </c>
      <c r="AY266" s="40">
        <v>7.081758249007474</v>
      </c>
      <c r="AZ266" s="41">
        <v>0.5</v>
      </c>
      <c r="BA266" s="40">
        <v>0.72</v>
      </c>
      <c r="BB266" s="45">
        <v>1</v>
      </c>
      <c r="BC266" s="41">
        <v>3.3197225366043677</v>
      </c>
      <c r="BD266" s="41">
        <v>24.127673726603245</v>
      </c>
      <c r="BE266" s="41">
        <v>72.552603736792392</v>
      </c>
      <c r="BF266" s="125">
        <v>1.1000000000000001</v>
      </c>
      <c r="BG266" s="48">
        <f t="shared" si="198"/>
        <v>4.5173281092583716E-3</v>
      </c>
      <c r="BH266" s="48">
        <f t="shared" si="214"/>
        <v>4.5173281092583716E-3</v>
      </c>
      <c r="BI266" s="99">
        <f t="shared" si="215"/>
        <v>1.4996275929541415E-4</v>
      </c>
      <c r="BJ266" s="99">
        <f t="shared" si="201"/>
        <v>1.0899261873619952E-3</v>
      </c>
      <c r="BK266" s="48">
        <f t="shared" si="216"/>
        <v>3.2774391626009623E-3</v>
      </c>
      <c r="BL266" s="99">
        <f t="shared" si="177"/>
        <v>2.1162187416007153E-4</v>
      </c>
      <c r="BM266" s="48">
        <f t="shared" si="178"/>
        <v>1.1132568312122305E-3</v>
      </c>
      <c r="BN266" s="48">
        <f t="shared" si="179"/>
        <v>1.6348892810429927E-3</v>
      </c>
      <c r="BO266" s="48">
        <f t="shared" si="180"/>
        <v>4.9161587439014434E-3</v>
      </c>
      <c r="BP266" s="99">
        <f t="shared" si="181"/>
        <v>3.174328112401073E-4</v>
      </c>
      <c r="BQ266" s="48">
        <f t="shared" si="182"/>
        <v>1.6698852468183456E-3</v>
      </c>
      <c r="BR266" s="40">
        <f t="shared" si="183"/>
        <v>0.27447396263207613</v>
      </c>
      <c r="BS266" s="31">
        <v>1.5</v>
      </c>
      <c r="BT266" s="31">
        <v>1.5</v>
      </c>
      <c r="BU266" s="43">
        <v>0.125</v>
      </c>
      <c r="BV266" s="44">
        <v>0.42</v>
      </c>
      <c r="BW266" s="43">
        <v>2.3E-2</v>
      </c>
      <c r="BX266" s="44">
        <v>0.2</v>
      </c>
      <c r="BY266" s="40">
        <v>17.493153787299189</v>
      </c>
      <c r="BZ266" s="40">
        <v>0.52</v>
      </c>
      <c r="CA266" s="40">
        <v>0.65</v>
      </c>
      <c r="CB266" s="45">
        <v>1</v>
      </c>
      <c r="CC266" s="41">
        <v>0.82393172144641669</v>
      </c>
      <c r="CD266" s="41">
        <v>23.031994076959833</v>
      </c>
      <c r="CE266" s="41">
        <v>76.144074201593753</v>
      </c>
      <c r="CF266" s="125">
        <v>1.1000000000000001</v>
      </c>
      <c r="CG266" s="40">
        <f t="shared" si="203"/>
        <v>2.5276743866833661E-2</v>
      </c>
      <c r="CH266" s="40">
        <f t="shared" si="217"/>
        <v>2.5276743866833661E-2</v>
      </c>
      <c r="CI266" s="99">
        <f t="shared" si="205"/>
        <v>2.0826311086760411E-4</v>
      </c>
      <c r="CJ266" s="100">
        <f t="shared" si="206"/>
        <v>5.8217381502574366E-3</v>
      </c>
      <c r="CK266" s="100">
        <f t="shared" si="207"/>
        <v>1.9246742605708619E-2</v>
      </c>
      <c r="CL266" s="101">
        <f t="shared" si="184"/>
        <v>9.8635540974562476E-4</v>
      </c>
      <c r="CM266" s="100">
        <f t="shared" si="185"/>
        <v>5.1574892694566925E-3</v>
      </c>
      <c r="CN266" s="100">
        <f t="shared" si="186"/>
        <v>8.7326072253861541E-3</v>
      </c>
      <c r="CO266" s="100">
        <f t="shared" si="187"/>
        <v>2.8870113908562929E-2</v>
      </c>
      <c r="CP266" s="101">
        <f t="shared" si="188"/>
        <v>1.479533114618437E-3</v>
      </c>
      <c r="CQ266" s="100">
        <f t="shared" si="189"/>
        <v>7.7362339041850397E-3</v>
      </c>
      <c r="CR266" s="99">
        <f t="shared" si="190"/>
        <v>0.23855925798406249</v>
      </c>
      <c r="CS266" s="31">
        <v>1.5</v>
      </c>
      <c r="CT266" s="31">
        <v>1.5</v>
      </c>
      <c r="CU266" s="43">
        <v>0.1</v>
      </c>
      <c r="CV266" s="44">
        <v>0.39</v>
      </c>
      <c r="CW266" s="43">
        <v>2.1000000000000001E-2</v>
      </c>
      <c r="CX266" s="44">
        <v>0.15</v>
      </c>
    </row>
    <row r="267" spans="1:102" x14ac:dyDescent="0.25">
      <c r="A267" s="31">
        <v>253</v>
      </c>
      <c r="B267" s="83" t="s">
        <v>254</v>
      </c>
      <c r="C267" s="31">
        <v>50</v>
      </c>
      <c r="D267" s="31" t="s">
        <v>36</v>
      </c>
      <c r="E267" s="31" t="s">
        <v>4</v>
      </c>
      <c r="F267" s="31" t="s">
        <v>62</v>
      </c>
      <c r="G267" s="31" t="str">
        <f t="shared" si="191"/>
        <v>Kommunal 50 C 4S EE</v>
      </c>
      <c r="H267" s="48">
        <f t="shared" si="157"/>
        <v>7.2193145085329619E-2</v>
      </c>
      <c r="I267" s="40">
        <f t="shared" si="158"/>
        <v>8.5616159693567465E-2</v>
      </c>
      <c r="J267" s="99">
        <f t="shared" si="159"/>
        <v>3.5822587016301824E-4</v>
      </c>
      <c r="K267" s="48">
        <f t="shared" si="160"/>
        <v>1.2985506273589426E-2</v>
      </c>
      <c r="L267" s="48">
        <f t="shared" si="161"/>
        <v>7.2272427549815013E-2</v>
      </c>
      <c r="M267" s="48">
        <f t="shared" si="192"/>
        <v>0.31632516373236075</v>
      </c>
      <c r="N267" s="99">
        <f t="shared" si="162"/>
        <v>2.5246884854266639E-3</v>
      </c>
      <c r="O267" s="48">
        <f t="shared" si="163"/>
        <v>1.4438693794336229E-2</v>
      </c>
      <c r="P267" s="48">
        <f t="shared" si="164"/>
        <v>1.9478259410384141E-2</v>
      </c>
      <c r="Q267" s="48">
        <f t="shared" si="165"/>
        <v>0.10840864132472253</v>
      </c>
      <c r="R267" s="40">
        <f t="shared" si="193"/>
        <v>2.214276146126525</v>
      </c>
      <c r="S267" s="99">
        <f t="shared" si="166"/>
        <v>3.7870327281399954E-3</v>
      </c>
      <c r="T267" s="48">
        <f t="shared" si="167"/>
        <v>2.1658040691504343E-2</v>
      </c>
      <c r="U267" s="40">
        <v>1.9839600000000006</v>
      </c>
      <c r="V267" s="40">
        <v>1.2</v>
      </c>
      <c r="W267" s="41">
        <v>0.1</v>
      </c>
      <c r="X267" s="40">
        <v>1.316587454014728</v>
      </c>
      <c r="Y267" s="42">
        <v>0</v>
      </c>
      <c r="Z267" s="42">
        <v>10.88071439877112</v>
      </c>
      <c r="AA267" s="42">
        <v>89.119285601228867</v>
      </c>
      <c r="AB267" s="42">
        <v>5.6666666666666661</v>
      </c>
      <c r="AC267" s="125">
        <v>1.1000000000000001</v>
      </c>
      <c r="AD267" s="94">
        <f t="shared" si="194"/>
        <v>4.2399073109237587E-2</v>
      </c>
      <c r="AE267" s="94">
        <f t="shared" si="210"/>
        <v>5.5822087717475433E-2</v>
      </c>
      <c r="AF267" s="96">
        <f t="shared" si="211"/>
        <v>0</v>
      </c>
      <c r="AG267" s="95">
        <f t="shared" si="218"/>
        <v>6.073841935969995E-3</v>
      </c>
      <c r="AH267" s="94">
        <f t="shared" si="219"/>
        <v>4.9748245781505433E-2</v>
      </c>
      <c r="AI267" s="94">
        <f t="shared" si="213"/>
        <v>0.31632516373236075</v>
      </c>
      <c r="AJ267" s="96">
        <f t="shared" si="169"/>
        <v>1.3267112015209674E-3</v>
      </c>
      <c r="AK267" s="95">
        <f t="shared" si="170"/>
        <v>8.1679476936673059E-3</v>
      </c>
      <c r="AL267" s="95">
        <f t="shared" si="171"/>
        <v>9.1107629039549921E-3</v>
      </c>
      <c r="AM267" s="94">
        <f t="shared" si="172"/>
        <v>7.4622368672258146E-2</v>
      </c>
      <c r="AN267" s="93">
        <f t="shared" si="173"/>
        <v>2.214276146126525</v>
      </c>
      <c r="AO267" s="96">
        <f t="shared" si="174"/>
        <v>1.9900668022814509E-3</v>
      </c>
      <c r="AP267" s="95">
        <f t="shared" si="175"/>
        <v>1.2251921540500957E-2</v>
      </c>
      <c r="AQ267" s="93">
        <f t="shared" si="176"/>
        <v>0.10880714398771121</v>
      </c>
      <c r="AR267" s="31">
        <v>1.5</v>
      </c>
      <c r="AS267" s="31">
        <v>1.5</v>
      </c>
      <c r="AT267" s="31">
        <v>7</v>
      </c>
      <c r="AU267" s="43">
        <v>7.0999999999999994E-2</v>
      </c>
      <c r="AV267" s="44">
        <v>0.28000000000000003</v>
      </c>
      <c r="AW267" s="43">
        <v>1.7999999999999999E-2</v>
      </c>
      <c r="AX267" s="44">
        <v>0.13</v>
      </c>
      <c r="AY267" s="40">
        <v>7.081758249007474</v>
      </c>
      <c r="AZ267" s="41">
        <v>0.5</v>
      </c>
      <c r="BA267" s="40">
        <v>0.72</v>
      </c>
      <c r="BB267" s="45">
        <v>1</v>
      </c>
      <c r="BC267" s="41">
        <v>3.3197225366043677</v>
      </c>
      <c r="BD267" s="41">
        <v>24.127673726603245</v>
      </c>
      <c r="BE267" s="41">
        <v>72.552603736792392</v>
      </c>
      <c r="BF267" s="125">
        <v>1.1000000000000001</v>
      </c>
      <c r="BG267" s="48">
        <f t="shared" si="198"/>
        <v>4.5173281092583716E-3</v>
      </c>
      <c r="BH267" s="48">
        <f t="shared" si="214"/>
        <v>4.5173281092583716E-3</v>
      </c>
      <c r="BI267" s="99">
        <f t="shared" si="215"/>
        <v>1.4996275929541415E-4</v>
      </c>
      <c r="BJ267" s="99">
        <f t="shared" si="201"/>
        <v>1.0899261873619952E-3</v>
      </c>
      <c r="BK267" s="48">
        <f t="shared" si="216"/>
        <v>3.2774391626009623E-3</v>
      </c>
      <c r="BL267" s="99">
        <f t="shared" si="177"/>
        <v>2.1162187416007153E-4</v>
      </c>
      <c r="BM267" s="48">
        <f t="shared" si="178"/>
        <v>1.1132568312122305E-3</v>
      </c>
      <c r="BN267" s="48">
        <f t="shared" si="179"/>
        <v>1.6348892810429927E-3</v>
      </c>
      <c r="BO267" s="48">
        <f t="shared" si="180"/>
        <v>4.9161587439014434E-3</v>
      </c>
      <c r="BP267" s="99">
        <f t="shared" si="181"/>
        <v>3.174328112401073E-4</v>
      </c>
      <c r="BQ267" s="48">
        <f t="shared" si="182"/>
        <v>1.6698852468183456E-3</v>
      </c>
      <c r="BR267" s="40">
        <f t="shared" si="183"/>
        <v>0.27447396263207613</v>
      </c>
      <c r="BS267" s="31">
        <v>1.5</v>
      </c>
      <c r="BT267" s="31">
        <v>1.5</v>
      </c>
      <c r="BU267" s="43">
        <v>0.125</v>
      </c>
      <c r="BV267" s="44">
        <v>0.42</v>
      </c>
      <c r="BW267" s="43">
        <v>2.3E-2</v>
      </c>
      <c r="BX267" s="44">
        <v>0.2</v>
      </c>
      <c r="BY267" s="40">
        <v>17.493153787299189</v>
      </c>
      <c r="BZ267" s="40">
        <v>0.52</v>
      </c>
      <c r="CA267" s="40">
        <v>0.65</v>
      </c>
      <c r="CB267" s="45">
        <v>1</v>
      </c>
      <c r="CC267" s="41">
        <v>0.82393172144641669</v>
      </c>
      <c r="CD267" s="41">
        <v>23.031994076959833</v>
      </c>
      <c r="CE267" s="41">
        <v>76.144074201593753</v>
      </c>
      <c r="CF267" s="125">
        <v>1.1000000000000001</v>
      </c>
      <c r="CG267" s="40">
        <f t="shared" si="203"/>
        <v>2.5276743866833661E-2</v>
      </c>
      <c r="CH267" s="40">
        <f t="shared" si="217"/>
        <v>2.5276743866833661E-2</v>
      </c>
      <c r="CI267" s="99">
        <f t="shared" si="205"/>
        <v>2.0826311086760411E-4</v>
      </c>
      <c r="CJ267" s="100">
        <f t="shared" si="206"/>
        <v>5.8217381502574366E-3</v>
      </c>
      <c r="CK267" s="100">
        <f t="shared" si="207"/>
        <v>1.9246742605708619E-2</v>
      </c>
      <c r="CL267" s="101">
        <f t="shared" si="184"/>
        <v>9.8635540974562476E-4</v>
      </c>
      <c r="CM267" s="100">
        <f t="shared" si="185"/>
        <v>5.1574892694566925E-3</v>
      </c>
      <c r="CN267" s="100">
        <f t="shared" si="186"/>
        <v>8.7326072253861541E-3</v>
      </c>
      <c r="CO267" s="100">
        <f t="shared" si="187"/>
        <v>2.8870113908562929E-2</v>
      </c>
      <c r="CP267" s="101">
        <f t="shared" si="188"/>
        <v>1.479533114618437E-3</v>
      </c>
      <c r="CQ267" s="100">
        <f t="shared" si="189"/>
        <v>7.7362339041850397E-3</v>
      </c>
      <c r="CR267" s="99">
        <f t="shared" si="190"/>
        <v>0.23855925798406249</v>
      </c>
      <c r="CS267" s="31">
        <v>1.5</v>
      </c>
      <c r="CT267" s="31">
        <v>1.5</v>
      </c>
      <c r="CU267" s="43">
        <v>0.1</v>
      </c>
      <c r="CV267" s="44">
        <v>0.39</v>
      </c>
      <c r="CW267" s="43">
        <v>2.1000000000000001E-2</v>
      </c>
      <c r="CX267" s="44">
        <v>0.15</v>
      </c>
    </row>
    <row r="268" spans="1:102" x14ac:dyDescent="0.25">
      <c r="A268" s="31">
        <v>254</v>
      </c>
      <c r="B268" s="83" t="s">
        <v>254</v>
      </c>
      <c r="C268" s="31">
        <v>50</v>
      </c>
      <c r="D268" s="31" t="s">
        <v>36</v>
      </c>
      <c r="E268" s="31" t="s">
        <v>4</v>
      </c>
      <c r="F268" s="31" t="s">
        <v>63</v>
      </c>
      <c r="G268" s="31" t="str">
        <f t="shared" si="191"/>
        <v>Kommunal 50 C 4S ES</v>
      </c>
      <c r="H268" s="48">
        <f t="shared" si="157"/>
        <v>5.9498811819090808E-2</v>
      </c>
      <c r="I268" s="40">
        <f t="shared" si="158"/>
        <v>6.8902959778155651E-2</v>
      </c>
      <c r="J268" s="99">
        <f t="shared" si="159"/>
        <v>3.5822587016301824E-4</v>
      </c>
      <c r="K268" s="48">
        <f t="shared" si="160"/>
        <v>1.1166990723897811E-2</v>
      </c>
      <c r="L268" s="48">
        <f t="shared" si="161"/>
        <v>5.7377743184094818E-2</v>
      </c>
      <c r="M268" s="48">
        <f t="shared" si="192"/>
        <v>0.22161703087836043</v>
      </c>
      <c r="N268" s="99">
        <f t="shared" si="162"/>
        <v>2.1274695628155952E-3</v>
      </c>
      <c r="O268" s="48">
        <f t="shared" si="163"/>
        <v>1.199320047287895E-2</v>
      </c>
      <c r="P268" s="48">
        <f t="shared" si="164"/>
        <v>1.6750486085846714E-2</v>
      </c>
      <c r="Q268" s="48">
        <f t="shared" si="165"/>
        <v>8.606661477614222E-2</v>
      </c>
      <c r="R268" s="40">
        <f t="shared" si="193"/>
        <v>1.551319216148523</v>
      </c>
      <c r="S268" s="99">
        <f t="shared" si="166"/>
        <v>3.1912043442233928E-3</v>
      </c>
      <c r="T268" s="48">
        <f t="shared" si="167"/>
        <v>1.7989800709318424E-2</v>
      </c>
      <c r="U268" s="40">
        <v>1.3899600000000003</v>
      </c>
      <c r="V268" s="40">
        <v>1.2</v>
      </c>
      <c r="W268" s="41">
        <v>0.1</v>
      </c>
      <c r="X268" s="40">
        <v>1.316587454014728</v>
      </c>
      <c r="Y268" s="42">
        <v>0</v>
      </c>
      <c r="Z268" s="42">
        <v>10.880714398771122</v>
      </c>
      <c r="AA268" s="42">
        <v>89.119285601228881</v>
      </c>
      <c r="AB268" s="42">
        <v>5.6666666666666661</v>
      </c>
      <c r="AC268" s="125">
        <v>1.1000000000000001</v>
      </c>
      <c r="AD268" s="94">
        <f t="shared" si="194"/>
        <v>2.9704739842998779E-2</v>
      </c>
      <c r="AE268" s="94">
        <f t="shared" si="210"/>
        <v>3.9108887802063612E-2</v>
      </c>
      <c r="AF268" s="96">
        <f t="shared" si="211"/>
        <v>0</v>
      </c>
      <c r="AG268" s="95">
        <f t="shared" si="218"/>
        <v>4.2553263862783785E-3</v>
      </c>
      <c r="AH268" s="94">
        <f t="shared" si="219"/>
        <v>3.4853561415785238E-2</v>
      </c>
      <c r="AI268" s="94">
        <f t="shared" si="213"/>
        <v>0.22161703087836043</v>
      </c>
      <c r="AJ268" s="96">
        <f t="shared" si="169"/>
        <v>9.2949227890989916E-4</v>
      </c>
      <c r="AK268" s="95">
        <f t="shared" si="170"/>
        <v>5.7224543722100268E-3</v>
      </c>
      <c r="AL268" s="95">
        <f t="shared" si="171"/>
        <v>6.3829895794175681E-3</v>
      </c>
      <c r="AM268" s="94">
        <f t="shared" si="172"/>
        <v>5.2280342123677853E-2</v>
      </c>
      <c r="AN268" s="93">
        <f t="shared" si="173"/>
        <v>1.551319216148523</v>
      </c>
      <c r="AO268" s="96">
        <f t="shared" si="174"/>
        <v>1.3942384183648485E-3</v>
      </c>
      <c r="AP268" s="95">
        <f t="shared" si="175"/>
        <v>8.5836815583150393E-3</v>
      </c>
      <c r="AQ268" s="93">
        <f t="shared" si="176"/>
        <v>0.10880714398771123</v>
      </c>
      <c r="AR268" s="31">
        <v>1.5</v>
      </c>
      <c r="AS268" s="31">
        <v>1.5</v>
      </c>
      <c r="AT268" s="31">
        <v>7</v>
      </c>
      <c r="AU268" s="43">
        <v>7.0999999999999994E-2</v>
      </c>
      <c r="AV268" s="44">
        <v>0.28000000000000003</v>
      </c>
      <c r="AW268" s="43">
        <v>1.7999999999999999E-2</v>
      </c>
      <c r="AX268" s="44">
        <v>0.13</v>
      </c>
      <c r="AY268" s="40">
        <v>7.081758249007474</v>
      </c>
      <c r="AZ268" s="41">
        <v>0.5</v>
      </c>
      <c r="BA268" s="40">
        <v>0.72</v>
      </c>
      <c r="BB268" s="45">
        <v>1</v>
      </c>
      <c r="BC268" s="41">
        <v>3.3197225366043677</v>
      </c>
      <c r="BD268" s="41">
        <v>24.127673726603245</v>
      </c>
      <c r="BE268" s="41">
        <v>72.552603736792392</v>
      </c>
      <c r="BF268" s="125">
        <v>1.1000000000000001</v>
      </c>
      <c r="BG268" s="48">
        <f t="shared" si="198"/>
        <v>4.5173281092583716E-3</v>
      </c>
      <c r="BH268" s="48">
        <f t="shared" si="214"/>
        <v>4.5173281092583716E-3</v>
      </c>
      <c r="BI268" s="99">
        <f t="shared" si="215"/>
        <v>1.4996275929541415E-4</v>
      </c>
      <c r="BJ268" s="99">
        <f t="shared" si="201"/>
        <v>1.0899261873619952E-3</v>
      </c>
      <c r="BK268" s="48">
        <f t="shared" si="216"/>
        <v>3.2774391626009623E-3</v>
      </c>
      <c r="BL268" s="99">
        <f t="shared" si="177"/>
        <v>2.1162187416007153E-4</v>
      </c>
      <c r="BM268" s="48">
        <f t="shared" si="178"/>
        <v>1.1132568312122305E-3</v>
      </c>
      <c r="BN268" s="48">
        <f t="shared" si="179"/>
        <v>1.6348892810429927E-3</v>
      </c>
      <c r="BO268" s="48">
        <f t="shared" si="180"/>
        <v>4.9161587439014434E-3</v>
      </c>
      <c r="BP268" s="99">
        <f t="shared" si="181"/>
        <v>3.174328112401073E-4</v>
      </c>
      <c r="BQ268" s="48">
        <f t="shared" si="182"/>
        <v>1.6698852468183456E-3</v>
      </c>
      <c r="BR268" s="40">
        <f t="shared" si="183"/>
        <v>0.27447396263207613</v>
      </c>
      <c r="BS268" s="31">
        <v>1.5</v>
      </c>
      <c r="BT268" s="31">
        <v>1.5</v>
      </c>
      <c r="BU268" s="43">
        <v>0.125</v>
      </c>
      <c r="BV268" s="44">
        <v>0.42</v>
      </c>
      <c r="BW268" s="43">
        <v>2.3E-2</v>
      </c>
      <c r="BX268" s="44">
        <v>0.2</v>
      </c>
      <c r="BY268" s="40">
        <v>17.493153787299189</v>
      </c>
      <c r="BZ268" s="40">
        <v>0.52</v>
      </c>
      <c r="CA268" s="40">
        <v>0.65</v>
      </c>
      <c r="CB268" s="45">
        <v>1</v>
      </c>
      <c r="CC268" s="41">
        <v>0.82393172144641669</v>
      </c>
      <c r="CD268" s="41">
        <v>23.031994076959833</v>
      </c>
      <c r="CE268" s="41">
        <v>76.144074201593753</v>
      </c>
      <c r="CF268" s="125">
        <v>1.1000000000000001</v>
      </c>
      <c r="CG268" s="40">
        <f t="shared" si="203"/>
        <v>2.5276743866833661E-2</v>
      </c>
      <c r="CH268" s="40">
        <f t="shared" si="217"/>
        <v>2.5276743866833661E-2</v>
      </c>
      <c r="CI268" s="99">
        <f t="shared" si="205"/>
        <v>2.0826311086760411E-4</v>
      </c>
      <c r="CJ268" s="100">
        <f t="shared" si="206"/>
        <v>5.8217381502574366E-3</v>
      </c>
      <c r="CK268" s="100">
        <f t="shared" si="207"/>
        <v>1.9246742605708619E-2</v>
      </c>
      <c r="CL268" s="101">
        <f t="shared" si="184"/>
        <v>9.8635540974562476E-4</v>
      </c>
      <c r="CM268" s="100">
        <f t="shared" si="185"/>
        <v>5.1574892694566925E-3</v>
      </c>
      <c r="CN268" s="100">
        <f t="shared" si="186"/>
        <v>8.7326072253861541E-3</v>
      </c>
      <c r="CO268" s="100">
        <f t="shared" si="187"/>
        <v>2.8870113908562929E-2</v>
      </c>
      <c r="CP268" s="101">
        <f t="shared" si="188"/>
        <v>1.479533114618437E-3</v>
      </c>
      <c r="CQ268" s="100">
        <f t="shared" si="189"/>
        <v>7.7362339041850397E-3</v>
      </c>
      <c r="CR268" s="99">
        <f t="shared" si="190"/>
        <v>0.23855925798406249</v>
      </c>
      <c r="CS268" s="31">
        <v>1.5</v>
      </c>
      <c r="CT268" s="31">
        <v>1.5</v>
      </c>
      <c r="CU268" s="43">
        <v>0.1</v>
      </c>
      <c r="CV268" s="44">
        <v>0.39</v>
      </c>
      <c r="CW268" s="43">
        <v>2.1000000000000001E-2</v>
      </c>
      <c r="CX268" s="44">
        <v>0.15</v>
      </c>
    </row>
    <row r="269" spans="1:102" x14ac:dyDescent="0.25">
      <c r="A269" s="31">
        <v>255</v>
      </c>
      <c r="B269" s="83" t="s">
        <v>254</v>
      </c>
      <c r="C269" s="31">
        <v>50</v>
      </c>
      <c r="D269" s="31" t="s">
        <v>36</v>
      </c>
      <c r="E269" s="31" t="s">
        <v>5</v>
      </c>
      <c r="F269" s="31" t="s">
        <v>12</v>
      </c>
      <c r="G269" s="31" t="str">
        <f t="shared" si="191"/>
        <v>Kommunal 50 M 4S A</v>
      </c>
      <c r="H269" s="48">
        <f t="shared" si="157"/>
        <v>5.5715367533546452E-2</v>
      </c>
      <c r="I269" s="40">
        <f t="shared" si="158"/>
        <v>6.1957479136333413E-2</v>
      </c>
      <c r="J269" s="99">
        <f t="shared" si="159"/>
        <v>6.2040684706708346E-4</v>
      </c>
      <c r="K269" s="48">
        <f t="shared" si="160"/>
        <v>1.1309031655784047E-2</v>
      </c>
      <c r="L269" s="48">
        <f t="shared" si="161"/>
        <v>5.0028040633482283E-2</v>
      </c>
      <c r="M269" s="48">
        <f t="shared" si="192"/>
        <v>0.13711768315681858</v>
      </c>
      <c r="N269" s="99">
        <f t="shared" si="162"/>
        <v>2.0052598230684924E-3</v>
      </c>
      <c r="O269" s="48">
        <f t="shared" si="163"/>
        <v>1.1077510602227466E-2</v>
      </c>
      <c r="P269" s="48">
        <f t="shared" si="164"/>
        <v>1.696354748367607E-2</v>
      </c>
      <c r="Q269" s="48">
        <f t="shared" si="165"/>
        <v>7.5042060950223421E-2</v>
      </c>
      <c r="R269" s="40">
        <f t="shared" si="193"/>
        <v>0.95982378209773</v>
      </c>
      <c r="S269" s="99">
        <f t="shared" si="166"/>
        <v>3.0078897346027386E-3</v>
      </c>
      <c r="T269" s="48">
        <f t="shared" si="167"/>
        <v>1.6616265903341199E-2</v>
      </c>
      <c r="U269" s="40">
        <v>0.35663759999999994</v>
      </c>
      <c r="V269" s="40">
        <v>1.45</v>
      </c>
      <c r="W269" s="41">
        <v>0.5</v>
      </c>
      <c r="X269" s="40">
        <v>1.2408101705005967</v>
      </c>
      <c r="Y269" s="42">
        <v>0.81515299544557829</v>
      </c>
      <c r="Z269" s="42">
        <v>13.671957377700943</v>
      </c>
      <c r="AA269" s="42">
        <v>85.512889626853479</v>
      </c>
      <c r="AB269" s="42">
        <v>4.2631578947368443</v>
      </c>
      <c r="AC269" s="125">
        <v>1.1000000000000001</v>
      </c>
      <c r="AD269" s="94">
        <f t="shared" si="194"/>
        <v>2.592129555745442E-2</v>
      </c>
      <c r="AE269" s="94">
        <f t="shared" si="210"/>
        <v>3.2163407160241381E-2</v>
      </c>
      <c r="AF269" s="96">
        <f t="shared" si="211"/>
        <v>2.6218097690406522E-4</v>
      </c>
      <c r="AG269" s="95">
        <f t="shared" si="218"/>
        <v>4.3973673181646154E-3</v>
      </c>
      <c r="AH269" s="94">
        <f t="shared" si="219"/>
        <v>2.75038588651727E-2</v>
      </c>
      <c r="AI269" s="94">
        <f t="shared" si="213"/>
        <v>0.13711768315681858</v>
      </c>
      <c r="AJ269" s="96">
        <f t="shared" si="169"/>
        <v>8.0728253916279621E-4</v>
      </c>
      <c r="AK269" s="95">
        <f t="shared" si="170"/>
        <v>4.8067645015585437E-3</v>
      </c>
      <c r="AL269" s="95">
        <f t="shared" si="171"/>
        <v>6.5960509772469231E-3</v>
      </c>
      <c r="AM269" s="94">
        <f t="shared" si="172"/>
        <v>4.1255788297759048E-2</v>
      </c>
      <c r="AN269" s="93">
        <f t="shared" si="173"/>
        <v>0.95982378209773</v>
      </c>
      <c r="AO269" s="96">
        <f t="shared" si="174"/>
        <v>1.2109238087441943E-3</v>
      </c>
      <c r="AP269" s="95">
        <f t="shared" si="175"/>
        <v>7.2101467523378151E-3</v>
      </c>
      <c r="AQ269" s="93">
        <f t="shared" si="176"/>
        <v>0.14487110373146522</v>
      </c>
      <c r="AR269" s="31">
        <v>1.5</v>
      </c>
      <c r="AS269" s="31">
        <v>1.5</v>
      </c>
      <c r="AT269" s="31">
        <v>7</v>
      </c>
      <c r="AU269" s="43">
        <v>7.0999999999999994E-2</v>
      </c>
      <c r="AV269" s="44">
        <v>0.28000000000000003</v>
      </c>
      <c r="AW269" s="43">
        <v>1.7999999999999999E-2</v>
      </c>
      <c r="AX269" s="44">
        <v>0.13</v>
      </c>
      <c r="AY269" s="40">
        <v>7.081758249007474</v>
      </c>
      <c r="AZ269" s="41">
        <v>0.5</v>
      </c>
      <c r="BA269" s="40">
        <v>0.72</v>
      </c>
      <c r="BB269" s="45">
        <v>1</v>
      </c>
      <c r="BC269" s="41">
        <v>3.3197225366043677</v>
      </c>
      <c r="BD269" s="41">
        <v>24.127673726603245</v>
      </c>
      <c r="BE269" s="41">
        <v>72.552603736792392</v>
      </c>
      <c r="BF269" s="125">
        <v>1.1000000000000001</v>
      </c>
      <c r="BG269" s="48">
        <f t="shared" si="198"/>
        <v>4.5173281092583716E-3</v>
      </c>
      <c r="BH269" s="48">
        <f t="shared" si="214"/>
        <v>4.5173281092583716E-3</v>
      </c>
      <c r="BI269" s="99">
        <f t="shared" si="215"/>
        <v>1.4996275929541415E-4</v>
      </c>
      <c r="BJ269" s="99">
        <f t="shared" si="201"/>
        <v>1.0899261873619952E-3</v>
      </c>
      <c r="BK269" s="48">
        <f t="shared" si="216"/>
        <v>3.2774391626009623E-3</v>
      </c>
      <c r="BL269" s="99">
        <f t="shared" si="177"/>
        <v>2.1162187416007153E-4</v>
      </c>
      <c r="BM269" s="48">
        <f t="shared" si="178"/>
        <v>1.1132568312122305E-3</v>
      </c>
      <c r="BN269" s="48">
        <f t="shared" si="179"/>
        <v>1.6348892810429927E-3</v>
      </c>
      <c r="BO269" s="48">
        <f t="shared" si="180"/>
        <v>4.9161587439014434E-3</v>
      </c>
      <c r="BP269" s="99">
        <f t="shared" si="181"/>
        <v>3.174328112401073E-4</v>
      </c>
      <c r="BQ269" s="48">
        <f t="shared" si="182"/>
        <v>1.6698852468183456E-3</v>
      </c>
      <c r="BR269" s="40">
        <f t="shared" si="183"/>
        <v>0.27447396263207613</v>
      </c>
      <c r="BS269" s="31">
        <v>1.5</v>
      </c>
      <c r="BT269" s="31">
        <v>1.5</v>
      </c>
      <c r="BU269" s="43">
        <v>0.125</v>
      </c>
      <c r="BV269" s="44">
        <v>0.42</v>
      </c>
      <c r="BW269" s="43">
        <v>2.3E-2</v>
      </c>
      <c r="BX269" s="44">
        <v>0.2</v>
      </c>
      <c r="BY269" s="40">
        <v>17.493153787299189</v>
      </c>
      <c r="BZ269" s="40">
        <v>0.52</v>
      </c>
      <c r="CA269" s="40">
        <v>0.65</v>
      </c>
      <c r="CB269" s="45">
        <v>1</v>
      </c>
      <c r="CC269" s="41">
        <v>0.82393172144641647</v>
      </c>
      <c r="CD269" s="41">
        <v>23.031994076959833</v>
      </c>
      <c r="CE269" s="41">
        <v>76.144074201593753</v>
      </c>
      <c r="CF269" s="125">
        <v>1.1000000000000001</v>
      </c>
      <c r="CG269" s="40">
        <f t="shared" si="203"/>
        <v>2.5276743866833661E-2</v>
      </c>
      <c r="CH269" s="40">
        <f t="shared" si="217"/>
        <v>2.5276743866833661E-2</v>
      </c>
      <c r="CI269" s="99">
        <f t="shared" si="205"/>
        <v>2.0826311086760409E-4</v>
      </c>
      <c r="CJ269" s="100">
        <f t="shared" si="206"/>
        <v>5.8217381502574366E-3</v>
      </c>
      <c r="CK269" s="100">
        <f t="shared" si="207"/>
        <v>1.9246742605708619E-2</v>
      </c>
      <c r="CL269" s="101">
        <f t="shared" si="184"/>
        <v>9.8635540974562476E-4</v>
      </c>
      <c r="CM269" s="100">
        <f t="shared" si="185"/>
        <v>5.1574892694566925E-3</v>
      </c>
      <c r="CN269" s="100">
        <f t="shared" si="186"/>
        <v>8.7326072253861541E-3</v>
      </c>
      <c r="CO269" s="100">
        <f t="shared" si="187"/>
        <v>2.8870113908562929E-2</v>
      </c>
      <c r="CP269" s="101">
        <f t="shared" si="188"/>
        <v>1.479533114618437E-3</v>
      </c>
      <c r="CQ269" s="100">
        <f t="shared" si="189"/>
        <v>7.7362339041850397E-3</v>
      </c>
      <c r="CR269" s="99">
        <f t="shared" si="190"/>
        <v>0.23855925798406249</v>
      </c>
      <c r="CS269" s="31">
        <v>1.5</v>
      </c>
      <c r="CT269" s="31">
        <v>1.5</v>
      </c>
      <c r="CU269" s="43">
        <v>0.1</v>
      </c>
      <c r="CV269" s="44">
        <v>0.39</v>
      </c>
      <c r="CW269" s="43">
        <v>2.1000000000000001E-2</v>
      </c>
      <c r="CX269" s="44">
        <v>0.15</v>
      </c>
    </row>
    <row r="270" spans="1:102" x14ac:dyDescent="0.25">
      <c r="A270" s="31">
        <v>256</v>
      </c>
      <c r="B270" s="83" t="s">
        <v>254</v>
      </c>
      <c r="C270" s="31">
        <v>50</v>
      </c>
      <c r="D270" s="31" t="s">
        <v>36</v>
      </c>
      <c r="E270" s="31" t="s">
        <v>5</v>
      </c>
      <c r="F270" s="31" t="s">
        <v>13</v>
      </c>
      <c r="G270" s="31" t="str">
        <f t="shared" si="191"/>
        <v>Kommunal 50 M 4S B</v>
      </c>
      <c r="H270" s="48">
        <f t="shared" si="157"/>
        <v>5.5715367533546452E-2</v>
      </c>
      <c r="I270" s="40">
        <f t="shared" si="158"/>
        <v>6.1957479136333413E-2</v>
      </c>
      <c r="J270" s="99">
        <f t="shared" si="159"/>
        <v>6.2040684706708346E-4</v>
      </c>
      <c r="K270" s="48">
        <f t="shared" si="160"/>
        <v>1.1309031655784047E-2</v>
      </c>
      <c r="L270" s="48">
        <f t="shared" si="161"/>
        <v>5.0028040633482283E-2</v>
      </c>
      <c r="M270" s="48">
        <f t="shared" si="192"/>
        <v>0.13711768315681858</v>
      </c>
      <c r="N270" s="99">
        <f t="shared" si="162"/>
        <v>2.0052598230684924E-3</v>
      </c>
      <c r="O270" s="48">
        <f t="shared" si="163"/>
        <v>1.1077510602227466E-2</v>
      </c>
      <c r="P270" s="48">
        <f t="shared" si="164"/>
        <v>1.696354748367607E-2</v>
      </c>
      <c r="Q270" s="48">
        <f t="shared" si="165"/>
        <v>7.5042060950223421E-2</v>
      </c>
      <c r="R270" s="40">
        <f t="shared" si="193"/>
        <v>0.95982378209773</v>
      </c>
      <c r="S270" s="99">
        <f t="shared" si="166"/>
        <v>3.0078897346027386E-3</v>
      </c>
      <c r="T270" s="48">
        <f t="shared" si="167"/>
        <v>1.6616265903341199E-2</v>
      </c>
      <c r="U270" s="40">
        <v>0.35663759999999994</v>
      </c>
      <c r="V270" s="40">
        <v>1.45</v>
      </c>
      <c r="W270" s="41">
        <v>0.5</v>
      </c>
      <c r="X270" s="40">
        <v>1.2408101705005967</v>
      </c>
      <c r="Y270" s="42">
        <v>0.81515299544557829</v>
      </c>
      <c r="Z270" s="42">
        <v>13.671957377700943</v>
      </c>
      <c r="AA270" s="42">
        <v>85.512889626853479</v>
      </c>
      <c r="AB270" s="42">
        <v>4.2631578947368443</v>
      </c>
      <c r="AC270" s="125">
        <v>1.1000000000000001</v>
      </c>
      <c r="AD270" s="94">
        <f t="shared" si="194"/>
        <v>2.592129555745442E-2</v>
      </c>
      <c r="AE270" s="94">
        <f t="shared" si="210"/>
        <v>3.2163407160241381E-2</v>
      </c>
      <c r="AF270" s="96">
        <f t="shared" si="211"/>
        <v>2.6218097690406522E-4</v>
      </c>
      <c r="AG270" s="95">
        <f t="shared" si="218"/>
        <v>4.3973673181646154E-3</v>
      </c>
      <c r="AH270" s="94">
        <f t="shared" si="219"/>
        <v>2.75038588651727E-2</v>
      </c>
      <c r="AI270" s="94">
        <f t="shared" si="213"/>
        <v>0.13711768315681858</v>
      </c>
      <c r="AJ270" s="96">
        <f t="shared" si="169"/>
        <v>8.0728253916279621E-4</v>
      </c>
      <c r="AK270" s="95">
        <f t="shared" si="170"/>
        <v>4.8067645015585437E-3</v>
      </c>
      <c r="AL270" s="95">
        <f t="shared" si="171"/>
        <v>6.5960509772469231E-3</v>
      </c>
      <c r="AM270" s="94">
        <f t="shared" si="172"/>
        <v>4.1255788297759048E-2</v>
      </c>
      <c r="AN270" s="93">
        <f t="shared" si="173"/>
        <v>0.95982378209773</v>
      </c>
      <c r="AO270" s="96">
        <f t="shared" si="174"/>
        <v>1.2109238087441943E-3</v>
      </c>
      <c r="AP270" s="95">
        <f t="shared" si="175"/>
        <v>7.2101467523378151E-3</v>
      </c>
      <c r="AQ270" s="93">
        <f t="shared" si="176"/>
        <v>0.14487110373146522</v>
      </c>
      <c r="AR270" s="31">
        <v>1.5</v>
      </c>
      <c r="AS270" s="31">
        <v>1.5</v>
      </c>
      <c r="AT270" s="31">
        <v>7</v>
      </c>
      <c r="AU270" s="43">
        <v>7.0999999999999994E-2</v>
      </c>
      <c r="AV270" s="44">
        <v>0.28000000000000003</v>
      </c>
      <c r="AW270" s="43">
        <v>1.7999999999999999E-2</v>
      </c>
      <c r="AX270" s="44">
        <v>0.13</v>
      </c>
      <c r="AY270" s="40">
        <v>7.081758249007474</v>
      </c>
      <c r="AZ270" s="41">
        <v>0.5</v>
      </c>
      <c r="BA270" s="40">
        <v>0.72</v>
      </c>
      <c r="BB270" s="45">
        <v>1</v>
      </c>
      <c r="BC270" s="41">
        <v>3.3197225366043677</v>
      </c>
      <c r="BD270" s="41">
        <v>24.127673726603245</v>
      </c>
      <c r="BE270" s="41">
        <v>72.552603736792392</v>
      </c>
      <c r="BF270" s="125">
        <v>1.1000000000000001</v>
      </c>
      <c r="BG270" s="48">
        <f t="shared" si="198"/>
        <v>4.5173281092583716E-3</v>
      </c>
      <c r="BH270" s="48">
        <f t="shared" si="214"/>
        <v>4.5173281092583716E-3</v>
      </c>
      <c r="BI270" s="99">
        <f t="shared" si="215"/>
        <v>1.4996275929541415E-4</v>
      </c>
      <c r="BJ270" s="99">
        <f t="shared" si="201"/>
        <v>1.0899261873619952E-3</v>
      </c>
      <c r="BK270" s="48">
        <f t="shared" si="216"/>
        <v>3.2774391626009623E-3</v>
      </c>
      <c r="BL270" s="99">
        <f t="shared" si="177"/>
        <v>2.1162187416007153E-4</v>
      </c>
      <c r="BM270" s="48">
        <f t="shared" si="178"/>
        <v>1.1132568312122305E-3</v>
      </c>
      <c r="BN270" s="48">
        <f t="shared" si="179"/>
        <v>1.6348892810429927E-3</v>
      </c>
      <c r="BO270" s="48">
        <f t="shared" si="180"/>
        <v>4.9161587439014434E-3</v>
      </c>
      <c r="BP270" s="99">
        <f t="shared" si="181"/>
        <v>3.174328112401073E-4</v>
      </c>
      <c r="BQ270" s="48">
        <f t="shared" si="182"/>
        <v>1.6698852468183456E-3</v>
      </c>
      <c r="BR270" s="40">
        <f t="shared" si="183"/>
        <v>0.27447396263207613</v>
      </c>
      <c r="BS270" s="31">
        <v>1.5</v>
      </c>
      <c r="BT270" s="31">
        <v>1.5</v>
      </c>
      <c r="BU270" s="43">
        <v>0.125</v>
      </c>
      <c r="BV270" s="44">
        <v>0.42</v>
      </c>
      <c r="BW270" s="43">
        <v>2.3E-2</v>
      </c>
      <c r="BX270" s="44">
        <v>0.2</v>
      </c>
      <c r="BY270" s="40">
        <v>17.493153787299189</v>
      </c>
      <c r="BZ270" s="40">
        <v>0.52</v>
      </c>
      <c r="CA270" s="40">
        <v>0.65</v>
      </c>
      <c r="CB270" s="45">
        <v>1</v>
      </c>
      <c r="CC270" s="41">
        <v>0.82393172144641647</v>
      </c>
      <c r="CD270" s="41">
        <v>23.031994076959833</v>
      </c>
      <c r="CE270" s="41">
        <v>76.144074201593753</v>
      </c>
      <c r="CF270" s="125">
        <v>1.1000000000000001</v>
      </c>
      <c r="CG270" s="40">
        <f t="shared" si="203"/>
        <v>2.5276743866833661E-2</v>
      </c>
      <c r="CH270" s="40">
        <f t="shared" si="217"/>
        <v>2.5276743866833661E-2</v>
      </c>
      <c r="CI270" s="99">
        <f t="shared" si="205"/>
        <v>2.0826311086760409E-4</v>
      </c>
      <c r="CJ270" s="100">
        <f t="shared" si="206"/>
        <v>5.8217381502574366E-3</v>
      </c>
      <c r="CK270" s="100">
        <f t="shared" si="207"/>
        <v>1.9246742605708619E-2</v>
      </c>
      <c r="CL270" s="101">
        <f t="shared" si="184"/>
        <v>9.8635540974562476E-4</v>
      </c>
      <c r="CM270" s="100">
        <f t="shared" si="185"/>
        <v>5.1574892694566925E-3</v>
      </c>
      <c r="CN270" s="100">
        <f t="shared" si="186"/>
        <v>8.7326072253861541E-3</v>
      </c>
      <c r="CO270" s="100">
        <f t="shared" si="187"/>
        <v>2.8870113908562929E-2</v>
      </c>
      <c r="CP270" s="101">
        <f t="shared" si="188"/>
        <v>1.479533114618437E-3</v>
      </c>
      <c r="CQ270" s="100">
        <f t="shared" si="189"/>
        <v>7.7362339041850397E-3</v>
      </c>
      <c r="CR270" s="99">
        <f t="shared" si="190"/>
        <v>0.23855925798406249</v>
      </c>
      <c r="CS270" s="31">
        <v>1.5</v>
      </c>
      <c r="CT270" s="31">
        <v>1.5</v>
      </c>
      <c r="CU270" s="43">
        <v>0.1</v>
      </c>
      <c r="CV270" s="44">
        <v>0.39</v>
      </c>
      <c r="CW270" s="43">
        <v>2.1000000000000001E-2</v>
      </c>
      <c r="CX270" s="44">
        <v>0.15</v>
      </c>
    </row>
    <row r="271" spans="1:102" x14ac:dyDescent="0.25">
      <c r="A271" s="31">
        <v>257</v>
      </c>
      <c r="B271" s="83" t="s">
        <v>254</v>
      </c>
      <c r="C271" s="31">
        <v>50</v>
      </c>
      <c r="D271" s="31" t="s">
        <v>36</v>
      </c>
      <c r="E271" s="31" t="s">
        <v>5</v>
      </c>
      <c r="F271" s="31" t="s">
        <v>70</v>
      </c>
      <c r="G271" s="31" t="str">
        <f t="shared" si="191"/>
        <v>Kommunal 50 M 4S Ck</v>
      </c>
      <c r="H271" s="48">
        <f t="shared" ref="H271:H334" si="220">AD271+BG271+CG271</f>
        <v>5.3123237977801011E-2</v>
      </c>
      <c r="I271" s="40">
        <f t="shared" ref="I271:I334" si="221">AE271+BH271+CH271</f>
        <v>5.8741138420309286E-2</v>
      </c>
      <c r="J271" s="99">
        <f t="shared" ref="J271:J334" si="222">AF271+BI271+CI271</f>
        <v>5.9418874937667697E-4</v>
      </c>
      <c r="K271" s="48">
        <f t="shared" ref="K271:K334" si="223">AG271+BJ271+CJ271</f>
        <v>1.0869294923967586E-2</v>
      </c>
      <c r="L271" s="48">
        <f t="shared" ref="L271:L334" si="224">AH271+BK271+CK271</f>
        <v>4.727765474696502E-2</v>
      </c>
      <c r="M271" s="48">
        <f t="shared" si="192"/>
        <v>0.12340591484113672</v>
      </c>
      <c r="N271" s="99">
        <f t="shared" ref="N271:N334" si="225">AJ271+BL271+CL271</f>
        <v>1.9245315691522129E-3</v>
      </c>
      <c r="O271" s="48">
        <f t="shared" ref="O271:O334" si="226">AK271+BM271+CM271</f>
        <v>1.0596834152071613E-2</v>
      </c>
      <c r="P271" s="48">
        <f t="shared" ref="P271:P334" si="227">AL271+BN271+CN271</f>
        <v>1.6303942385951377E-2</v>
      </c>
      <c r="Q271" s="48">
        <f t="shared" ref="Q271:Q334" si="228">AM271+BO271+CO271</f>
        <v>7.091648212044753E-2</v>
      </c>
      <c r="R271" s="40">
        <f t="shared" si="193"/>
        <v>0.86384140388795705</v>
      </c>
      <c r="S271" s="99">
        <f t="shared" ref="S271:S334" si="229">AO271++BP271+CP271</f>
        <v>2.8867973537283192E-3</v>
      </c>
      <c r="T271" s="48">
        <f t="shared" ref="T271:T334" si="230">AP271++BQ271+CQ271</f>
        <v>1.5895251228107421E-2</v>
      </c>
      <c r="U271" s="40">
        <v>0.32097383999999995</v>
      </c>
      <c r="V271" s="40">
        <v>1.45</v>
      </c>
      <c r="W271" s="41">
        <v>0.5</v>
      </c>
      <c r="X271" s="40">
        <v>1.2408101705005969</v>
      </c>
      <c r="Y271" s="42">
        <v>0.81515299544557829</v>
      </c>
      <c r="Z271" s="42">
        <v>13.671957377700943</v>
      </c>
      <c r="AA271" s="42">
        <v>85.512889626853479</v>
      </c>
      <c r="AB271" s="42">
        <v>4.2631578947368434</v>
      </c>
      <c r="AC271" s="125">
        <v>1.1000000000000001</v>
      </c>
      <c r="AD271" s="94">
        <f t="shared" si="194"/>
        <v>2.3329166001708979E-2</v>
      </c>
      <c r="AE271" s="94">
        <f t="shared" si="210"/>
        <v>2.8947066444217247E-2</v>
      </c>
      <c r="AF271" s="96">
        <f t="shared" si="211"/>
        <v>2.3596287921365873E-4</v>
      </c>
      <c r="AG271" s="95">
        <f t="shared" si="218"/>
        <v>3.9576305863481542E-3</v>
      </c>
      <c r="AH271" s="94">
        <f t="shared" si="219"/>
        <v>2.4753472978655437E-2</v>
      </c>
      <c r="AI271" s="94">
        <f t="shared" si="213"/>
        <v>0.12340591484113672</v>
      </c>
      <c r="AJ271" s="96">
        <f t="shared" ref="AJ271:AJ334" si="231">AG271*AU271+AH271*AW271</f>
        <v>7.2655428524651675E-4</v>
      </c>
      <c r="AK271" s="95">
        <f t="shared" ref="AK271:AK334" si="232">AG271*AV271+AH271*AX271</f>
        <v>4.3260880514026899E-3</v>
      </c>
      <c r="AL271" s="95">
        <f t="shared" ref="AL271:AL334" si="233">AG271*AR271</f>
        <v>5.9364458795222314E-3</v>
      </c>
      <c r="AM271" s="94">
        <f t="shared" ref="AM271:AM334" si="234">AH271*AS271</f>
        <v>3.7130209467983157E-2</v>
      </c>
      <c r="AN271" s="93">
        <f t="shared" ref="AN271:AN334" si="235">AI271*AT271</f>
        <v>0.86384140388795705</v>
      </c>
      <c r="AO271" s="96">
        <f t="shared" ref="AO271:AO334" si="236">AL271*AU271+AM271*AW271</f>
        <v>1.0898314278697751E-3</v>
      </c>
      <c r="AP271" s="95">
        <f t="shared" ref="AP271:AP334" si="237">AL271*AV271+AM271*AX271</f>
        <v>6.4891320771040357E-3</v>
      </c>
      <c r="AQ271" s="93">
        <f t="shared" ref="AQ271:AQ334" si="238">(AF271+AG271)/AE271</f>
        <v>0.14487110373146522</v>
      </c>
      <c r="AR271" s="31">
        <v>1.5</v>
      </c>
      <c r="AS271" s="31">
        <v>1.5</v>
      </c>
      <c r="AT271" s="31">
        <v>7</v>
      </c>
      <c r="AU271" s="43">
        <v>7.0999999999999994E-2</v>
      </c>
      <c r="AV271" s="44">
        <v>0.28000000000000003</v>
      </c>
      <c r="AW271" s="43">
        <v>1.7999999999999999E-2</v>
      </c>
      <c r="AX271" s="44">
        <v>0.13</v>
      </c>
      <c r="AY271" s="40">
        <v>7.081758249007474</v>
      </c>
      <c r="AZ271" s="41">
        <v>0.5</v>
      </c>
      <c r="BA271" s="40">
        <v>0.72</v>
      </c>
      <c r="BB271" s="45">
        <v>1</v>
      </c>
      <c r="BC271" s="41">
        <v>3.3197225366043677</v>
      </c>
      <c r="BD271" s="41">
        <v>24.127673726603245</v>
      </c>
      <c r="BE271" s="41">
        <v>72.552603736792392</v>
      </c>
      <c r="BF271" s="125">
        <v>1.1000000000000001</v>
      </c>
      <c r="BG271" s="48">
        <f t="shared" si="198"/>
        <v>4.5173281092583716E-3</v>
      </c>
      <c r="BH271" s="48">
        <f t="shared" si="214"/>
        <v>4.5173281092583716E-3</v>
      </c>
      <c r="BI271" s="99">
        <f t="shared" si="215"/>
        <v>1.4996275929541415E-4</v>
      </c>
      <c r="BJ271" s="99">
        <f t="shared" si="201"/>
        <v>1.0899261873619952E-3</v>
      </c>
      <c r="BK271" s="48">
        <f t="shared" si="216"/>
        <v>3.2774391626009623E-3</v>
      </c>
      <c r="BL271" s="99">
        <f t="shared" ref="BL271:BL334" si="239">BJ271*BU271+BK271*BW271</f>
        <v>2.1162187416007153E-4</v>
      </c>
      <c r="BM271" s="48">
        <f t="shared" ref="BM271:BM334" si="240">BJ271*BV271+BK271*BX271</f>
        <v>1.1132568312122305E-3</v>
      </c>
      <c r="BN271" s="48">
        <f t="shared" ref="BN271:BN334" si="241">BJ271*BS271</f>
        <v>1.6348892810429927E-3</v>
      </c>
      <c r="BO271" s="48">
        <f t="shared" ref="BO271:BO334" si="242">BK271*BT271</f>
        <v>4.9161587439014434E-3</v>
      </c>
      <c r="BP271" s="99">
        <f t="shared" ref="BP271:BP334" si="243">BN271*BU271+BO271*BW271</f>
        <v>3.174328112401073E-4</v>
      </c>
      <c r="BQ271" s="48">
        <f t="shared" ref="BQ271:BQ334" si="244">BN271*BV271+BO271*BX271</f>
        <v>1.6698852468183456E-3</v>
      </c>
      <c r="BR271" s="40">
        <f t="shared" ref="BR271:BR334" si="245">(BI271+BJ271)/BH271</f>
        <v>0.27447396263207613</v>
      </c>
      <c r="BS271" s="31">
        <v>1.5</v>
      </c>
      <c r="BT271" s="31">
        <v>1.5</v>
      </c>
      <c r="BU271" s="43">
        <v>0.125</v>
      </c>
      <c r="BV271" s="44">
        <v>0.42</v>
      </c>
      <c r="BW271" s="43">
        <v>2.3E-2</v>
      </c>
      <c r="BX271" s="44">
        <v>0.2</v>
      </c>
      <c r="BY271" s="40">
        <v>17.493153787299189</v>
      </c>
      <c r="BZ271" s="40">
        <v>0.52</v>
      </c>
      <c r="CA271" s="40">
        <v>0.65</v>
      </c>
      <c r="CB271" s="45">
        <v>1</v>
      </c>
      <c r="CC271" s="41">
        <v>0.82393172144641647</v>
      </c>
      <c r="CD271" s="41">
        <v>23.031994076959833</v>
      </c>
      <c r="CE271" s="41">
        <v>76.144074201593753</v>
      </c>
      <c r="CF271" s="125">
        <v>1.1000000000000001</v>
      </c>
      <c r="CG271" s="40">
        <f t="shared" si="203"/>
        <v>2.5276743866833661E-2</v>
      </c>
      <c r="CH271" s="40">
        <f t="shared" si="217"/>
        <v>2.5276743866833661E-2</v>
      </c>
      <c r="CI271" s="99">
        <f t="shared" si="205"/>
        <v>2.0826311086760409E-4</v>
      </c>
      <c r="CJ271" s="100">
        <f t="shared" si="206"/>
        <v>5.8217381502574366E-3</v>
      </c>
      <c r="CK271" s="100">
        <f t="shared" si="207"/>
        <v>1.9246742605708619E-2</v>
      </c>
      <c r="CL271" s="101">
        <f t="shared" ref="CL271:CL334" si="246">CJ271*CU271+CK271*CW271</f>
        <v>9.8635540974562476E-4</v>
      </c>
      <c r="CM271" s="100">
        <f t="shared" ref="CM271:CM334" si="247">CJ271*CV271+CK271*CX271</f>
        <v>5.1574892694566925E-3</v>
      </c>
      <c r="CN271" s="100">
        <f t="shared" ref="CN271:CN334" si="248">CJ271*CS271</f>
        <v>8.7326072253861541E-3</v>
      </c>
      <c r="CO271" s="100">
        <f t="shared" ref="CO271:CO334" si="249">CK271*CT271</f>
        <v>2.8870113908562929E-2</v>
      </c>
      <c r="CP271" s="101">
        <f t="shared" ref="CP271:CP334" si="250">CN271*CU271+CO271*CW271</f>
        <v>1.479533114618437E-3</v>
      </c>
      <c r="CQ271" s="100">
        <f t="shared" ref="CQ271:CQ334" si="251">CN271*CV271+CO271*CX271</f>
        <v>7.7362339041850397E-3</v>
      </c>
      <c r="CR271" s="99">
        <f t="shared" ref="CR271:CR334" si="252">(CI271+CJ271)/CH271</f>
        <v>0.23855925798406249</v>
      </c>
      <c r="CS271" s="31">
        <v>1.5</v>
      </c>
      <c r="CT271" s="31">
        <v>1.5</v>
      </c>
      <c r="CU271" s="43">
        <v>0.1</v>
      </c>
      <c r="CV271" s="44">
        <v>0.39</v>
      </c>
      <c r="CW271" s="43">
        <v>2.1000000000000001E-2</v>
      </c>
      <c r="CX271" s="44">
        <v>0.15</v>
      </c>
    </row>
    <row r="272" spans="1:102" x14ac:dyDescent="0.25">
      <c r="A272" s="31">
        <v>258</v>
      </c>
      <c r="B272" s="83" t="s">
        <v>254</v>
      </c>
      <c r="C272" s="31">
        <v>50</v>
      </c>
      <c r="D272" s="31" t="s">
        <v>36</v>
      </c>
      <c r="E272" s="31" t="s">
        <v>5</v>
      </c>
      <c r="F272" s="31" t="s">
        <v>71</v>
      </c>
      <c r="G272" s="31" t="str">
        <f t="shared" ref="G272:G335" si="253">D272&amp;" "&amp;C272&amp;" "&amp;E272&amp;" "&amp;B272&amp;" "&amp;F272</f>
        <v>Kommunal 50 M 4S Cm</v>
      </c>
      <c r="H272" s="48">
        <f t="shared" si="220"/>
        <v>5.3123237977801011E-2</v>
      </c>
      <c r="I272" s="40">
        <f t="shared" si="221"/>
        <v>5.8741138420309286E-2</v>
      </c>
      <c r="J272" s="99">
        <f t="shared" si="222"/>
        <v>5.9418874937667697E-4</v>
      </c>
      <c r="K272" s="48">
        <f t="shared" si="223"/>
        <v>1.0869294923967586E-2</v>
      </c>
      <c r="L272" s="48">
        <f t="shared" si="224"/>
        <v>4.727765474696502E-2</v>
      </c>
      <c r="M272" s="48">
        <f t="shared" ref="M272:M335" si="254">AI272</f>
        <v>0.12340591484113672</v>
      </c>
      <c r="N272" s="99">
        <f t="shared" si="225"/>
        <v>1.9245315691522129E-3</v>
      </c>
      <c r="O272" s="48">
        <f t="shared" si="226"/>
        <v>1.0596834152071613E-2</v>
      </c>
      <c r="P272" s="48">
        <f t="shared" si="227"/>
        <v>1.6303942385951377E-2</v>
      </c>
      <c r="Q272" s="48">
        <f t="shared" si="228"/>
        <v>7.091648212044753E-2</v>
      </c>
      <c r="R272" s="40">
        <f t="shared" ref="R272:R335" si="255">AN272</f>
        <v>0.86384140388795705</v>
      </c>
      <c r="S272" s="99">
        <f t="shared" si="229"/>
        <v>2.8867973537283192E-3</v>
      </c>
      <c r="T272" s="48">
        <f t="shared" si="230"/>
        <v>1.5895251228107421E-2</v>
      </c>
      <c r="U272" s="40">
        <v>0.32097383999999995</v>
      </c>
      <c r="V272" s="40">
        <v>1.45</v>
      </c>
      <c r="W272" s="41">
        <v>0.5</v>
      </c>
      <c r="X272" s="40">
        <v>1.2408101705005969</v>
      </c>
      <c r="Y272" s="42">
        <v>0.81515299544557829</v>
      </c>
      <c r="Z272" s="42">
        <v>13.671957377700943</v>
      </c>
      <c r="AA272" s="42">
        <v>85.512889626853479</v>
      </c>
      <c r="AB272" s="42">
        <v>4.2631578947368434</v>
      </c>
      <c r="AC272" s="125">
        <v>1.1000000000000001</v>
      </c>
      <c r="AD272" s="94">
        <f t="shared" ref="AD272:AD335" si="256">AC272*$E$7*U272/10^6*($B$7)^V272*($B$8/$B$7)^W272</f>
        <v>2.3329166001708979E-2</v>
      </c>
      <c r="AE272" s="94">
        <f t="shared" si="210"/>
        <v>2.8947066444217247E-2</v>
      </c>
      <c r="AF272" s="96">
        <f t="shared" si="211"/>
        <v>2.3596287921365873E-4</v>
      </c>
      <c r="AG272" s="95">
        <f t="shared" si="218"/>
        <v>3.9576305863481542E-3</v>
      </c>
      <c r="AH272" s="94">
        <f t="shared" si="219"/>
        <v>2.4753472978655437E-2</v>
      </c>
      <c r="AI272" s="94">
        <f t="shared" si="213"/>
        <v>0.12340591484113672</v>
      </c>
      <c r="AJ272" s="96">
        <f t="shared" si="231"/>
        <v>7.2655428524651675E-4</v>
      </c>
      <c r="AK272" s="95">
        <f t="shared" si="232"/>
        <v>4.3260880514026899E-3</v>
      </c>
      <c r="AL272" s="95">
        <f t="shared" si="233"/>
        <v>5.9364458795222314E-3</v>
      </c>
      <c r="AM272" s="94">
        <f t="shared" si="234"/>
        <v>3.7130209467983157E-2</v>
      </c>
      <c r="AN272" s="93">
        <f t="shared" si="235"/>
        <v>0.86384140388795705</v>
      </c>
      <c r="AO272" s="96">
        <f t="shared" si="236"/>
        <v>1.0898314278697751E-3</v>
      </c>
      <c r="AP272" s="95">
        <f t="shared" si="237"/>
        <v>6.4891320771040357E-3</v>
      </c>
      <c r="AQ272" s="93">
        <f t="shared" si="238"/>
        <v>0.14487110373146522</v>
      </c>
      <c r="AR272" s="31">
        <v>1.5</v>
      </c>
      <c r="AS272" s="31">
        <v>1.5</v>
      </c>
      <c r="AT272" s="31">
        <v>7</v>
      </c>
      <c r="AU272" s="43">
        <v>7.0999999999999994E-2</v>
      </c>
      <c r="AV272" s="44">
        <v>0.28000000000000003</v>
      </c>
      <c r="AW272" s="43">
        <v>1.7999999999999999E-2</v>
      </c>
      <c r="AX272" s="44">
        <v>0.13</v>
      </c>
      <c r="AY272" s="40">
        <v>7.081758249007474</v>
      </c>
      <c r="AZ272" s="41">
        <v>0.5</v>
      </c>
      <c r="BA272" s="40">
        <v>0.72</v>
      </c>
      <c r="BB272" s="45">
        <v>1</v>
      </c>
      <c r="BC272" s="41">
        <v>3.3197225366043677</v>
      </c>
      <c r="BD272" s="41">
        <v>24.127673726603245</v>
      </c>
      <c r="BE272" s="41">
        <v>72.552603736792392</v>
      </c>
      <c r="BF272" s="125">
        <v>1.1000000000000001</v>
      </c>
      <c r="BG272" s="48">
        <f t="shared" ref="BG272:BG335" si="257">BF272*$E$8*AY272/10^6*($B$7)^AZ272*($B$9)^BA272</f>
        <v>4.5173281092583716E-3</v>
      </c>
      <c r="BH272" s="48">
        <f t="shared" si="214"/>
        <v>4.5173281092583716E-3</v>
      </c>
      <c r="BI272" s="99">
        <f t="shared" si="215"/>
        <v>1.4996275929541415E-4</v>
      </c>
      <c r="BJ272" s="99">
        <f t="shared" ref="BJ272:BJ335" si="258">$BH272*BD272/100</f>
        <v>1.0899261873619952E-3</v>
      </c>
      <c r="BK272" s="48">
        <f t="shared" si="216"/>
        <v>3.2774391626009623E-3</v>
      </c>
      <c r="BL272" s="99">
        <f t="shared" si="239"/>
        <v>2.1162187416007153E-4</v>
      </c>
      <c r="BM272" s="48">
        <f t="shared" si="240"/>
        <v>1.1132568312122305E-3</v>
      </c>
      <c r="BN272" s="48">
        <f t="shared" si="241"/>
        <v>1.6348892810429927E-3</v>
      </c>
      <c r="BO272" s="48">
        <f t="shared" si="242"/>
        <v>4.9161587439014434E-3</v>
      </c>
      <c r="BP272" s="99">
        <f t="shared" si="243"/>
        <v>3.174328112401073E-4</v>
      </c>
      <c r="BQ272" s="48">
        <f t="shared" si="244"/>
        <v>1.6698852468183456E-3</v>
      </c>
      <c r="BR272" s="40">
        <f t="shared" si="245"/>
        <v>0.27447396263207613</v>
      </c>
      <c r="BS272" s="31">
        <v>1.5</v>
      </c>
      <c r="BT272" s="31">
        <v>1.5</v>
      </c>
      <c r="BU272" s="43">
        <v>0.125</v>
      </c>
      <c r="BV272" s="44">
        <v>0.42</v>
      </c>
      <c r="BW272" s="43">
        <v>2.3E-2</v>
      </c>
      <c r="BX272" s="44">
        <v>0.2</v>
      </c>
      <c r="BY272" s="40">
        <v>17.493153787299189</v>
      </c>
      <c r="BZ272" s="40">
        <v>0.52</v>
      </c>
      <c r="CA272" s="40">
        <v>0.65</v>
      </c>
      <c r="CB272" s="45">
        <v>1</v>
      </c>
      <c r="CC272" s="41">
        <v>0.82393172144641647</v>
      </c>
      <c r="CD272" s="41">
        <v>23.031994076959833</v>
      </c>
      <c r="CE272" s="41">
        <v>76.144074201593753</v>
      </c>
      <c r="CF272" s="125">
        <v>1.1000000000000001</v>
      </c>
      <c r="CG272" s="40">
        <f t="shared" ref="CG272:CG335" si="259">CF272*$E$9*BY272/10^6*($B$7)^BZ272*($B$10)^CA272</f>
        <v>2.5276743866833661E-2</v>
      </c>
      <c r="CH272" s="40">
        <f t="shared" si="217"/>
        <v>2.5276743866833661E-2</v>
      </c>
      <c r="CI272" s="99">
        <f t="shared" ref="CI272:CI335" si="260">CC272/100*CH272</f>
        <v>2.0826311086760409E-4</v>
      </c>
      <c r="CJ272" s="100">
        <f t="shared" ref="CJ272:CJ335" si="261">CD272/100*CH272</f>
        <v>5.8217381502574366E-3</v>
      </c>
      <c r="CK272" s="100">
        <f t="shared" ref="CK272:CK335" si="262">CE272/100*CH272</f>
        <v>1.9246742605708619E-2</v>
      </c>
      <c r="CL272" s="101">
        <f t="shared" si="246"/>
        <v>9.8635540974562476E-4</v>
      </c>
      <c r="CM272" s="100">
        <f t="shared" si="247"/>
        <v>5.1574892694566925E-3</v>
      </c>
      <c r="CN272" s="100">
        <f t="shared" si="248"/>
        <v>8.7326072253861541E-3</v>
      </c>
      <c r="CO272" s="100">
        <f t="shared" si="249"/>
        <v>2.8870113908562929E-2</v>
      </c>
      <c r="CP272" s="101">
        <f t="shared" si="250"/>
        <v>1.479533114618437E-3</v>
      </c>
      <c r="CQ272" s="100">
        <f t="shared" si="251"/>
        <v>7.7362339041850397E-3</v>
      </c>
      <c r="CR272" s="99">
        <f t="shared" si="252"/>
        <v>0.23855925798406249</v>
      </c>
      <c r="CS272" s="31">
        <v>1.5</v>
      </c>
      <c r="CT272" s="31">
        <v>1.5</v>
      </c>
      <c r="CU272" s="43">
        <v>0.1</v>
      </c>
      <c r="CV272" s="44">
        <v>0.39</v>
      </c>
      <c r="CW272" s="43">
        <v>2.1000000000000001E-2</v>
      </c>
      <c r="CX272" s="44">
        <v>0.15</v>
      </c>
    </row>
    <row r="273" spans="1:102" x14ac:dyDescent="0.25">
      <c r="A273" s="31">
        <v>259</v>
      </c>
      <c r="B273" s="83" t="s">
        <v>254</v>
      </c>
      <c r="C273" s="31">
        <v>50</v>
      </c>
      <c r="D273" s="31" t="s">
        <v>36</v>
      </c>
      <c r="E273" s="31" t="s">
        <v>5</v>
      </c>
      <c r="F273" s="31" t="s">
        <v>0</v>
      </c>
      <c r="G273" s="31" t="str">
        <f t="shared" si="253"/>
        <v>Kommunal 50 M 4S D</v>
      </c>
      <c r="H273" s="48">
        <f t="shared" si="220"/>
        <v>4.6310715702436542E-2</v>
      </c>
      <c r="I273" s="40">
        <f t="shared" si="221"/>
        <v>6.6036748496985792E-2</v>
      </c>
      <c r="J273" s="99">
        <f t="shared" si="222"/>
        <v>3.5822587016301824E-4</v>
      </c>
      <c r="K273" s="48">
        <f t="shared" si="223"/>
        <v>1.0855126460328358E-2</v>
      </c>
      <c r="L273" s="48">
        <f t="shared" si="224"/>
        <v>5.4823396166494405E-2</v>
      </c>
      <c r="M273" s="48">
        <f t="shared" si="254"/>
        <v>0.36645372926681474</v>
      </c>
      <c r="N273" s="99">
        <f t="shared" si="225"/>
        <v>2.059348953785357E-3</v>
      </c>
      <c r="O273" s="48">
        <f t="shared" si="226"/>
        <v>1.157381336679145E-2</v>
      </c>
      <c r="P273" s="48">
        <f t="shared" si="227"/>
        <v>1.6282689690492534E-2</v>
      </c>
      <c r="Q273" s="48">
        <f t="shared" si="228"/>
        <v>8.2235094249741611E-2</v>
      </c>
      <c r="R273" s="40">
        <f t="shared" si="255"/>
        <v>2.5651761048677031</v>
      </c>
      <c r="S273" s="99">
        <f t="shared" si="229"/>
        <v>3.0890234306780351E-3</v>
      </c>
      <c r="T273" s="48">
        <f t="shared" si="230"/>
        <v>1.7360720050187177E-2</v>
      </c>
      <c r="U273" s="40">
        <v>0.62040329999999988</v>
      </c>
      <c r="V273" s="40">
        <v>1.2</v>
      </c>
      <c r="W273" s="45">
        <v>0</v>
      </c>
      <c r="X273" s="40">
        <v>2.1943124233578808</v>
      </c>
      <c r="Y273" s="42">
        <v>0</v>
      </c>
      <c r="Z273" s="42">
        <v>10.88071439877112</v>
      </c>
      <c r="AA273" s="42">
        <v>89.119285601228881</v>
      </c>
      <c r="AB273" s="42">
        <v>10.111111111111114</v>
      </c>
      <c r="AC273" s="125">
        <v>1.1000000000000001</v>
      </c>
      <c r="AD273" s="94">
        <f t="shared" si="256"/>
        <v>1.6516643726344506E-2</v>
      </c>
      <c r="AE273" s="94">
        <f t="shared" si="210"/>
        <v>3.6242676520893753E-2</v>
      </c>
      <c r="AF273" s="96">
        <f t="shared" si="211"/>
        <v>0</v>
      </c>
      <c r="AG273" s="95">
        <f t="shared" si="218"/>
        <v>3.9434621227089264E-3</v>
      </c>
      <c r="AH273" s="94">
        <f t="shared" si="219"/>
        <v>3.2299214398184825E-2</v>
      </c>
      <c r="AI273" s="94">
        <f t="shared" si="213"/>
        <v>0.36645372926681474</v>
      </c>
      <c r="AJ273" s="96">
        <f t="shared" si="231"/>
        <v>8.6137166987966052E-4</v>
      </c>
      <c r="AK273" s="95">
        <f t="shared" si="232"/>
        <v>5.3030672661225266E-3</v>
      </c>
      <c r="AL273" s="95">
        <f t="shared" si="233"/>
        <v>5.9151931840633895E-3</v>
      </c>
      <c r="AM273" s="94">
        <f t="shared" si="234"/>
        <v>4.8448821597277238E-2</v>
      </c>
      <c r="AN273" s="93">
        <f t="shared" si="235"/>
        <v>2.5651761048677031</v>
      </c>
      <c r="AO273" s="96">
        <f t="shared" si="236"/>
        <v>1.2920575048194908E-3</v>
      </c>
      <c r="AP273" s="95">
        <f t="shared" si="237"/>
        <v>7.9546008991837908E-3</v>
      </c>
      <c r="AQ273" s="93">
        <f t="shared" si="238"/>
        <v>0.1088071439877112</v>
      </c>
      <c r="AR273" s="31">
        <v>1.5</v>
      </c>
      <c r="AS273" s="31">
        <v>1.5</v>
      </c>
      <c r="AT273" s="31">
        <v>7</v>
      </c>
      <c r="AU273" s="43">
        <v>7.0999999999999994E-2</v>
      </c>
      <c r="AV273" s="44">
        <v>0.28000000000000003</v>
      </c>
      <c r="AW273" s="43">
        <v>1.7999999999999999E-2</v>
      </c>
      <c r="AX273" s="44">
        <v>0.13</v>
      </c>
      <c r="AY273" s="40">
        <v>7.081758249007474</v>
      </c>
      <c r="AZ273" s="41">
        <v>0.5</v>
      </c>
      <c r="BA273" s="40">
        <v>0.72</v>
      </c>
      <c r="BB273" s="45">
        <v>1</v>
      </c>
      <c r="BC273" s="41">
        <v>3.3197225366043677</v>
      </c>
      <c r="BD273" s="41">
        <v>24.127673726603245</v>
      </c>
      <c r="BE273" s="41">
        <v>72.552603736792392</v>
      </c>
      <c r="BF273" s="125">
        <v>1.1000000000000001</v>
      </c>
      <c r="BG273" s="48">
        <f t="shared" si="257"/>
        <v>4.5173281092583716E-3</v>
      </c>
      <c r="BH273" s="48">
        <f t="shared" si="214"/>
        <v>4.5173281092583716E-3</v>
      </c>
      <c r="BI273" s="99">
        <f t="shared" si="215"/>
        <v>1.4996275929541415E-4</v>
      </c>
      <c r="BJ273" s="99">
        <f t="shared" si="258"/>
        <v>1.0899261873619952E-3</v>
      </c>
      <c r="BK273" s="48">
        <f t="shared" si="216"/>
        <v>3.2774391626009623E-3</v>
      </c>
      <c r="BL273" s="99">
        <f t="shared" si="239"/>
        <v>2.1162187416007153E-4</v>
      </c>
      <c r="BM273" s="48">
        <f t="shared" si="240"/>
        <v>1.1132568312122305E-3</v>
      </c>
      <c r="BN273" s="48">
        <f t="shared" si="241"/>
        <v>1.6348892810429927E-3</v>
      </c>
      <c r="BO273" s="48">
        <f t="shared" si="242"/>
        <v>4.9161587439014434E-3</v>
      </c>
      <c r="BP273" s="99">
        <f t="shared" si="243"/>
        <v>3.174328112401073E-4</v>
      </c>
      <c r="BQ273" s="48">
        <f t="shared" si="244"/>
        <v>1.6698852468183456E-3</v>
      </c>
      <c r="BR273" s="40">
        <f t="shared" si="245"/>
        <v>0.27447396263207613</v>
      </c>
      <c r="BS273" s="31">
        <v>1.5</v>
      </c>
      <c r="BT273" s="31">
        <v>1.5</v>
      </c>
      <c r="BU273" s="43">
        <v>0.125</v>
      </c>
      <c r="BV273" s="44">
        <v>0.42</v>
      </c>
      <c r="BW273" s="43">
        <v>2.3E-2</v>
      </c>
      <c r="BX273" s="44">
        <v>0.2</v>
      </c>
      <c r="BY273" s="40">
        <v>17.493153787299189</v>
      </c>
      <c r="BZ273" s="40">
        <v>0.52</v>
      </c>
      <c r="CA273" s="40">
        <v>0.65</v>
      </c>
      <c r="CB273" s="45">
        <v>1</v>
      </c>
      <c r="CC273" s="41">
        <v>0.82393172144641647</v>
      </c>
      <c r="CD273" s="41">
        <v>23.031994076959833</v>
      </c>
      <c r="CE273" s="41">
        <v>76.144074201593753</v>
      </c>
      <c r="CF273" s="125">
        <v>1.1000000000000001</v>
      </c>
      <c r="CG273" s="40">
        <f t="shared" si="259"/>
        <v>2.5276743866833661E-2</v>
      </c>
      <c r="CH273" s="40">
        <f t="shared" si="217"/>
        <v>2.5276743866833661E-2</v>
      </c>
      <c r="CI273" s="99">
        <f t="shared" si="260"/>
        <v>2.0826311086760409E-4</v>
      </c>
      <c r="CJ273" s="100">
        <f t="shared" si="261"/>
        <v>5.8217381502574366E-3</v>
      </c>
      <c r="CK273" s="100">
        <f t="shared" si="262"/>
        <v>1.9246742605708619E-2</v>
      </c>
      <c r="CL273" s="101">
        <f t="shared" si="246"/>
        <v>9.8635540974562476E-4</v>
      </c>
      <c r="CM273" s="100">
        <f t="shared" si="247"/>
        <v>5.1574892694566925E-3</v>
      </c>
      <c r="CN273" s="100">
        <f t="shared" si="248"/>
        <v>8.7326072253861541E-3</v>
      </c>
      <c r="CO273" s="100">
        <f t="shared" si="249"/>
        <v>2.8870113908562929E-2</v>
      </c>
      <c r="CP273" s="101">
        <f t="shared" si="250"/>
        <v>1.479533114618437E-3</v>
      </c>
      <c r="CQ273" s="100">
        <f t="shared" si="251"/>
        <v>7.7362339041850397E-3</v>
      </c>
      <c r="CR273" s="99">
        <f t="shared" si="252"/>
        <v>0.23855925798406249</v>
      </c>
      <c r="CS273" s="31">
        <v>1.5</v>
      </c>
      <c r="CT273" s="31">
        <v>1.5</v>
      </c>
      <c r="CU273" s="43">
        <v>0.1</v>
      </c>
      <c r="CV273" s="44">
        <v>0.39</v>
      </c>
      <c r="CW273" s="43">
        <v>2.1000000000000001E-2</v>
      </c>
      <c r="CX273" s="44">
        <v>0.15</v>
      </c>
    </row>
    <row r="274" spans="1:102" x14ac:dyDescent="0.25">
      <c r="A274" s="31">
        <v>260</v>
      </c>
      <c r="B274" s="83" t="s">
        <v>254</v>
      </c>
      <c r="C274" s="31">
        <v>50</v>
      </c>
      <c r="D274" s="31" t="s">
        <v>36</v>
      </c>
      <c r="E274" s="31" t="s">
        <v>5</v>
      </c>
      <c r="F274" s="31" t="s">
        <v>62</v>
      </c>
      <c r="G274" s="31" t="str">
        <f t="shared" si="253"/>
        <v>Kommunal 50 M 4S EE</v>
      </c>
      <c r="H274" s="48">
        <f t="shared" si="220"/>
        <v>8.3499564581126284E-2</v>
      </c>
      <c r="I274" s="40">
        <f t="shared" si="221"/>
        <v>9.6780577237062543E-2</v>
      </c>
      <c r="J274" s="99">
        <f t="shared" si="222"/>
        <v>3.5822587016301824E-4</v>
      </c>
      <c r="K274" s="48">
        <f t="shared" si="223"/>
        <v>1.4200274660783423E-2</v>
      </c>
      <c r="L274" s="48">
        <f t="shared" si="224"/>
        <v>8.2222076706116101E-2</v>
      </c>
      <c r="M274" s="48">
        <f t="shared" si="254"/>
        <v>0.2855740487441375</v>
      </c>
      <c r="N274" s="99">
        <f t="shared" si="225"/>
        <v>2.7900307257308571E-3</v>
      </c>
      <c r="O274" s="48">
        <f t="shared" si="226"/>
        <v>1.607228333306969E-2</v>
      </c>
      <c r="P274" s="48">
        <f t="shared" si="227"/>
        <v>2.1300411991175133E-2</v>
      </c>
      <c r="Q274" s="48">
        <f t="shared" si="228"/>
        <v>0.12333311505917416</v>
      </c>
      <c r="R274" s="40">
        <f t="shared" si="255"/>
        <v>1.9990183412089624</v>
      </c>
      <c r="S274" s="99">
        <f t="shared" si="229"/>
        <v>4.1850460885962852E-3</v>
      </c>
      <c r="T274" s="48">
        <f t="shared" si="230"/>
        <v>2.4108424999604534E-2</v>
      </c>
      <c r="U274" s="40">
        <v>2.5130159999999999</v>
      </c>
      <c r="V274" s="40">
        <v>1.2</v>
      </c>
      <c r="W274" s="41">
        <v>0.1</v>
      </c>
      <c r="X274" s="40">
        <v>1.2472933774876374</v>
      </c>
      <c r="Y274" s="42">
        <v>0</v>
      </c>
      <c r="Z274" s="42">
        <v>10.88071439877112</v>
      </c>
      <c r="AA274" s="42">
        <v>89.119285601228881</v>
      </c>
      <c r="AB274" s="42">
        <v>4.2631578947368434</v>
      </c>
      <c r="AC274" s="125">
        <v>1.1000000000000001</v>
      </c>
      <c r="AD274" s="94">
        <f t="shared" si="256"/>
        <v>5.3705492605034252E-2</v>
      </c>
      <c r="AE274" s="94">
        <f t="shared" si="210"/>
        <v>6.6986505260970511E-2</v>
      </c>
      <c r="AF274" s="96">
        <f t="shared" si="211"/>
        <v>0</v>
      </c>
      <c r="AG274" s="95">
        <f t="shared" si="218"/>
        <v>7.2886103231639921E-3</v>
      </c>
      <c r="AH274" s="94">
        <f t="shared" si="219"/>
        <v>5.9697894937806521E-2</v>
      </c>
      <c r="AI274" s="94">
        <f t="shared" si="213"/>
        <v>0.2855740487441375</v>
      </c>
      <c r="AJ274" s="96">
        <f t="shared" si="231"/>
        <v>1.5920534418251606E-3</v>
      </c>
      <c r="AK274" s="95">
        <f t="shared" si="232"/>
        <v>9.8015372324007661E-3</v>
      </c>
      <c r="AL274" s="95">
        <f t="shared" si="233"/>
        <v>1.0932915484745988E-2</v>
      </c>
      <c r="AM274" s="94">
        <f t="shared" si="234"/>
        <v>8.9546842406709778E-2</v>
      </c>
      <c r="AN274" s="93">
        <f t="shared" si="235"/>
        <v>1.9990183412089624</v>
      </c>
      <c r="AO274" s="96">
        <f t="shared" si="236"/>
        <v>2.3880801627377407E-3</v>
      </c>
      <c r="AP274" s="95">
        <f t="shared" si="237"/>
        <v>1.4702305848601148E-2</v>
      </c>
      <c r="AQ274" s="93">
        <f t="shared" si="238"/>
        <v>0.1088071439877112</v>
      </c>
      <c r="AR274" s="31">
        <v>1.5</v>
      </c>
      <c r="AS274" s="31">
        <v>1.5</v>
      </c>
      <c r="AT274" s="31">
        <v>7</v>
      </c>
      <c r="AU274" s="43">
        <v>7.0999999999999994E-2</v>
      </c>
      <c r="AV274" s="44">
        <v>0.28000000000000003</v>
      </c>
      <c r="AW274" s="43">
        <v>1.7999999999999999E-2</v>
      </c>
      <c r="AX274" s="44">
        <v>0.13</v>
      </c>
      <c r="AY274" s="40">
        <v>7.081758249007474</v>
      </c>
      <c r="AZ274" s="41">
        <v>0.5</v>
      </c>
      <c r="BA274" s="40">
        <v>0.72</v>
      </c>
      <c r="BB274" s="45">
        <v>1</v>
      </c>
      <c r="BC274" s="41">
        <v>3.3197225366043677</v>
      </c>
      <c r="BD274" s="41">
        <v>24.127673726603245</v>
      </c>
      <c r="BE274" s="41">
        <v>72.552603736792392</v>
      </c>
      <c r="BF274" s="125">
        <v>1.1000000000000001</v>
      </c>
      <c r="BG274" s="48">
        <f t="shared" si="257"/>
        <v>4.5173281092583716E-3</v>
      </c>
      <c r="BH274" s="48">
        <f t="shared" si="214"/>
        <v>4.5173281092583716E-3</v>
      </c>
      <c r="BI274" s="99">
        <f t="shared" si="215"/>
        <v>1.4996275929541415E-4</v>
      </c>
      <c r="BJ274" s="99">
        <f t="shared" si="258"/>
        <v>1.0899261873619952E-3</v>
      </c>
      <c r="BK274" s="48">
        <f t="shared" si="216"/>
        <v>3.2774391626009623E-3</v>
      </c>
      <c r="BL274" s="99">
        <f t="shared" si="239"/>
        <v>2.1162187416007153E-4</v>
      </c>
      <c r="BM274" s="48">
        <f t="shared" si="240"/>
        <v>1.1132568312122305E-3</v>
      </c>
      <c r="BN274" s="48">
        <f t="shared" si="241"/>
        <v>1.6348892810429927E-3</v>
      </c>
      <c r="BO274" s="48">
        <f t="shared" si="242"/>
        <v>4.9161587439014434E-3</v>
      </c>
      <c r="BP274" s="99">
        <f t="shared" si="243"/>
        <v>3.174328112401073E-4</v>
      </c>
      <c r="BQ274" s="48">
        <f t="shared" si="244"/>
        <v>1.6698852468183456E-3</v>
      </c>
      <c r="BR274" s="40">
        <f t="shared" si="245"/>
        <v>0.27447396263207613</v>
      </c>
      <c r="BS274" s="31">
        <v>1.5</v>
      </c>
      <c r="BT274" s="31">
        <v>1.5</v>
      </c>
      <c r="BU274" s="43">
        <v>0.125</v>
      </c>
      <c r="BV274" s="44">
        <v>0.42</v>
      </c>
      <c r="BW274" s="43">
        <v>2.3E-2</v>
      </c>
      <c r="BX274" s="44">
        <v>0.2</v>
      </c>
      <c r="BY274" s="40">
        <v>17.493153787299189</v>
      </c>
      <c r="BZ274" s="40">
        <v>0.52</v>
      </c>
      <c r="CA274" s="40">
        <v>0.65</v>
      </c>
      <c r="CB274" s="45">
        <v>1</v>
      </c>
      <c r="CC274" s="41">
        <v>0.82393172144641647</v>
      </c>
      <c r="CD274" s="41">
        <v>23.031994076959833</v>
      </c>
      <c r="CE274" s="41">
        <v>76.144074201593753</v>
      </c>
      <c r="CF274" s="125">
        <v>1.1000000000000001</v>
      </c>
      <c r="CG274" s="40">
        <f t="shared" si="259"/>
        <v>2.5276743866833661E-2</v>
      </c>
      <c r="CH274" s="40">
        <f t="shared" si="217"/>
        <v>2.5276743866833661E-2</v>
      </c>
      <c r="CI274" s="99">
        <f t="shared" si="260"/>
        <v>2.0826311086760409E-4</v>
      </c>
      <c r="CJ274" s="100">
        <f t="shared" si="261"/>
        <v>5.8217381502574366E-3</v>
      </c>
      <c r="CK274" s="100">
        <f t="shared" si="262"/>
        <v>1.9246742605708619E-2</v>
      </c>
      <c r="CL274" s="101">
        <f t="shared" si="246"/>
        <v>9.8635540974562476E-4</v>
      </c>
      <c r="CM274" s="100">
        <f t="shared" si="247"/>
        <v>5.1574892694566925E-3</v>
      </c>
      <c r="CN274" s="100">
        <f t="shared" si="248"/>
        <v>8.7326072253861541E-3</v>
      </c>
      <c r="CO274" s="100">
        <f t="shared" si="249"/>
        <v>2.8870113908562929E-2</v>
      </c>
      <c r="CP274" s="101">
        <f t="shared" si="250"/>
        <v>1.479533114618437E-3</v>
      </c>
      <c r="CQ274" s="100">
        <f t="shared" si="251"/>
        <v>7.7362339041850397E-3</v>
      </c>
      <c r="CR274" s="99">
        <f t="shared" si="252"/>
        <v>0.23855925798406249</v>
      </c>
      <c r="CS274" s="31">
        <v>1.5</v>
      </c>
      <c r="CT274" s="31">
        <v>1.5</v>
      </c>
      <c r="CU274" s="43">
        <v>0.1</v>
      </c>
      <c r="CV274" s="44">
        <v>0.39</v>
      </c>
      <c r="CW274" s="43">
        <v>2.1000000000000001E-2</v>
      </c>
      <c r="CX274" s="44">
        <v>0.15</v>
      </c>
    </row>
    <row r="275" spans="1:102" x14ac:dyDescent="0.25">
      <c r="A275" s="31">
        <v>261</v>
      </c>
      <c r="B275" s="83" t="s">
        <v>254</v>
      </c>
      <c r="C275" s="31">
        <v>50</v>
      </c>
      <c r="D275" s="31" t="s">
        <v>36</v>
      </c>
      <c r="E275" s="31" t="s">
        <v>5</v>
      </c>
      <c r="F275" s="31" t="s">
        <v>63</v>
      </c>
      <c r="G275" s="31" t="str">
        <f t="shared" si="253"/>
        <v>Kommunal 50 M 4S ES</v>
      </c>
      <c r="H275" s="48">
        <f t="shared" si="220"/>
        <v>5.9498811819090808E-2</v>
      </c>
      <c r="I275" s="40">
        <f t="shared" si="221"/>
        <v>6.8902959778155651E-2</v>
      </c>
      <c r="J275" s="99">
        <f t="shared" si="222"/>
        <v>3.5822587016301824E-4</v>
      </c>
      <c r="K275" s="48">
        <f t="shared" si="223"/>
        <v>1.1166990723897811E-2</v>
      </c>
      <c r="L275" s="48">
        <f t="shared" si="224"/>
        <v>5.7377743184094818E-2</v>
      </c>
      <c r="M275" s="48">
        <f t="shared" si="254"/>
        <v>0.22161703087836043</v>
      </c>
      <c r="N275" s="99">
        <f t="shared" si="225"/>
        <v>2.1274695628155952E-3</v>
      </c>
      <c r="O275" s="48">
        <f t="shared" si="226"/>
        <v>1.199320047287895E-2</v>
      </c>
      <c r="P275" s="48">
        <f t="shared" si="227"/>
        <v>1.6750486085846714E-2</v>
      </c>
      <c r="Q275" s="48">
        <f t="shared" si="228"/>
        <v>8.606661477614222E-2</v>
      </c>
      <c r="R275" s="40">
        <f t="shared" si="255"/>
        <v>1.551319216148523</v>
      </c>
      <c r="S275" s="99">
        <f t="shared" si="229"/>
        <v>3.1912043442233928E-3</v>
      </c>
      <c r="T275" s="48">
        <f t="shared" si="230"/>
        <v>1.7989800709318424E-2</v>
      </c>
      <c r="U275" s="40">
        <v>1.3899600000000003</v>
      </c>
      <c r="V275" s="40">
        <v>1.2</v>
      </c>
      <c r="W275" s="41">
        <v>0.1</v>
      </c>
      <c r="X275" s="40">
        <v>1.316587454014728</v>
      </c>
      <c r="Y275" s="42">
        <v>0</v>
      </c>
      <c r="Z275" s="42">
        <v>10.880714398771122</v>
      </c>
      <c r="AA275" s="42">
        <v>89.119285601228881</v>
      </c>
      <c r="AB275" s="42">
        <v>5.6666666666666661</v>
      </c>
      <c r="AC275" s="125">
        <v>1.1000000000000001</v>
      </c>
      <c r="AD275" s="94">
        <f t="shared" si="256"/>
        <v>2.9704739842998779E-2</v>
      </c>
      <c r="AE275" s="94">
        <f t="shared" si="210"/>
        <v>3.9108887802063612E-2</v>
      </c>
      <c r="AF275" s="96">
        <f t="shared" si="211"/>
        <v>0</v>
      </c>
      <c r="AG275" s="95">
        <f t="shared" si="218"/>
        <v>4.2553263862783785E-3</v>
      </c>
      <c r="AH275" s="94">
        <f t="shared" si="219"/>
        <v>3.4853561415785238E-2</v>
      </c>
      <c r="AI275" s="94">
        <f t="shared" si="213"/>
        <v>0.22161703087836043</v>
      </c>
      <c r="AJ275" s="96">
        <f t="shared" si="231"/>
        <v>9.2949227890989916E-4</v>
      </c>
      <c r="AK275" s="95">
        <f t="shared" si="232"/>
        <v>5.7224543722100268E-3</v>
      </c>
      <c r="AL275" s="95">
        <f t="shared" si="233"/>
        <v>6.3829895794175681E-3</v>
      </c>
      <c r="AM275" s="94">
        <f t="shared" si="234"/>
        <v>5.2280342123677853E-2</v>
      </c>
      <c r="AN275" s="93">
        <f t="shared" si="235"/>
        <v>1.551319216148523</v>
      </c>
      <c r="AO275" s="96">
        <f t="shared" si="236"/>
        <v>1.3942384183648485E-3</v>
      </c>
      <c r="AP275" s="95">
        <f t="shared" si="237"/>
        <v>8.5836815583150393E-3</v>
      </c>
      <c r="AQ275" s="93">
        <f t="shared" si="238"/>
        <v>0.10880714398771123</v>
      </c>
      <c r="AR275" s="31">
        <v>1.5</v>
      </c>
      <c r="AS275" s="31">
        <v>1.5</v>
      </c>
      <c r="AT275" s="31">
        <v>7</v>
      </c>
      <c r="AU275" s="43">
        <v>7.0999999999999994E-2</v>
      </c>
      <c r="AV275" s="44">
        <v>0.28000000000000003</v>
      </c>
      <c r="AW275" s="43">
        <v>1.7999999999999999E-2</v>
      </c>
      <c r="AX275" s="44">
        <v>0.13</v>
      </c>
      <c r="AY275" s="40">
        <v>7.081758249007474</v>
      </c>
      <c r="AZ275" s="41">
        <v>0.5</v>
      </c>
      <c r="BA275" s="40">
        <v>0.72</v>
      </c>
      <c r="BB275" s="45">
        <v>1</v>
      </c>
      <c r="BC275" s="41">
        <v>3.3197225366043677</v>
      </c>
      <c r="BD275" s="41">
        <v>24.127673726603245</v>
      </c>
      <c r="BE275" s="41">
        <v>72.552603736792392</v>
      </c>
      <c r="BF275" s="125">
        <v>1.1000000000000001</v>
      </c>
      <c r="BG275" s="48">
        <f t="shared" si="257"/>
        <v>4.5173281092583716E-3</v>
      </c>
      <c r="BH275" s="48">
        <f t="shared" si="214"/>
        <v>4.5173281092583716E-3</v>
      </c>
      <c r="BI275" s="99">
        <f t="shared" si="215"/>
        <v>1.4996275929541415E-4</v>
      </c>
      <c r="BJ275" s="99">
        <f t="shared" si="258"/>
        <v>1.0899261873619952E-3</v>
      </c>
      <c r="BK275" s="48">
        <f t="shared" si="216"/>
        <v>3.2774391626009623E-3</v>
      </c>
      <c r="BL275" s="99">
        <f t="shared" si="239"/>
        <v>2.1162187416007153E-4</v>
      </c>
      <c r="BM275" s="48">
        <f t="shared" si="240"/>
        <v>1.1132568312122305E-3</v>
      </c>
      <c r="BN275" s="48">
        <f t="shared" si="241"/>
        <v>1.6348892810429927E-3</v>
      </c>
      <c r="BO275" s="48">
        <f t="shared" si="242"/>
        <v>4.9161587439014434E-3</v>
      </c>
      <c r="BP275" s="99">
        <f t="shared" si="243"/>
        <v>3.174328112401073E-4</v>
      </c>
      <c r="BQ275" s="48">
        <f t="shared" si="244"/>
        <v>1.6698852468183456E-3</v>
      </c>
      <c r="BR275" s="40">
        <f t="shared" si="245"/>
        <v>0.27447396263207613</v>
      </c>
      <c r="BS275" s="31">
        <v>1.5</v>
      </c>
      <c r="BT275" s="31">
        <v>1.5</v>
      </c>
      <c r="BU275" s="43">
        <v>0.125</v>
      </c>
      <c r="BV275" s="44">
        <v>0.42</v>
      </c>
      <c r="BW275" s="43">
        <v>2.3E-2</v>
      </c>
      <c r="BX275" s="44">
        <v>0.2</v>
      </c>
      <c r="BY275" s="40">
        <v>17.493153787299189</v>
      </c>
      <c r="BZ275" s="40">
        <v>0.52</v>
      </c>
      <c r="CA275" s="40">
        <v>0.65</v>
      </c>
      <c r="CB275" s="45">
        <v>1</v>
      </c>
      <c r="CC275" s="41">
        <v>0.82393172144641647</v>
      </c>
      <c r="CD275" s="41">
        <v>23.031994076959833</v>
      </c>
      <c r="CE275" s="41">
        <v>76.144074201593753</v>
      </c>
      <c r="CF275" s="125">
        <v>1.1000000000000001</v>
      </c>
      <c r="CG275" s="40">
        <f t="shared" si="259"/>
        <v>2.5276743866833661E-2</v>
      </c>
      <c r="CH275" s="40">
        <f t="shared" si="217"/>
        <v>2.5276743866833661E-2</v>
      </c>
      <c r="CI275" s="99">
        <f t="shared" si="260"/>
        <v>2.0826311086760409E-4</v>
      </c>
      <c r="CJ275" s="100">
        <f t="shared" si="261"/>
        <v>5.8217381502574366E-3</v>
      </c>
      <c r="CK275" s="100">
        <f t="shared" si="262"/>
        <v>1.9246742605708619E-2</v>
      </c>
      <c r="CL275" s="101">
        <f t="shared" si="246"/>
        <v>9.8635540974562476E-4</v>
      </c>
      <c r="CM275" s="100">
        <f t="shared" si="247"/>
        <v>5.1574892694566925E-3</v>
      </c>
      <c r="CN275" s="100">
        <f t="shared" si="248"/>
        <v>8.7326072253861541E-3</v>
      </c>
      <c r="CO275" s="100">
        <f t="shared" si="249"/>
        <v>2.8870113908562929E-2</v>
      </c>
      <c r="CP275" s="101">
        <f t="shared" si="250"/>
        <v>1.479533114618437E-3</v>
      </c>
      <c r="CQ275" s="100">
        <f t="shared" si="251"/>
        <v>7.7362339041850397E-3</v>
      </c>
      <c r="CR275" s="99">
        <f t="shared" si="252"/>
        <v>0.23855925798406249</v>
      </c>
      <c r="CS275" s="31">
        <v>1.5</v>
      </c>
      <c r="CT275" s="31">
        <v>1.5</v>
      </c>
      <c r="CU275" s="43">
        <v>0.1</v>
      </c>
      <c r="CV275" s="44">
        <v>0.39</v>
      </c>
      <c r="CW275" s="43">
        <v>2.1000000000000001E-2</v>
      </c>
      <c r="CX275" s="44">
        <v>0.15</v>
      </c>
    </row>
    <row r="276" spans="1:102" x14ac:dyDescent="0.25">
      <c r="A276" s="31">
        <v>262</v>
      </c>
      <c r="B276" s="83" t="s">
        <v>254</v>
      </c>
      <c r="C276" s="31">
        <v>50</v>
      </c>
      <c r="D276" s="31" t="s">
        <v>36</v>
      </c>
      <c r="E276" s="31" t="s">
        <v>5</v>
      </c>
      <c r="F276" s="31" t="s">
        <v>64</v>
      </c>
      <c r="G276" s="31" t="str">
        <f t="shared" si="253"/>
        <v>Kommunal 50 M 4S F</v>
      </c>
      <c r="H276" s="48">
        <f t="shared" si="220"/>
        <v>4.0026162327718773E-2</v>
      </c>
      <c r="I276" s="40">
        <f t="shared" si="221"/>
        <v>4.5875775556212715E-2</v>
      </c>
      <c r="J276" s="99">
        <f t="shared" si="222"/>
        <v>4.8931635861505091E-4</v>
      </c>
      <c r="K276" s="48">
        <f t="shared" si="223"/>
        <v>9.1103479967017363E-3</v>
      </c>
      <c r="L276" s="48">
        <f t="shared" si="224"/>
        <v>3.6276111200895925E-2</v>
      </c>
      <c r="M276" s="48">
        <f t="shared" si="254"/>
        <v>9.1129653620683884E-2</v>
      </c>
      <c r="N276" s="99">
        <f t="shared" si="225"/>
        <v>1.601618553487094E-3</v>
      </c>
      <c r="O276" s="48">
        <f t="shared" si="226"/>
        <v>8.6741283514481932E-3</v>
      </c>
      <c r="P276" s="48">
        <f t="shared" si="227"/>
        <v>1.3665521995052606E-2</v>
      </c>
      <c r="Q276" s="48">
        <f t="shared" si="228"/>
        <v>5.4414166801343887E-2</v>
      </c>
      <c r="R276" s="40">
        <f t="shared" si="255"/>
        <v>0.63790757534478715</v>
      </c>
      <c r="S276" s="99">
        <f t="shared" si="229"/>
        <v>2.4024278302306407E-3</v>
      </c>
      <c r="T276" s="48">
        <f t="shared" si="230"/>
        <v>1.301119252717229E-2</v>
      </c>
      <c r="U276" s="40">
        <v>0.14077800000000004</v>
      </c>
      <c r="V276" s="40">
        <v>1.45</v>
      </c>
      <c r="W276" s="41">
        <v>0.5</v>
      </c>
      <c r="X276" s="40">
        <v>1.5716928826340884</v>
      </c>
      <c r="Y276" s="42">
        <v>0.81515299544557829</v>
      </c>
      <c r="Z276" s="42">
        <v>13.671957377700943</v>
      </c>
      <c r="AA276" s="42">
        <v>85.512889626853479</v>
      </c>
      <c r="AB276" s="42">
        <v>5.6666666666666661</v>
      </c>
      <c r="AC276" s="125">
        <v>1.1000000000000001</v>
      </c>
      <c r="AD276" s="94">
        <f t="shared" si="256"/>
        <v>1.0232090351626748E-2</v>
      </c>
      <c r="AE276" s="94">
        <f t="shared" si="210"/>
        <v>1.6081703580120687E-2</v>
      </c>
      <c r="AF276" s="96">
        <f t="shared" si="211"/>
        <v>1.3109048845203258E-4</v>
      </c>
      <c r="AG276" s="95">
        <f t="shared" si="218"/>
        <v>2.1986836590823068E-3</v>
      </c>
      <c r="AH276" s="94">
        <f t="shared" si="219"/>
        <v>1.3751929432586346E-2</v>
      </c>
      <c r="AI276" s="94">
        <f t="shared" si="213"/>
        <v>9.1129653620683884E-2</v>
      </c>
      <c r="AJ276" s="96">
        <f t="shared" si="231"/>
        <v>4.0364126958139794E-4</v>
      </c>
      <c r="AK276" s="95">
        <f t="shared" si="232"/>
        <v>2.403382250779271E-3</v>
      </c>
      <c r="AL276" s="95">
        <f t="shared" si="233"/>
        <v>3.2980254886234603E-3</v>
      </c>
      <c r="AM276" s="94">
        <f t="shared" si="234"/>
        <v>2.0627894148879521E-2</v>
      </c>
      <c r="AN276" s="93">
        <f t="shared" si="235"/>
        <v>0.63790757534478715</v>
      </c>
      <c r="AO276" s="96">
        <f t="shared" si="236"/>
        <v>6.0546190437209702E-4</v>
      </c>
      <c r="AP276" s="95">
        <f t="shared" si="237"/>
        <v>3.6050733761689071E-3</v>
      </c>
      <c r="AQ276" s="93">
        <f t="shared" si="238"/>
        <v>0.14487110373146522</v>
      </c>
      <c r="AR276" s="31">
        <v>1.5</v>
      </c>
      <c r="AS276" s="31">
        <v>1.5</v>
      </c>
      <c r="AT276" s="31">
        <v>7</v>
      </c>
      <c r="AU276" s="43">
        <v>7.0999999999999994E-2</v>
      </c>
      <c r="AV276" s="44">
        <v>0.28000000000000003</v>
      </c>
      <c r="AW276" s="43">
        <v>1.7999999999999999E-2</v>
      </c>
      <c r="AX276" s="44">
        <v>0.13</v>
      </c>
      <c r="AY276" s="40">
        <v>7.0817582490074731</v>
      </c>
      <c r="AZ276" s="41">
        <v>0.5</v>
      </c>
      <c r="BA276" s="40">
        <v>0.72</v>
      </c>
      <c r="BB276" s="45">
        <v>1</v>
      </c>
      <c r="BC276" s="41">
        <v>3.3197225366043686</v>
      </c>
      <c r="BD276" s="41">
        <v>24.127673726603245</v>
      </c>
      <c r="BE276" s="41">
        <v>72.552603736792392</v>
      </c>
      <c r="BF276" s="125">
        <v>1.1000000000000001</v>
      </c>
      <c r="BG276" s="48">
        <f t="shared" si="257"/>
        <v>4.5173281092583716E-3</v>
      </c>
      <c r="BH276" s="48">
        <f t="shared" si="214"/>
        <v>4.5173281092583716E-3</v>
      </c>
      <c r="BI276" s="99">
        <f t="shared" si="215"/>
        <v>1.4996275929541418E-4</v>
      </c>
      <c r="BJ276" s="99">
        <f t="shared" si="258"/>
        <v>1.0899261873619952E-3</v>
      </c>
      <c r="BK276" s="48">
        <f t="shared" si="216"/>
        <v>3.2774391626009623E-3</v>
      </c>
      <c r="BL276" s="99">
        <f t="shared" si="239"/>
        <v>2.1162187416007153E-4</v>
      </c>
      <c r="BM276" s="48">
        <f t="shared" si="240"/>
        <v>1.1132568312122305E-3</v>
      </c>
      <c r="BN276" s="48">
        <f t="shared" si="241"/>
        <v>1.6348892810429927E-3</v>
      </c>
      <c r="BO276" s="48">
        <f t="shared" si="242"/>
        <v>4.9161587439014434E-3</v>
      </c>
      <c r="BP276" s="99">
        <f t="shared" si="243"/>
        <v>3.174328112401073E-4</v>
      </c>
      <c r="BQ276" s="48">
        <f t="shared" si="244"/>
        <v>1.6698852468183456E-3</v>
      </c>
      <c r="BR276" s="40">
        <f t="shared" si="245"/>
        <v>0.27447396263207613</v>
      </c>
      <c r="BS276" s="31">
        <v>1.5</v>
      </c>
      <c r="BT276" s="31">
        <v>1.5</v>
      </c>
      <c r="BU276" s="43">
        <v>0.125</v>
      </c>
      <c r="BV276" s="44">
        <v>0.42</v>
      </c>
      <c r="BW276" s="43">
        <v>2.3E-2</v>
      </c>
      <c r="BX276" s="44">
        <v>0.2</v>
      </c>
      <c r="BY276" s="40">
        <v>17.493153787299185</v>
      </c>
      <c r="BZ276" s="40">
        <v>0.52</v>
      </c>
      <c r="CA276" s="40">
        <v>0.65</v>
      </c>
      <c r="CB276" s="45">
        <v>1</v>
      </c>
      <c r="CC276" s="41">
        <v>0.82393172144641669</v>
      </c>
      <c r="CD276" s="41">
        <v>23.03199407695983</v>
      </c>
      <c r="CE276" s="41">
        <v>76.144074201593753</v>
      </c>
      <c r="CF276" s="125">
        <v>1.1000000000000001</v>
      </c>
      <c r="CG276" s="40">
        <f t="shared" si="259"/>
        <v>2.5276743866833658E-2</v>
      </c>
      <c r="CH276" s="40">
        <f t="shared" si="217"/>
        <v>2.5276743866833658E-2</v>
      </c>
      <c r="CI276" s="99">
        <f t="shared" si="260"/>
        <v>2.0826311086760409E-4</v>
      </c>
      <c r="CJ276" s="100">
        <f t="shared" si="261"/>
        <v>5.8217381502574349E-3</v>
      </c>
      <c r="CK276" s="100">
        <f t="shared" si="262"/>
        <v>1.9246742605708616E-2</v>
      </c>
      <c r="CL276" s="101">
        <f t="shared" si="246"/>
        <v>9.8635540974562454E-4</v>
      </c>
      <c r="CM276" s="100">
        <f t="shared" si="247"/>
        <v>5.1574892694566925E-3</v>
      </c>
      <c r="CN276" s="100">
        <f t="shared" si="248"/>
        <v>8.7326072253861523E-3</v>
      </c>
      <c r="CO276" s="100">
        <f t="shared" si="249"/>
        <v>2.8870113908562922E-2</v>
      </c>
      <c r="CP276" s="101">
        <f t="shared" si="250"/>
        <v>1.4795331146184366E-3</v>
      </c>
      <c r="CQ276" s="100">
        <f t="shared" si="251"/>
        <v>7.736233904185038E-3</v>
      </c>
      <c r="CR276" s="99">
        <f t="shared" si="252"/>
        <v>0.23855925798406247</v>
      </c>
      <c r="CS276" s="31">
        <v>1.5</v>
      </c>
      <c r="CT276" s="31">
        <v>1.5</v>
      </c>
      <c r="CU276" s="43">
        <v>0.1</v>
      </c>
      <c r="CV276" s="44">
        <v>0.39</v>
      </c>
      <c r="CW276" s="43">
        <v>2.1000000000000001E-2</v>
      </c>
      <c r="CX276" s="44">
        <v>0.15</v>
      </c>
    </row>
    <row r="277" spans="1:102" x14ac:dyDescent="0.25">
      <c r="A277" s="31">
        <v>263</v>
      </c>
      <c r="B277" s="83" t="s">
        <v>254</v>
      </c>
      <c r="C277" s="31">
        <v>50</v>
      </c>
      <c r="D277" s="31" t="s">
        <v>36</v>
      </c>
      <c r="E277" s="31" t="s">
        <v>6</v>
      </c>
      <c r="F277" s="31" t="s">
        <v>12</v>
      </c>
      <c r="G277" s="31" t="str">
        <f t="shared" si="253"/>
        <v>Kommunal 50 Y 4S A</v>
      </c>
      <c r="H277" s="48">
        <f t="shared" si="220"/>
        <v>5.5715367533546445E-2</v>
      </c>
      <c r="I277" s="40">
        <f t="shared" si="221"/>
        <v>6.5823694216178716E-2</v>
      </c>
      <c r="J277" s="99">
        <f t="shared" si="222"/>
        <v>6.5317946918009174E-4</v>
      </c>
      <c r="K277" s="48">
        <f t="shared" si="223"/>
        <v>1.3177912766004007E-2</v>
      </c>
      <c r="L277" s="48">
        <f t="shared" si="224"/>
        <v>5.1992601980994618E-2</v>
      </c>
      <c r="M277" s="48">
        <f t="shared" si="254"/>
        <v>0.15359996849721175</v>
      </c>
      <c r="N277" s="99">
        <f t="shared" si="225"/>
        <v>2.1733124861493315E-3</v>
      </c>
      <c r="O277" s="48">
        <f t="shared" si="226"/>
        <v>1.185619028826566E-2</v>
      </c>
      <c r="P277" s="48">
        <f t="shared" si="227"/>
        <v>1.9766869149006008E-2</v>
      </c>
      <c r="Q277" s="48">
        <f t="shared" si="228"/>
        <v>7.7988902971491927E-2</v>
      </c>
      <c r="R277" s="40">
        <f t="shared" si="255"/>
        <v>1.0751997794804822</v>
      </c>
      <c r="S277" s="99">
        <f t="shared" si="229"/>
        <v>3.2599687292239974E-3</v>
      </c>
      <c r="T277" s="48">
        <f t="shared" si="230"/>
        <v>1.7784285432398489E-2</v>
      </c>
      <c r="U277" s="40">
        <v>0.35663759999999994</v>
      </c>
      <c r="V277" s="40">
        <v>1.45</v>
      </c>
      <c r="W277" s="41">
        <v>0.5</v>
      </c>
      <c r="X277" s="40">
        <v>1.3899622478447198</v>
      </c>
      <c r="Y277" s="42">
        <v>0.81864194148809843</v>
      </c>
      <c r="Z277" s="42">
        <v>17.391934854683893</v>
      </c>
      <c r="AA277" s="42">
        <v>81.789423203828008</v>
      </c>
      <c r="AB277" s="42">
        <v>4.2631578947368443</v>
      </c>
      <c r="AC277" s="125">
        <v>1.1000000000000001</v>
      </c>
      <c r="AD277" s="94">
        <f t="shared" si="256"/>
        <v>2.592129555745442E-2</v>
      </c>
      <c r="AE277" s="94">
        <f t="shared" si="210"/>
        <v>3.6029622240086691E-2</v>
      </c>
      <c r="AF277" s="96">
        <f t="shared" si="211"/>
        <v>2.9495359901707339E-4</v>
      </c>
      <c r="AG277" s="95">
        <f t="shared" si="218"/>
        <v>6.2662484283845764E-3</v>
      </c>
      <c r="AH277" s="94">
        <f t="shared" si="219"/>
        <v>2.9468420212685042E-2</v>
      </c>
      <c r="AI277" s="94">
        <f t="shared" si="213"/>
        <v>0.15359996849721175</v>
      </c>
      <c r="AJ277" s="96">
        <f t="shared" si="231"/>
        <v>9.753352022436356E-4</v>
      </c>
      <c r="AK277" s="95">
        <f t="shared" si="232"/>
        <v>5.5854441875967369E-3</v>
      </c>
      <c r="AL277" s="95">
        <f t="shared" si="233"/>
        <v>9.3993726425768646E-3</v>
      </c>
      <c r="AM277" s="94">
        <f t="shared" si="234"/>
        <v>4.4202630319027561E-2</v>
      </c>
      <c r="AN277" s="93">
        <f t="shared" si="235"/>
        <v>1.0751997794804822</v>
      </c>
      <c r="AO277" s="96">
        <f t="shared" si="236"/>
        <v>1.4630028033654533E-3</v>
      </c>
      <c r="AP277" s="95">
        <f t="shared" si="237"/>
        <v>8.3781662813951063E-3</v>
      </c>
      <c r="AQ277" s="93">
        <f t="shared" si="238"/>
        <v>0.1821057679617199</v>
      </c>
      <c r="AR277" s="31">
        <v>1.5</v>
      </c>
      <c r="AS277" s="31">
        <v>1.5</v>
      </c>
      <c r="AT277" s="31">
        <v>7</v>
      </c>
      <c r="AU277" s="43">
        <v>7.0999999999999994E-2</v>
      </c>
      <c r="AV277" s="44">
        <v>0.28000000000000003</v>
      </c>
      <c r="AW277" s="43">
        <v>1.7999999999999999E-2</v>
      </c>
      <c r="AX277" s="44">
        <v>0.13</v>
      </c>
      <c r="AY277" s="40">
        <v>7.0817582490074749</v>
      </c>
      <c r="AZ277" s="41">
        <v>0.5</v>
      </c>
      <c r="BA277" s="40">
        <v>0.72</v>
      </c>
      <c r="BB277" s="45">
        <v>1</v>
      </c>
      <c r="BC277" s="41">
        <v>3.3197225366043686</v>
      </c>
      <c r="BD277" s="41">
        <v>24.127673726603245</v>
      </c>
      <c r="BE277" s="41">
        <v>72.552603736792392</v>
      </c>
      <c r="BF277" s="125">
        <v>1.1000000000000001</v>
      </c>
      <c r="BG277" s="48">
        <f t="shared" si="257"/>
        <v>4.5173281092583725E-3</v>
      </c>
      <c r="BH277" s="48">
        <f t="shared" si="214"/>
        <v>4.5173281092583725E-3</v>
      </c>
      <c r="BI277" s="99">
        <f t="shared" si="215"/>
        <v>1.4996275929541421E-4</v>
      </c>
      <c r="BJ277" s="99">
        <f t="shared" si="258"/>
        <v>1.0899261873619955E-3</v>
      </c>
      <c r="BK277" s="48">
        <f t="shared" si="216"/>
        <v>3.2774391626009631E-3</v>
      </c>
      <c r="BL277" s="99">
        <f t="shared" si="239"/>
        <v>2.1162187416007158E-4</v>
      </c>
      <c r="BM277" s="48">
        <f t="shared" si="240"/>
        <v>1.1132568312122307E-3</v>
      </c>
      <c r="BN277" s="48">
        <f t="shared" si="241"/>
        <v>1.6348892810429932E-3</v>
      </c>
      <c r="BO277" s="48">
        <f t="shared" si="242"/>
        <v>4.9161587439014443E-3</v>
      </c>
      <c r="BP277" s="99">
        <f t="shared" si="243"/>
        <v>3.1743281124010735E-4</v>
      </c>
      <c r="BQ277" s="48">
        <f t="shared" si="244"/>
        <v>1.669885246818346E-3</v>
      </c>
      <c r="BR277" s="40">
        <f t="shared" si="245"/>
        <v>0.27447396263207618</v>
      </c>
      <c r="BS277" s="31">
        <v>1.5</v>
      </c>
      <c r="BT277" s="31">
        <v>1.5</v>
      </c>
      <c r="BU277" s="43">
        <v>0.125</v>
      </c>
      <c r="BV277" s="44">
        <v>0.42</v>
      </c>
      <c r="BW277" s="43">
        <v>2.3E-2</v>
      </c>
      <c r="BX277" s="44">
        <v>0.2</v>
      </c>
      <c r="BY277" s="40">
        <v>17.493153787299182</v>
      </c>
      <c r="BZ277" s="40">
        <v>0.52</v>
      </c>
      <c r="CA277" s="40">
        <v>0.65</v>
      </c>
      <c r="CB277" s="45">
        <v>1</v>
      </c>
      <c r="CC277" s="41">
        <v>0.8239317214464168</v>
      </c>
      <c r="CD277" s="41">
        <v>23.031994076959837</v>
      </c>
      <c r="CE277" s="41">
        <v>76.144074201593753</v>
      </c>
      <c r="CF277" s="125">
        <v>1.1000000000000001</v>
      </c>
      <c r="CG277" s="40">
        <f t="shared" si="259"/>
        <v>2.5276743866833651E-2</v>
      </c>
      <c r="CH277" s="40">
        <f t="shared" si="217"/>
        <v>2.5276743866833651E-2</v>
      </c>
      <c r="CI277" s="99">
        <f t="shared" si="260"/>
        <v>2.0826311086760409E-4</v>
      </c>
      <c r="CJ277" s="100">
        <f t="shared" si="261"/>
        <v>5.8217381502574349E-3</v>
      </c>
      <c r="CK277" s="100">
        <f t="shared" si="262"/>
        <v>1.9246742605708612E-2</v>
      </c>
      <c r="CL277" s="101">
        <f t="shared" si="246"/>
        <v>9.8635540974562432E-4</v>
      </c>
      <c r="CM277" s="100">
        <f t="shared" si="247"/>
        <v>5.1574892694566917E-3</v>
      </c>
      <c r="CN277" s="100">
        <f t="shared" si="248"/>
        <v>8.7326072253861523E-3</v>
      </c>
      <c r="CO277" s="100">
        <f t="shared" si="249"/>
        <v>2.8870113908562919E-2</v>
      </c>
      <c r="CP277" s="101">
        <f t="shared" si="250"/>
        <v>1.4795331146184366E-3</v>
      </c>
      <c r="CQ277" s="100">
        <f t="shared" si="251"/>
        <v>7.736233904185038E-3</v>
      </c>
      <c r="CR277" s="99">
        <f t="shared" si="252"/>
        <v>0.23855925798406252</v>
      </c>
      <c r="CS277" s="31">
        <v>1.5</v>
      </c>
      <c r="CT277" s="31">
        <v>1.5</v>
      </c>
      <c r="CU277" s="43">
        <v>0.1</v>
      </c>
      <c r="CV277" s="44">
        <v>0.39</v>
      </c>
      <c r="CW277" s="43">
        <v>2.1000000000000001E-2</v>
      </c>
      <c r="CX277" s="44">
        <v>0.15</v>
      </c>
    </row>
    <row r="278" spans="1:102" x14ac:dyDescent="0.25">
      <c r="A278" s="31">
        <v>264</v>
      </c>
      <c r="B278" s="83" t="s">
        <v>254</v>
      </c>
      <c r="C278" s="31">
        <v>50</v>
      </c>
      <c r="D278" s="31" t="s">
        <v>36</v>
      </c>
      <c r="E278" s="31" t="s">
        <v>6</v>
      </c>
      <c r="F278" s="31" t="s">
        <v>13</v>
      </c>
      <c r="G278" s="31" t="str">
        <f t="shared" si="253"/>
        <v>Kommunal 50 Y 4S B</v>
      </c>
      <c r="H278" s="48">
        <f t="shared" si="220"/>
        <v>5.5715367533546445E-2</v>
      </c>
      <c r="I278" s="40">
        <f t="shared" si="221"/>
        <v>6.5823694216178716E-2</v>
      </c>
      <c r="J278" s="99">
        <f t="shared" si="222"/>
        <v>6.5317946918009174E-4</v>
      </c>
      <c r="K278" s="48">
        <f t="shared" si="223"/>
        <v>1.3177912766004007E-2</v>
      </c>
      <c r="L278" s="48">
        <f t="shared" si="224"/>
        <v>5.1992601980994618E-2</v>
      </c>
      <c r="M278" s="48">
        <f t="shared" si="254"/>
        <v>0.15359996849721175</v>
      </c>
      <c r="N278" s="99">
        <f t="shared" si="225"/>
        <v>2.1733124861493315E-3</v>
      </c>
      <c r="O278" s="48">
        <f t="shared" si="226"/>
        <v>1.185619028826566E-2</v>
      </c>
      <c r="P278" s="48">
        <f t="shared" si="227"/>
        <v>1.9766869149006008E-2</v>
      </c>
      <c r="Q278" s="48">
        <f t="shared" si="228"/>
        <v>7.7988902971491927E-2</v>
      </c>
      <c r="R278" s="40">
        <f t="shared" si="255"/>
        <v>1.0751997794804822</v>
      </c>
      <c r="S278" s="99">
        <f t="shared" si="229"/>
        <v>3.2599687292239974E-3</v>
      </c>
      <c r="T278" s="48">
        <f t="shared" si="230"/>
        <v>1.7784285432398489E-2</v>
      </c>
      <c r="U278" s="40">
        <v>0.35663759999999994</v>
      </c>
      <c r="V278" s="40">
        <v>1.45</v>
      </c>
      <c r="W278" s="41">
        <v>0.5</v>
      </c>
      <c r="X278" s="40">
        <v>1.3899622478447198</v>
      </c>
      <c r="Y278" s="42">
        <v>0.81864194148809843</v>
      </c>
      <c r="Z278" s="42">
        <v>17.391934854683893</v>
      </c>
      <c r="AA278" s="42">
        <v>81.789423203828008</v>
      </c>
      <c r="AB278" s="42">
        <v>4.2631578947368443</v>
      </c>
      <c r="AC278" s="125">
        <v>1.1000000000000001</v>
      </c>
      <c r="AD278" s="94">
        <f t="shared" si="256"/>
        <v>2.592129555745442E-2</v>
      </c>
      <c r="AE278" s="94">
        <f t="shared" si="210"/>
        <v>3.6029622240086691E-2</v>
      </c>
      <c r="AF278" s="96">
        <f t="shared" si="211"/>
        <v>2.9495359901707339E-4</v>
      </c>
      <c r="AG278" s="95">
        <f t="shared" si="218"/>
        <v>6.2662484283845764E-3</v>
      </c>
      <c r="AH278" s="94">
        <f t="shared" si="219"/>
        <v>2.9468420212685042E-2</v>
      </c>
      <c r="AI278" s="94">
        <f t="shared" si="213"/>
        <v>0.15359996849721175</v>
      </c>
      <c r="AJ278" s="96">
        <f t="shared" si="231"/>
        <v>9.753352022436356E-4</v>
      </c>
      <c r="AK278" s="95">
        <f t="shared" si="232"/>
        <v>5.5854441875967369E-3</v>
      </c>
      <c r="AL278" s="95">
        <f t="shared" si="233"/>
        <v>9.3993726425768646E-3</v>
      </c>
      <c r="AM278" s="94">
        <f t="shared" si="234"/>
        <v>4.4202630319027561E-2</v>
      </c>
      <c r="AN278" s="93">
        <f t="shared" si="235"/>
        <v>1.0751997794804822</v>
      </c>
      <c r="AO278" s="96">
        <f t="shared" si="236"/>
        <v>1.4630028033654533E-3</v>
      </c>
      <c r="AP278" s="95">
        <f t="shared" si="237"/>
        <v>8.3781662813951063E-3</v>
      </c>
      <c r="AQ278" s="93">
        <f t="shared" si="238"/>
        <v>0.1821057679617199</v>
      </c>
      <c r="AR278" s="31">
        <v>1.5</v>
      </c>
      <c r="AS278" s="31">
        <v>1.5</v>
      </c>
      <c r="AT278" s="31">
        <v>7</v>
      </c>
      <c r="AU278" s="43">
        <v>7.0999999999999994E-2</v>
      </c>
      <c r="AV278" s="44">
        <v>0.28000000000000003</v>
      </c>
      <c r="AW278" s="43">
        <v>1.7999999999999999E-2</v>
      </c>
      <c r="AX278" s="44">
        <v>0.13</v>
      </c>
      <c r="AY278" s="40">
        <v>7.0817582490074749</v>
      </c>
      <c r="AZ278" s="41">
        <v>0.5</v>
      </c>
      <c r="BA278" s="40">
        <v>0.72</v>
      </c>
      <c r="BB278" s="45">
        <v>1</v>
      </c>
      <c r="BC278" s="41">
        <v>3.3197225366043686</v>
      </c>
      <c r="BD278" s="41">
        <v>24.127673726603245</v>
      </c>
      <c r="BE278" s="41">
        <v>72.552603736792392</v>
      </c>
      <c r="BF278" s="125">
        <v>1.1000000000000001</v>
      </c>
      <c r="BG278" s="48">
        <f t="shared" si="257"/>
        <v>4.5173281092583725E-3</v>
      </c>
      <c r="BH278" s="48">
        <f t="shared" si="214"/>
        <v>4.5173281092583725E-3</v>
      </c>
      <c r="BI278" s="99">
        <f t="shared" si="215"/>
        <v>1.4996275929541421E-4</v>
      </c>
      <c r="BJ278" s="99">
        <f t="shared" si="258"/>
        <v>1.0899261873619955E-3</v>
      </c>
      <c r="BK278" s="48">
        <f t="shared" si="216"/>
        <v>3.2774391626009631E-3</v>
      </c>
      <c r="BL278" s="99">
        <f t="shared" si="239"/>
        <v>2.1162187416007158E-4</v>
      </c>
      <c r="BM278" s="48">
        <f t="shared" si="240"/>
        <v>1.1132568312122307E-3</v>
      </c>
      <c r="BN278" s="48">
        <f t="shared" si="241"/>
        <v>1.6348892810429932E-3</v>
      </c>
      <c r="BO278" s="48">
        <f t="shared" si="242"/>
        <v>4.9161587439014443E-3</v>
      </c>
      <c r="BP278" s="99">
        <f t="shared" si="243"/>
        <v>3.1743281124010735E-4</v>
      </c>
      <c r="BQ278" s="48">
        <f t="shared" si="244"/>
        <v>1.669885246818346E-3</v>
      </c>
      <c r="BR278" s="40">
        <f t="shared" si="245"/>
        <v>0.27447396263207618</v>
      </c>
      <c r="BS278" s="31">
        <v>1.5</v>
      </c>
      <c r="BT278" s="31">
        <v>1.5</v>
      </c>
      <c r="BU278" s="43">
        <v>0.125</v>
      </c>
      <c r="BV278" s="44">
        <v>0.42</v>
      </c>
      <c r="BW278" s="43">
        <v>2.3E-2</v>
      </c>
      <c r="BX278" s="44">
        <v>0.2</v>
      </c>
      <c r="BY278" s="40">
        <v>17.493153787299182</v>
      </c>
      <c r="BZ278" s="40">
        <v>0.52</v>
      </c>
      <c r="CA278" s="40">
        <v>0.65</v>
      </c>
      <c r="CB278" s="45">
        <v>1</v>
      </c>
      <c r="CC278" s="41">
        <v>0.8239317214464168</v>
      </c>
      <c r="CD278" s="41">
        <v>23.031994076959837</v>
      </c>
      <c r="CE278" s="41">
        <v>76.144074201593753</v>
      </c>
      <c r="CF278" s="125">
        <v>1.1000000000000001</v>
      </c>
      <c r="CG278" s="40">
        <f t="shared" si="259"/>
        <v>2.5276743866833651E-2</v>
      </c>
      <c r="CH278" s="40">
        <f t="shared" si="217"/>
        <v>2.5276743866833651E-2</v>
      </c>
      <c r="CI278" s="99">
        <f t="shared" si="260"/>
        <v>2.0826311086760409E-4</v>
      </c>
      <c r="CJ278" s="100">
        <f t="shared" si="261"/>
        <v>5.8217381502574349E-3</v>
      </c>
      <c r="CK278" s="100">
        <f t="shared" si="262"/>
        <v>1.9246742605708612E-2</v>
      </c>
      <c r="CL278" s="101">
        <f t="shared" si="246"/>
        <v>9.8635540974562432E-4</v>
      </c>
      <c r="CM278" s="100">
        <f t="shared" si="247"/>
        <v>5.1574892694566917E-3</v>
      </c>
      <c r="CN278" s="100">
        <f t="shared" si="248"/>
        <v>8.7326072253861523E-3</v>
      </c>
      <c r="CO278" s="100">
        <f t="shared" si="249"/>
        <v>2.8870113908562919E-2</v>
      </c>
      <c r="CP278" s="101">
        <f t="shared" si="250"/>
        <v>1.4795331146184366E-3</v>
      </c>
      <c r="CQ278" s="100">
        <f t="shared" si="251"/>
        <v>7.736233904185038E-3</v>
      </c>
      <c r="CR278" s="99">
        <f t="shared" si="252"/>
        <v>0.23855925798406252</v>
      </c>
      <c r="CS278" s="31">
        <v>1.5</v>
      </c>
      <c r="CT278" s="31">
        <v>1.5</v>
      </c>
      <c r="CU278" s="43">
        <v>0.1</v>
      </c>
      <c r="CV278" s="44">
        <v>0.39</v>
      </c>
      <c r="CW278" s="43">
        <v>2.1000000000000001E-2</v>
      </c>
      <c r="CX278" s="44">
        <v>0.15</v>
      </c>
    </row>
    <row r="279" spans="1:102" x14ac:dyDescent="0.25">
      <c r="A279" s="31">
        <v>265</v>
      </c>
      <c r="B279" s="83" t="s">
        <v>254</v>
      </c>
      <c r="C279" s="31">
        <v>50</v>
      </c>
      <c r="D279" s="31" t="s">
        <v>36</v>
      </c>
      <c r="E279" s="31" t="s">
        <v>6</v>
      </c>
      <c r="F279" s="31" t="s">
        <v>70</v>
      </c>
      <c r="G279" s="31" t="str">
        <f t="shared" si="253"/>
        <v>Kommunal 50 Y 4S Ck</v>
      </c>
      <c r="H279" s="48">
        <f t="shared" si="220"/>
        <v>5.3123237977801004E-2</v>
      </c>
      <c r="I279" s="40">
        <f t="shared" si="221"/>
        <v>6.2220731992170049E-2</v>
      </c>
      <c r="J279" s="99">
        <f t="shared" si="222"/>
        <v>6.2368410927838441E-4</v>
      </c>
      <c r="K279" s="48">
        <f t="shared" si="223"/>
        <v>1.2551287923165552E-2</v>
      </c>
      <c r="L279" s="48">
        <f t="shared" si="224"/>
        <v>4.9045759959726119E-2</v>
      </c>
      <c r="M279" s="48">
        <f t="shared" si="254"/>
        <v>0.13823997164749055</v>
      </c>
      <c r="N279" s="99">
        <f t="shared" si="225"/>
        <v>2.075778965924968E-3</v>
      </c>
      <c r="O279" s="48">
        <f t="shared" si="226"/>
        <v>1.1297645869505987E-2</v>
      </c>
      <c r="P279" s="48">
        <f t="shared" si="227"/>
        <v>1.8826931884748328E-2</v>
      </c>
      <c r="Q279" s="48">
        <f t="shared" si="228"/>
        <v>7.3568639939589175E-2</v>
      </c>
      <c r="R279" s="40">
        <f t="shared" si="255"/>
        <v>0.96767980153243383</v>
      </c>
      <c r="S279" s="99">
        <f t="shared" si="229"/>
        <v>3.1136684488874524E-3</v>
      </c>
      <c r="T279" s="48">
        <f t="shared" si="230"/>
        <v>1.6946468804258982E-2</v>
      </c>
      <c r="U279" s="40">
        <v>0.32097383999999995</v>
      </c>
      <c r="V279" s="40">
        <v>1.45</v>
      </c>
      <c r="W279" s="41">
        <v>0.5</v>
      </c>
      <c r="X279" s="40">
        <v>1.3899622478447196</v>
      </c>
      <c r="Y279" s="42">
        <v>0.81864194148809855</v>
      </c>
      <c r="Z279" s="42">
        <v>17.391934854683896</v>
      </c>
      <c r="AA279" s="42">
        <v>81.789423203828022</v>
      </c>
      <c r="AB279" s="42">
        <v>4.2631578947368434</v>
      </c>
      <c r="AC279" s="125">
        <v>1.1000000000000001</v>
      </c>
      <c r="AD279" s="94">
        <f t="shared" si="256"/>
        <v>2.3329166001708979E-2</v>
      </c>
      <c r="AE279" s="94">
        <f t="shared" si="210"/>
        <v>3.2426660016078024E-2</v>
      </c>
      <c r="AF279" s="96">
        <f t="shared" si="211"/>
        <v>2.6545823911536612E-4</v>
      </c>
      <c r="AG279" s="95">
        <f t="shared" si="218"/>
        <v>5.639623585546121E-3</v>
      </c>
      <c r="AH279" s="94">
        <f t="shared" si="219"/>
        <v>2.6521578191416543E-2</v>
      </c>
      <c r="AI279" s="94">
        <f t="shared" si="213"/>
        <v>0.13823997164749055</v>
      </c>
      <c r="AJ279" s="96">
        <f t="shared" si="231"/>
        <v>8.7780168201927232E-4</v>
      </c>
      <c r="AK279" s="95">
        <f t="shared" si="232"/>
        <v>5.0268997688370648E-3</v>
      </c>
      <c r="AL279" s="95">
        <f t="shared" si="233"/>
        <v>8.4594353783191811E-3</v>
      </c>
      <c r="AM279" s="94">
        <f t="shared" si="234"/>
        <v>3.9782367287124816E-2</v>
      </c>
      <c r="AN279" s="93">
        <f t="shared" si="235"/>
        <v>0.96767980153243383</v>
      </c>
      <c r="AO279" s="96">
        <f t="shared" si="236"/>
        <v>1.3167025230289083E-3</v>
      </c>
      <c r="AP279" s="95">
        <f t="shared" si="237"/>
        <v>7.5403496532555972E-3</v>
      </c>
      <c r="AQ279" s="93">
        <f t="shared" si="238"/>
        <v>0.18210576796171996</v>
      </c>
      <c r="AR279" s="31">
        <v>1.5</v>
      </c>
      <c r="AS279" s="31">
        <v>1.5</v>
      </c>
      <c r="AT279" s="31">
        <v>7</v>
      </c>
      <c r="AU279" s="43">
        <v>7.0999999999999994E-2</v>
      </c>
      <c r="AV279" s="44">
        <v>0.28000000000000003</v>
      </c>
      <c r="AW279" s="43">
        <v>1.7999999999999999E-2</v>
      </c>
      <c r="AX279" s="44">
        <v>0.13</v>
      </c>
      <c r="AY279" s="40">
        <v>7.0817582490074749</v>
      </c>
      <c r="AZ279" s="41">
        <v>0.5</v>
      </c>
      <c r="BA279" s="40">
        <v>0.72</v>
      </c>
      <c r="BB279" s="45">
        <v>1</v>
      </c>
      <c r="BC279" s="41">
        <v>3.3197225366043686</v>
      </c>
      <c r="BD279" s="41">
        <v>24.127673726603245</v>
      </c>
      <c r="BE279" s="41">
        <v>72.552603736792392</v>
      </c>
      <c r="BF279" s="125">
        <v>1.1000000000000001</v>
      </c>
      <c r="BG279" s="48">
        <f t="shared" si="257"/>
        <v>4.5173281092583725E-3</v>
      </c>
      <c r="BH279" s="48">
        <f t="shared" si="214"/>
        <v>4.5173281092583725E-3</v>
      </c>
      <c r="BI279" s="99">
        <f t="shared" si="215"/>
        <v>1.4996275929541421E-4</v>
      </c>
      <c r="BJ279" s="99">
        <f t="shared" si="258"/>
        <v>1.0899261873619955E-3</v>
      </c>
      <c r="BK279" s="48">
        <f t="shared" si="216"/>
        <v>3.2774391626009631E-3</v>
      </c>
      <c r="BL279" s="99">
        <f t="shared" si="239"/>
        <v>2.1162187416007158E-4</v>
      </c>
      <c r="BM279" s="48">
        <f t="shared" si="240"/>
        <v>1.1132568312122307E-3</v>
      </c>
      <c r="BN279" s="48">
        <f t="shared" si="241"/>
        <v>1.6348892810429932E-3</v>
      </c>
      <c r="BO279" s="48">
        <f t="shared" si="242"/>
        <v>4.9161587439014443E-3</v>
      </c>
      <c r="BP279" s="99">
        <f t="shared" si="243"/>
        <v>3.1743281124010735E-4</v>
      </c>
      <c r="BQ279" s="48">
        <f t="shared" si="244"/>
        <v>1.669885246818346E-3</v>
      </c>
      <c r="BR279" s="40">
        <f t="shared" si="245"/>
        <v>0.27447396263207618</v>
      </c>
      <c r="BS279" s="31">
        <v>1.5</v>
      </c>
      <c r="BT279" s="31">
        <v>1.5</v>
      </c>
      <c r="BU279" s="43">
        <v>0.125</v>
      </c>
      <c r="BV279" s="44">
        <v>0.42</v>
      </c>
      <c r="BW279" s="43">
        <v>2.3E-2</v>
      </c>
      <c r="BX279" s="44">
        <v>0.2</v>
      </c>
      <c r="BY279" s="40">
        <v>17.493153787299182</v>
      </c>
      <c r="BZ279" s="40">
        <v>0.52</v>
      </c>
      <c r="CA279" s="40">
        <v>0.65</v>
      </c>
      <c r="CB279" s="45">
        <v>1</v>
      </c>
      <c r="CC279" s="41">
        <v>0.8239317214464168</v>
      </c>
      <c r="CD279" s="41">
        <v>23.031994076959837</v>
      </c>
      <c r="CE279" s="41">
        <v>76.144074201593753</v>
      </c>
      <c r="CF279" s="125">
        <v>1.1000000000000001</v>
      </c>
      <c r="CG279" s="40">
        <f t="shared" si="259"/>
        <v>2.5276743866833651E-2</v>
      </c>
      <c r="CH279" s="40">
        <f t="shared" si="217"/>
        <v>2.5276743866833651E-2</v>
      </c>
      <c r="CI279" s="99">
        <f t="shared" si="260"/>
        <v>2.0826311086760409E-4</v>
      </c>
      <c r="CJ279" s="100">
        <f t="shared" si="261"/>
        <v>5.8217381502574349E-3</v>
      </c>
      <c r="CK279" s="100">
        <f t="shared" si="262"/>
        <v>1.9246742605708612E-2</v>
      </c>
      <c r="CL279" s="101">
        <f t="shared" si="246"/>
        <v>9.8635540974562432E-4</v>
      </c>
      <c r="CM279" s="100">
        <f t="shared" si="247"/>
        <v>5.1574892694566917E-3</v>
      </c>
      <c r="CN279" s="100">
        <f t="shared" si="248"/>
        <v>8.7326072253861523E-3</v>
      </c>
      <c r="CO279" s="100">
        <f t="shared" si="249"/>
        <v>2.8870113908562919E-2</v>
      </c>
      <c r="CP279" s="101">
        <f t="shared" si="250"/>
        <v>1.4795331146184366E-3</v>
      </c>
      <c r="CQ279" s="100">
        <f t="shared" si="251"/>
        <v>7.736233904185038E-3</v>
      </c>
      <c r="CR279" s="99">
        <f t="shared" si="252"/>
        <v>0.23855925798406252</v>
      </c>
      <c r="CS279" s="31">
        <v>1.5</v>
      </c>
      <c r="CT279" s="31">
        <v>1.5</v>
      </c>
      <c r="CU279" s="43">
        <v>0.1</v>
      </c>
      <c r="CV279" s="44">
        <v>0.39</v>
      </c>
      <c r="CW279" s="43">
        <v>2.1000000000000001E-2</v>
      </c>
      <c r="CX279" s="44">
        <v>0.15</v>
      </c>
    </row>
    <row r="280" spans="1:102" x14ac:dyDescent="0.25">
      <c r="A280" s="31">
        <v>266</v>
      </c>
      <c r="B280" s="83" t="s">
        <v>254</v>
      </c>
      <c r="C280" s="31">
        <v>50</v>
      </c>
      <c r="D280" s="31" t="s">
        <v>36</v>
      </c>
      <c r="E280" s="31" t="s">
        <v>6</v>
      </c>
      <c r="F280" s="31" t="s">
        <v>71</v>
      </c>
      <c r="G280" s="31" t="str">
        <f t="shared" si="253"/>
        <v>Kommunal 50 Y 4S Cm</v>
      </c>
      <c r="H280" s="48">
        <f t="shared" si="220"/>
        <v>5.3123237977801004E-2</v>
      </c>
      <c r="I280" s="40">
        <f t="shared" si="221"/>
        <v>6.2220731992170049E-2</v>
      </c>
      <c r="J280" s="99">
        <f t="shared" si="222"/>
        <v>6.2368410927838441E-4</v>
      </c>
      <c r="K280" s="48">
        <f t="shared" si="223"/>
        <v>1.2551287923165552E-2</v>
      </c>
      <c r="L280" s="48">
        <f t="shared" si="224"/>
        <v>4.9045759959726119E-2</v>
      </c>
      <c r="M280" s="48">
        <f t="shared" si="254"/>
        <v>0.13823997164749055</v>
      </c>
      <c r="N280" s="99">
        <f t="shared" si="225"/>
        <v>2.075778965924968E-3</v>
      </c>
      <c r="O280" s="48">
        <f t="shared" si="226"/>
        <v>1.1297645869505987E-2</v>
      </c>
      <c r="P280" s="48">
        <f t="shared" si="227"/>
        <v>1.8826931884748328E-2</v>
      </c>
      <c r="Q280" s="48">
        <f t="shared" si="228"/>
        <v>7.3568639939589175E-2</v>
      </c>
      <c r="R280" s="40">
        <f t="shared" si="255"/>
        <v>0.96767980153243383</v>
      </c>
      <c r="S280" s="99">
        <f t="shared" si="229"/>
        <v>3.1136684488874524E-3</v>
      </c>
      <c r="T280" s="48">
        <f t="shared" si="230"/>
        <v>1.6946468804258982E-2</v>
      </c>
      <c r="U280" s="40">
        <v>0.32097383999999995</v>
      </c>
      <c r="V280" s="40">
        <v>1.45</v>
      </c>
      <c r="W280" s="41">
        <v>0.5</v>
      </c>
      <c r="X280" s="40">
        <v>1.3899622478447196</v>
      </c>
      <c r="Y280" s="42">
        <v>0.81864194148809855</v>
      </c>
      <c r="Z280" s="42">
        <v>17.391934854683896</v>
      </c>
      <c r="AA280" s="42">
        <v>81.789423203828022</v>
      </c>
      <c r="AB280" s="42">
        <v>4.2631578947368434</v>
      </c>
      <c r="AC280" s="125">
        <v>1.1000000000000001</v>
      </c>
      <c r="AD280" s="94">
        <f t="shared" si="256"/>
        <v>2.3329166001708979E-2</v>
      </c>
      <c r="AE280" s="94">
        <f t="shared" si="210"/>
        <v>3.2426660016078024E-2</v>
      </c>
      <c r="AF280" s="96">
        <f t="shared" si="211"/>
        <v>2.6545823911536612E-4</v>
      </c>
      <c r="AG280" s="95">
        <f t="shared" si="218"/>
        <v>5.639623585546121E-3</v>
      </c>
      <c r="AH280" s="94">
        <f t="shared" si="219"/>
        <v>2.6521578191416543E-2</v>
      </c>
      <c r="AI280" s="94">
        <f t="shared" si="213"/>
        <v>0.13823997164749055</v>
      </c>
      <c r="AJ280" s="96">
        <f t="shared" si="231"/>
        <v>8.7780168201927232E-4</v>
      </c>
      <c r="AK280" s="95">
        <f t="shared" si="232"/>
        <v>5.0268997688370648E-3</v>
      </c>
      <c r="AL280" s="95">
        <f t="shared" si="233"/>
        <v>8.4594353783191811E-3</v>
      </c>
      <c r="AM280" s="94">
        <f t="shared" si="234"/>
        <v>3.9782367287124816E-2</v>
      </c>
      <c r="AN280" s="93">
        <f t="shared" si="235"/>
        <v>0.96767980153243383</v>
      </c>
      <c r="AO280" s="96">
        <f t="shared" si="236"/>
        <v>1.3167025230289083E-3</v>
      </c>
      <c r="AP280" s="95">
        <f t="shared" si="237"/>
        <v>7.5403496532555972E-3</v>
      </c>
      <c r="AQ280" s="93">
        <f t="shared" si="238"/>
        <v>0.18210576796171996</v>
      </c>
      <c r="AR280" s="31">
        <v>1.5</v>
      </c>
      <c r="AS280" s="31">
        <v>1.5</v>
      </c>
      <c r="AT280" s="31">
        <v>7</v>
      </c>
      <c r="AU280" s="43">
        <v>7.0999999999999994E-2</v>
      </c>
      <c r="AV280" s="44">
        <v>0.28000000000000003</v>
      </c>
      <c r="AW280" s="43">
        <v>1.7999999999999999E-2</v>
      </c>
      <c r="AX280" s="44">
        <v>0.13</v>
      </c>
      <c r="AY280" s="40">
        <v>7.0817582490074749</v>
      </c>
      <c r="AZ280" s="41">
        <v>0.5</v>
      </c>
      <c r="BA280" s="40">
        <v>0.72</v>
      </c>
      <c r="BB280" s="45">
        <v>1</v>
      </c>
      <c r="BC280" s="41">
        <v>3.3197225366043686</v>
      </c>
      <c r="BD280" s="41">
        <v>24.127673726603245</v>
      </c>
      <c r="BE280" s="41">
        <v>72.552603736792392</v>
      </c>
      <c r="BF280" s="125">
        <v>1.1000000000000001</v>
      </c>
      <c r="BG280" s="48">
        <f t="shared" si="257"/>
        <v>4.5173281092583725E-3</v>
      </c>
      <c r="BH280" s="48">
        <f t="shared" si="214"/>
        <v>4.5173281092583725E-3</v>
      </c>
      <c r="BI280" s="99">
        <f t="shared" si="215"/>
        <v>1.4996275929541421E-4</v>
      </c>
      <c r="BJ280" s="99">
        <f t="shared" si="258"/>
        <v>1.0899261873619955E-3</v>
      </c>
      <c r="BK280" s="48">
        <f t="shared" si="216"/>
        <v>3.2774391626009631E-3</v>
      </c>
      <c r="BL280" s="99">
        <f t="shared" si="239"/>
        <v>2.1162187416007158E-4</v>
      </c>
      <c r="BM280" s="48">
        <f t="shared" si="240"/>
        <v>1.1132568312122307E-3</v>
      </c>
      <c r="BN280" s="48">
        <f t="shared" si="241"/>
        <v>1.6348892810429932E-3</v>
      </c>
      <c r="BO280" s="48">
        <f t="shared" si="242"/>
        <v>4.9161587439014443E-3</v>
      </c>
      <c r="BP280" s="99">
        <f t="shared" si="243"/>
        <v>3.1743281124010735E-4</v>
      </c>
      <c r="BQ280" s="48">
        <f t="shared" si="244"/>
        <v>1.669885246818346E-3</v>
      </c>
      <c r="BR280" s="40">
        <f t="shared" si="245"/>
        <v>0.27447396263207618</v>
      </c>
      <c r="BS280" s="31">
        <v>1.5</v>
      </c>
      <c r="BT280" s="31">
        <v>1.5</v>
      </c>
      <c r="BU280" s="43">
        <v>0.125</v>
      </c>
      <c r="BV280" s="44">
        <v>0.42</v>
      </c>
      <c r="BW280" s="43">
        <v>2.3E-2</v>
      </c>
      <c r="BX280" s="44">
        <v>0.2</v>
      </c>
      <c r="BY280" s="40">
        <v>17.493153787299182</v>
      </c>
      <c r="BZ280" s="40">
        <v>0.52</v>
      </c>
      <c r="CA280" s="40">
        <v>0.65</v>
      </c>
      <c r="CB280" s="45">
        <v>1</v>
      </c>
      <c r="CC280" s="41">
        <v>0.8239317214464168</v>
      </c>
      <c r="CD280" s="41">
        <v>23.031994076959837</v>
      </c>
      <c r="CE280" s="41">
        <v>76.144074201593753</v>
      </c>
      <c r="CF280" s="125">
        <v>1.1000000000000001</v>
      </c>
      <c r="CG280" s="40">
        <f t="shared" si="259"/>
        <v>2.5276743866833651E-2</v>
      </c>
      <c r="CH280" s="40">
        <f t="shared" si="217"/>
        <v>2.5276743866833651E-2</v>
      </c>
      <c r="CI280" s="99">
        <f t="shared" si="260"/>
        <v>2.0826311086760409E-4</v>
      </c>
      <c r="CJ280" s="100">
        <f t="shared" si="261"/>
        <v>5.8217381502574349E-3</v>
      </c>
      <c r="CK280" s="100">
        <f t="shared" si="262"/>
        <v>1.9246742605708612E-2</v>
      </c>
      <c r="CL280" s="101">
        <f t="shared" si="246"/>
        <v>9.8635540974562432E-4</v>
      </c>
      <c r="CM280" s="100">
        <f t="shared" si="247"/>
        <v>5.1574892694566917E-3</v>
      </c>
      <c r="CN280" s="100">
        <f t="shared" si="248"/>
        <v>8.7326072253861523E-3</v>
      </c>
      <c r="CO280" s="100">
        <f t="shared" si="249"/>
        <v>2.8870113908562919E-2</v>
      </c>
      <c r="CP280" s="101">
        <f t="shared" si="250"/>
        <v>1.4795331146184366E-3</v>
      </c>
      <c r="CQ280" s="100">
        <f t="shared" si="251"/>
        <v>7.736233904185038E-3</v>
      </c>
      <c r="CR280" s="99">
        <f t="shared" si="252"/>
        <v>0.23855925798406252</v>
      </c>
      <c r="CS280" s="31">
        <v>1.5</v>
      </c>
      <c r="CT280" s="31">
        <v>1.5</v>
      </c>
      <c r="CU280" s="43">
        <v>0.1</v>
      </c>
      <c r="CV280" s="44">
        <v>0.39</v>
      </c>
      <c r="CW280" s="43">
        <v>2.1000000000000001E-2</v>
      </c>
      <c r="CX280" s="44">
        <v>0.15</v>
      </c>
    </row>
    <row r="281" spans="1:102" x14ac:dyDescent="0.25">
      <c r="A281" s="31">
        <v>267</v>
      </c>
      <c r="B281" s="83" t="s">
        <v>254</v>
      </c>
      <c r="C281" s="31">
        <v>50</v>
      </c>
      <c r="D281" s="31" t="s">
        <v>36</v>
      </c>
      <c r="E281" s="31" t="s">
        <v>6</v>
      </c>
      <c r="F281" s="31" t="s">
        <v>0</v>
      </c>
      <c r="G281" s="31" t="str">
        <f t="shared" si="253"/>
        <v>Kommunal 50 Y 4S D</v>
      </c>
      <c r="H281" s="48">
        <f t="shared" si="220"/>
        <v>4.9981080974957535E-2</v>
      </c>
      <c r="I281" s="40">
        <f t="shared" si="221"/>
        <v>7.6909551453253899E-2</v>
      </c>
      <c r="J281" s="99">
        <f t="shared" si="222"/>
        <v>3.5822587016301829E-4</v>
      </c>
      <c r="K281" s="48">
        <f t="shared" si="223"/>
        <v>1.2038165097141035E-2</v>
      </c>
      <c r="L281" s="48">
        <f t="shared" si="224"/>
        <v>6.451316048594985E-2</v>
      </c>
      <c r="M281" s="48">
        <f t="shared" si="254"/>
        <v>0.38120706122430975</v>
      </c>
      <c r="N281" s="99">
        <f t="shared" si="225"/>
        <v>2.3177604547492546E-3</v>
      </c>
      <c r="O281" s="48">
        <f t="shared" si="226"/>
        <v>1.3164733546628206E-2</v>
      </c>
      <c r="P281" s="48">
        <f t="shared" si="227"/>
        <v>1.8057247645711552E-2</v>
      </c>
      <c r="Q281" s="48">
        <f t="shared" si="228"/>
        <v>9.6769740728924775E-2</v>
      </c>
      <c r="R281" s="40">
        <f t="shared" si="255"/>
        <v>2.6684494285701681</v>
      </c>
      <c r="S281" s="99">
        <f t="shared" si="229"/>
        <v>3.4766406821238821E-3</v>
      </c>
      <c r="T281" s="48">
        <f t="shared" si="230"/>
        <v>1.9747100319942312E-2</v>
      </c>
      <c r="U281" s="40">
        <v>0.75827070000000008</v>
      </c>
      <c r="V281" s="40">
        <v>1.2</v>
      </c>
      <c r="W281" s="45">
        <v>0</v>
      </c>
      <c r="X281" s="40">
        <v>2.3339504866624723</v>
      </c>
      <c r="Y281" s="42">
        <v>0</v>
      </c>
      <c r="Z281" s="42">
        <v>10.880714398771122</v>
      </c>
      <c r="AA281" s="42">
        <v>89.119285601228881</v>
      </c>
      <c r="AB281" s="42">
        <v>8.0909090909090917</v>
      </c>
      <c r="AC281" s="125">
        <v>1.1000000000000001</v>
      </c>
      <c r="AD281" s="94">
        <f t="shared" si="256"/>
        <v>2.0187008998865514E-2</v>
      </c>
      <c r="AE281" s="94">
        <f t="shared" si="210"/>
        <v>4.7115479477161874E-2</v>
      </c>
      <c r="AF281" s="96">
        <f t="shared" si="211"/>
        <v>0</v>
      </c>
      <c r="AG281" s="95">
        <f t="shared" si="218"/>
        <v>5.1265007595216053E-3</v>
      </c>
      <c r="AH281" s="94">
        <f t="shared" si="219"/>
        <v>4.198897871764027E-2</v>
      </c>
      <c r="AI281" s="94">
        <f t="shared" si="213"/>
        <v>0.38120706122430975</v>
      </c>
      <c r="AJ281" s="96">
        <f t="shared" si="231"/>
        <v>1.1197831708435588E-3</v>
      </c>
      <c r="AK281" s="95">
        <f t="shared" si="232"/>
        <v>6.893987445959285E-3</v>
      </c>
      <c r="AL281" s="95">
        <f t="shared" si="233"/>
        <v>7.6897511392824084E-3</v>
      </c>
      <c r="AM281" s="94">
        <f t="shared" si="234"/>
        <v>6.2983468076460408E-2</v>
      </c>
      <c r="AN281" s="93">
        <f t="shared" si="235"/>
        <v>2.6684494285701681</v>
      </c>
      <c r="AO281" s="96">
        <f t="shared" si="236"/>
        <v>1.679674756265338E-3</v>
      </c>
      <c r="AP281" s="95">
        <f t="shared" si="237"/>
        <v>1.0340981168938928E-2</v>
      </c>
      <c r="AQ281" s="93">
        <f t="shared" si="238"/>
        <v>0.10880714398771123</v>
      </c>
      <c r="AR281" s="31">
        <v>1.5</v>
      </c>
      <c r="AS281" s="31">
        <v>1.5</v>
      </c>
      <c r="AT281" s="31">
        <v>7</v>
      </c>
      <c r="AU281" s="43">
        <v>7.0999999999999994E-2</v>
      </c>
      <c r="AV281" s="44">
        <v>0.28000000000000003</v>
      </c>
      <c r="AW281" s="43">
        <v>1.7999999999999999E-2</v>
      </c>
      <c r="AX281" s="44">
        <v>0.13</v>
      </c>
      <c r="AY281" s="40">
        <v>7.0817582490074749</v>
      </c>
      <c r="AZ281" s="41">
        <v>0.5</v>
      </c>
      <c r="BA281" s="40">
        <v>0.72</v>
      </c>
      <c r="BB281" s="45">
        <v>1</v>
      </c>
      <c r="BC281" s="41">
        <v>3.3197225366043686</v>
      </c>
      <c r="BD281" s="41">
        <v>24.127673726603245</v>
      </c>
      <c r="BE281" s="41">
        <v>72.552603736792392</v>
      </c>
      <c r="BF281" s="125">
        <v>1.1000000000000001</v>
      </c>
      <c r="BG281" s="48">
        <f t="shared" si="257"/>
        <v>4.5173281092583725E-3</v>
      </c>
      <c r="BH281" s="48">
        <f t="shared" si="214"/>
        <v>4.5173281092583725E-3</v>
      </c>
      <c r="BI281" s="99">
        <f t="shared" si="215"/>
        <v>1.4996275929541421E-4</v>
      </c>
      <c r="BJ281" s="99">
        <f t="shared" si="258"/>
        <v>1.0899261873619955E-3</v>
      </c>
      <c r="BK281" s="48">
        <f t="shared" si="216"/>
        <v>3.2774391626009631E-3</v>
      </c>
      <c r="BL281" s="99">
        <f t="shared" si="239"/>
        <v>2.1162187416007158E-4</v>
      </c>
      <c r="BM281" s="48">
        <f t="shared" si="240"/>
        <v>1.1132568312122307E-3</v>
      </c>
      <c r="BN281" s="48">
        <f t="shared" si="241"/>
        <v>1.6348892810429932E-3</v>
      </c>
      <c r="BO281" s="48">
        <f t="shared" si="242"/>
        <v>4.9161587439014443E-3</v>
      </c>
      <c r="BP281" s="99">
        <f t="shared" si="243"/>
        <v>3.1743281124010735E-4</v>
      </c>
      <c r="BQ281" s="48">
        <f t="shared" si="244"/>
        <v>1.669885246818346E-3</v>
      </c>
      <c r="BR281" s="40">
        <f t="shared" si="245"/>
        <v>0.27447396263207618</v>
      </c>
      <c r="BS281" s="31">
        <v>1.5</v>
      </c>
      <c r="BT281" s="31">
        <v>1.5</v>
      </c>
      <c r="BU281" s="43">
        <v>0.125</v>
      </c>
      <c r="BV281" s="44">
        <v>0.42</v>
      </c>
      <c r="BW281" s="43">
        <v>2.3E-2</v>
      </c>
      <c r="BX281" s="44">
        <v>0.2</v>
      </c>
      <c r="BY281" s="40">
        <v>17.493153787299182</v>
      </c>
      <c r="BZ281" s="40">
        <v>0.52</v>
      </c>
      <c r="CA281" s="40">
        <v>0.65</v>
      </c>
      <c r="CB281" s="45">
        <v>1</v>
      </c>
      <c r="CC281" s="41">
        <v>0.8239317214464168</v>
      </c>
      <c r="CD281" s="41">
        <v>23.031994076959837</v>
      </c>
      <c r="CE281" s="41">
        <v>76.144074201593753</v>
      </c>
      <c r="CF281" s="125">
        <v>1.1000000000000001</v>
      </c>
      <c r="CG281" s="40">
        <f t="shared" si="259"/>
        <v>2.5276743866833651E-2</v>
      </c>
      <c r="CH281" s="40">
        <f t="shared" si="217"/>
        <v>2.5276743866833651E-2</v>
      </c>
      <c r="CI281" s="99">
        <f t="shared" si="260"/>
        <v>2.0826311086760409E-4</v>
      </c>
      <c r="CJ281" s="100">
        <f t="shared" si="261"/>
        <v>5.8217381502574349E-3</v>
      </c>
      <c r="CK281" s="100">
        <f t="shared" si="262"/>
        <v>1.9246742605708612E-2</v>
      </c>
      <c r="CL281" s="101">
        <f t="shared" si="246"/>
        <v>9.8635540974562432E-4</v>
      </c>
      <c r="CM281" s="100">
        <f t="shared" si="247"/>
        <v>5.1574892694566917E-3</v>
      </c>
      <c r="CN281" s="100">
        <f t="shared" si="248"/>
        <v>8.7326072253861523E-3</v>
      </c>
      <c r="CO281" s="100">
        <f t="shared" si="249"/>
        <v>2.8870113908562919E-2</v>
      </c>
      <c r="CP281" s="101">
        <f t="shared" si="250"/>
        <v>1.4795331146184366E-3</v>
      </c>
      <c r="CQ281" s="100">
        <f t="shared" si="251"/>
        <v>7.736233904185038E-3</v>
      </c>
      <c r="CR281" s="99">
        <f t="shared" si="252"/>
        <v>0.23855925798406252</v>
      </c>
      <c r="CS281" s="31">
        <v>1.5</v>
      </c>
      <c r="CT281" s="31">
        <v>1.5</v>
      </c>
      <c r="CU281" s="43">
        <v>0.1</v>
      </c>
      <c r="CV281" s="44">
        <v>0.39</v>
      </c>
      <c r="CW281" s="43">
        <v>2.1000000000000001E-2</v>
      </c>
      <c r="CX281" s="44">
        <v>0.15</v>
      </c>
    </row>
    <row r="282" spans="1:102" x14ac:dyDescent="0.25">
      <c r="A282" s="31">
        <v>268</v>
      </c>
      <c r="B282" s="83" t="s">
        <v>254</v>
      </c>
      <c r="C282" s="31">
        <v>50</v>
      </c>
      <c r="D282" s="31" t="s">
        <v>36</v>
      </c>
      <c r="E282" s="31" t="s">
        <v>6</v>
      </c>
      <c r="F282" s="31" t="s">
        <v>62</v>
      </c>
      <c r="G282" s="31" t="str">
        <f t="shared" si="253"/>
        <v>Kommunal 50 Y 4S EE</v>
      </c>
      <c r="H282" s="48">
        <f t="shared" si="220"/>
        <v>8.3499564581126284E-2</v>
      </c>
      <c r="I282" s="40">
        <f t="shared" si="221"/>
        <v>0.10515389039468384</v>
      </c>
      <c r="J282" s="99">
        <f t="shared" si="222"/>
        <v>3.5822587016301829E-4</v>
      </c>
      <c r="K282" s="48">
        <f t="shared" si="223"/>
        <v>1.5111350951178921E-2</v>
      </c>
      <c r="L282" s="48">
        <f t="shared" si="224"/>
        <v>8.9684313573341917E-2</v>
      </c>
      <c r="M282" s="48">
        <f t="shared" si="254"/>
        <v>0.3212708048371547</v>
      </c>
      <c r="N282" s="99">
        <f t="shared" si="225"/>
        <v>2.9890374059590016E-3</v>
      </c>
      <c r="O282" s="48">
        <f t="shared" si="226"/>
        <v>1.7297475487119782E-2</v>
      </c>
      <c r="P282" s="48">
        <f t="shared" si="227"/>
        <v>2.2667026426768381E-2</v>
      </c>
      <c r="Q282" s="48">
        <f t="shared" si="228"/>
        <v>0.13452647036001286</v>
      </c>
      <c r="R282" s="40">
        <f t="shared" si="255"/>
        <v>2.2488956338600827</v>
      </c>
      <c r="S282" s="99">
        <f t="shared" si="229"/>
        <v>4.483556108938502E-3</v>
      </c>
      <c r="T282" s="48">
        <f t="shared" si="230"/>
        <v>2.5946213230679676E-2</v>
      </c>
      <c r="U282" s="40">
        <v>2.5130159999999999</v>
      </c>
      <c r="V282" s="40">
        <v>1.2</v>
      </c>
      <c r="W282" s="41">
        <v>0.1</v>
      </c>
      <c r="X282" s="40">
        <v>1.4032050496735922</v>
      </c>
      <c r="Y282" s="42">
        <v>0</v>
      </c>
      <c r="Z282" s="42">
        <v>10.88071439877112</v>
      </c>
      <c r="AA282" s="42">
        <v>89.119285601228881</v>
      </c>
      <c r="AB282" s="42">
        <v>4.2631578947368434</v>
      </c>
      <c r="AC282" s="125">
        <v>1.1000000000000001</v>
      </c>
      <c r="AD282" s="94">
        <f t="shared" si="256"/>
        <v>5.3705492605034252E-2</v>
      </c>
      <c r="AE282" s="94">
        <f t="shared" si="210"/>
        <v>7.5359818418591823E-2</v>
      </c>
      <c r="AF282" s="96">
        <f t="shared" si="211"/>
        <v>0</v>
      </c>
      <c r="AG282" s="95">
        <f t="shared" si="218"/>
        <v>8.1996866135594908E-3</v>
      </c>
      <c r="AH282" s="94">
        <f t="shared" si="219"/>
        <v>6.716013180503233E-2</v>
      </c>
      <c r="AI282" s="94">
        <f t="shared" si="213"/>
        <v>0.3212708048371547</v>
      </c>
      <c r="AJ282" s="96">
        <f t="shared" si="231"/>
        <v>1.7910601220533055E-3</v>
      </c>
      <c r="AK282" s="95">
        <f t="shared" si="232"/>
        <v>1.102672938645086E-2</v>
      </c>
      <c r="AL282" s="95">
        <f t="shared" si="233"/>
        <v>1.2299529920339235E-2</v>
      </c>
      <c r="AM282" s="94">
        <f t="shared" si="234"/>
        <v>0.1007401977075485</v>
      </c>
      <c r="AN282" s="93">
        <f t="shared" si="235"/>
        <v>2.2488956338600827</v>
      </c>
      <c r="AO282" s="96">
        <f t="shared" si="236"/>
        <v>2.6865901830799583E-3</v>
      </c>
      <c r="AP282" s="95">
        <f t="shared" si="237"/>
        <v>1.6540094079676292E-2</v>
      </c>
      <c r="AQ282" s="93">
        <f t="shared" si="238"/>
        <v>0.1088071439877112</v>
      </c>
      <c r="AR282" s="31">
        <v>1.5</v>
      </c>
      <c r="AS282" s="31">
        <v>1.5</v>
      </c>
      <c r="AT282" s="31">
        <v>7</v>
      </c>
      <c r="AU282" s="43">
        <v>7.0999999999999994E-2</v>
      </c>
      <c r="AV282" s="44">
        <v>0.28000000000000003</v>
      </c>
      <c r="AW282" s="43">
        <v>1.7999999999999999E-2</v>
      </c>
      <c r="AX282" s="44">
        <v>0.13</v>
      </c>
      <c r="AY282" s="40">
        <v>7.0817582490074749</v>
      </c>
      <c r="AZ282" s="41">
        <v>0.5</v>
      </c>
      <c r="BA282" s="40">
        <v>0.72</v>
      </c>
      <c r="BB282" s="45">
        <v>1</v>
      </c>
      <c r="BC282" s="41">
        <v>3.3197225366043686</v>
      </c>
      <c r="BD282" s="41">
        <v>24.127673726603245</v>
      </c>
      <c r="BE282" s="41">
        <v>72.552603736792392</v>
      </c>
      <c r="BF282" s="125">
        <v>1.1000000000000001</v>
      </c>
      <c r="BG282" s="48">
        <f t="shared" si="257"/>
        <v>4.5173281092583725E-3</v>
      </c>
      <c r="BH282" s="48">
        <f t="shared" si="214"/>
        <v>4.5173281092583725E-3</v>
      </c>
      <c r="BI282" s="99">
        <f t="shared" si="215"/>
        <v>1.4996275929541421E-4</v>
      </c>
      <c r="BJ282" s="99">
        <f t="shared" si="258"/>
        <v>1.0899261873619955E-3</v>
      </c>
      <c r="BK282" s="48">
        <f t="shared" si="216"/>
        <v>3.2774391626009631E-3</v>
      </c>
      <c r="BL282" s="99">
        <f t="shared" si="239"/>
        <v>2.1162187416007158E-4</v>
      </c>
      <c r="BM282" s="48">
        <f t="shared" si="240"/>
        <v>1.1132568312122307E-3</v>
      </c>
      <c r="BN282" s="48">
        <f t="shared" si="241"/>
        <v>1.6348892810429932E-3</v>
      </c>
      <c r="BO282" s="48">
        <f t="shared" si="242"/>
        <v>4.9161587439014443E-3</v>
      </c>
      <c r="BP282" s="99">
        <f t="shared" si="243"/>
        <v>3.1743281124010735E-4</v>
      </c>
      <c r="BQ282" s="48">
        <f t="shared" si="244"/>
        <v>1.669885246818346E-3</v>
      </c>
      <c r="BR282" s="40">
        <f t="shared" si="245"/>
        <v>0.27447396263207618</v>
      </c>
      <c r="BS282" s="31">
        <v>1.5</v>
      </c>
      <c r="BT282" s="31">
        <v>1.5</v>
      </c>
      <c r="BU282" s="43">
        <v>0.125</v>
      </c>
      <c r="BV282" s="44">
        <v>0.42</v>
      </c>
      <c r="BW282" s="43">
        <v>2.3E-2</v>
      </c>
      <c r="BX282" s="44">
        <v>0.2</v>
      </c>
      <c r="BY282" s="40">
        <v>17.493153787299182</v>
      </c>
      <c r="BZ282" s="40">
        <v>0.52</v>
      </c>
      <c r="CA282" s="40">
        <v>0.65</v>
      </c>
      <c r="CB282" s="45">
        <v>1</v>
      </c>
      <c r="CC282" s="41">
        <v>0.8239317214464168</v>
      </c>
      <c r="CD282" s="41">
        <v>23.031994076959837</v>
      </c>
      <c r="CE282" s="41">
        <v>76.144074201593753</v>
      </c>
      <c r="CF282" s="125">
        <v>1.1000000000000001</v>
      </c>
      <c r="CG282" s="40">
        <f t="shared" si="259"/>
        <v>2.5276743866833651E-2</v>
      </c>
      <c r="CH282" s="40">
        <f t="shared" si="217"/>
        <v>2.5276743866833651E-2</v>
      </c>
      <c r="CI282" s="99">
        <f t="shared" si="260"/>
        <v>2.0826311086760409E-4</v>
      </c>
      <c r="CJ282" s="100">
        <f t="shared" si="261"/>
        <v>5.8217381502574349E-3</v>
      </c>
      <c r="CK282" s="100">
        <f t="shared" si="262"/>
        <v>1.9246742605708612E-2</v>
      </c>
      <c r="CL282" s="101">
        <f t="shared" si="246"/>
        <v>9.8635540974562432E-4</v>
      </c>
      <c r="CM282" s="100">
        <f t="shared" si="247"/>
        <v>5.1574892694566917E-3</v>
      </c>
      <c r="CN282" s="100">
        <f t="shared" si="248"/>
        <v>8.7326072253861523E-3</v>
      </c>
      <c r="CO282" s="100">
        <f t="shared" si="249"/>
        <v>2.8870113908562919E-2</v>
      </c>
      <c r="CP282" s="101">
        <f t="shared" si="250"/>
        <v>1.4795331146184366E-3</v>
      </c>
      <c r="CQ282" s="100">
        <f t="shared" si="251"/>
        <v>7.736233904185038E-3</v>
      </c>
      <c r="CR282" s="99">
        <f t="shared" si="252"/>
        <v>0.23855925798406252</v>
      </c>
      <c r="CS282" s="31">
        <v>1.5</v>
      </c>
      <c r="CT282" s="31">
        <v>1.5</v>
      </c>
      <c r="CU282" s="43">
        <v>0.1</v>
      </c>
      <c r="CV282" s="44">
        <v>0.39</v>
      </c>
      <c r="CW282" s="43">
        <v>2.1000000000000001E-2</v>
      </c>
      <c r="CX282" s="44">
        <v>0.15</v>
      </c>
    </row>
    <row r="283" spans="1:102" x14ac:dyDescent="0.25">
      <c r="A283" s="31">
        <v>269</v>
      </c>
      <c r="B283" s="83" t="s">
        <v>254</v>
      </c>
      <c r="C283" s="31">
        <v>50</v>
      </c>
      <c r="D283" s="31" t="s">
        <v>36</v>
      </c>
      <c r="E283" s="31" t="s">
        <v>6</v>
      </c>
      <c r="F283" s="31" t="s">
        <v>63</v>
      </c>
      <c r="G283" s="31" t="str">
        <f t="shared" si="253"/>
        <v>Kommunal 50 Y 4S ES</v>
      </c>
      <c r="H283" s="48">
        <f t="shared" si="220"/>
        <v>5.9498811819090801E-2</v>
      </c>
      <c r="I283" s="40">
        <f t="shared" si="221"/>
        <v>6.8902959778155637E-2</v>
      </c>
      <c r="J283" s="99">
        <f t="shared" si="222"/>
        <v>3.5822587016301829E-4</v>
      </c>
      <c r="K283" s="48">
        <f t="shared" si="223"/>
        <v>1.1166990723897808E-2</v>
      </c>
      <c r="L283" s="48">
        <f t="shared" si="224"/>
        <v>5.7377743184094811E-2</v>
      </c>
      <c r="M283" s="48">
        <f t="shared" si="254"/>
        <v>0.22161703087836043</v>
      </c>
      <c r="N283" s="99">
        <f t="shared" si="225"/>
        <v>2.1274695628155952E-3</v>
      </c>
      <c r="O283" s="48">
        <f t="shared" si="226"/>
        <v>1.199320047287895E-2</v>
      </c>
      <c r="P283" s="48">
        <f t="shared" si="227"/>
        <v>1.6750486085846714E-2</v>
      </c>
      <c r="Q283" s="48">
        <f t="shared" si="228"/>
        <v>8.606661477614222E-2</v>
      </c>
      <c r="R283" s="40">
        <f t="shared" si="255"/>
        <v>1.551319216148523</v>
      </c>
      <c r="S283" s="99">
        <f t="shared" si="229"/>
        <v>3.1912043442233924E-3</v>
      </c>
      <c r="T283" s="48">
        <f t="shared" si="230"/>
        <v>1.7989800709318424E-2</v>
      </c>
      <c r="U283" s="40">
        <v>1.3899600000000003</v>
      </c>
      <c r="V283" s="40">
        <v>1.2</v>
      </c>
      <c r="W283" s="41">
        <v>0.1</v>
      </c>
      <c r="X283" s="40">
        <v>1.316587454014728</v>
      </c>
      <c r="Y283" s="42">
        <v>0</v>
      </c>
      <c r="Z283" s="42">
        <v>10.880714398771122</v>
      </c>
      <c r="AA283" s="42">
        <v>89.119285601228881</v>
      </c>
      <c r="AB283" s="42">
        <v>5.6666666666666661</v>
      </c>
      <c r="AC283" s="125">
        <v>1.1000000000000001</v>
      </c>
      <c r="AD283" s="94">
        <f t="shared" si="256"/>
        <v>2.9704739842998779E-2</v>
      </c>
      <c r="AE283" s="94">
        <f t="shared" si="210"/>
        <v>3.9108887802063612E-2</v>
      </c>
      <c r="AF283" s="96">
        <f t="shared" si="211"/>
        <v>0</v>
      </c>
      <c r="AG283" s="95">
        <f t="shared" si="218"/>
        <v>4.2553263862783785E-3</v>
      </c>
      <c r="AH283" s="94">
        <f t="shared" si="219"/>
        <v>3.4853561415785238E-2</v>
      </c>
      <c r="AI283" s="94">
        <f t="shared" si="213"/>
        <v>0.22161703087836043</v>
      </c>
      <c r="AJ283" s="96">
        <f t="shared" si="231"/>
        <v>9.2949227890989916E-4</v>
      </c>
      <c r="AK283" s="95">
        <f t="shared" si="232"/>
        <v>5.7224543722100268E-3</v>
      </c>
      <c r="AL283" s="95">
        <f t="shared" si="233"/>
        <v>6.3829895794175681E-3</v>
      </c>
      <c r="AM283" s="94">
        <f t="shared" si="234"/>
        <v>5.2280342123677853E-2</v>
      </c>
      <c r="AN283" s="93">
        <f t="shared" si="235"/>
        <v>1.551319216148523</v>
      </c>
      <c r="AO283" s="96">
        <f t="shared" si="236"/>
        <v>1.3942384183648485E-3</v>
      </c>
      <c r="AP283" s="95">
        <f t="shared" si="237"/>
        <v>8.5836815583150393E-3</v>
      </c>
      <c r="AQ283" s="93">
        <f t="shared" si="238"/>
        <v>0.10880714398771123</v>
      </c>
      <c r="AR283" s="31">
        <v>1.5</v>
      </c>
      <c r="AS283" s="31">
        <v>1.5</v>
      </c>
      <c r="AT283" s="31">
        <v>7</v>
      </c>
      <c r="AU283" s="43">
        <v>7.0999999999999994E-2</v>
      </c>
      <c r="AV283" s="44">
        <v>0.28000000000000003</v>
      </c>
      <c r="AW283" s="43">
        <v>1.7999999999999999E-2</v>
      </c>
      <c r="AX283" s="44">
        <v>0.13</v>
      </c>
      <c r="AY283" s="40">
        <v>7.0817582490074749</v>
      </c>
      <c r="AZ283" s="41">
        <v>0.5</v>
      </c>
      <c r="BA283" s="40">
        <v>0.72</v>
      </c>
      <c r="BB283" s="45">
        <v>1</v>
      </c>
      <c r="BC283" s="41">
        <v>3.3197225366043686</v>
      </c>
      <c r="BD283" s="41">
        <v>24.127673726603245</v>
      </c>
      <c r="BE283" s="41">
        <v>72.552603736792392</v>
      </c>
      <c r="BF283" s="125">
        <v>1.1000000000000001</v>
      </c>
      <c r="BG283" s="48">
        <f t="shared" si="257"/>
        <v>4.5173281092583725E-3</v>
      </c>
      <c r="BH283" s="48">
        <f t="shared" si="214"/>
        <v>4.5173281092583725E-3</v>
      </c>
      <c r="BI283" s="99">
        <f t="shared" si="215"/>
        <v>1.4996275929541421E-4</v>
      </c>
      <c r="BJ283" s="99">
        <f t="shared" si="258"/>
        <v>1.0899261873619955E-3</v>
      </c>
      <c r="BK283" s="48">
        <f t="shared" si="216"/>
        <v>3.2774391626009631E-3</v>
      </c>
      <c r="BL283" s="99">
        <f t="shared" si="239"/>
        <v>2.1162187416007158E-4</v>
      </c>
      <c r="BM283" s="48">
        <f t="shared" si="240"/>
        <v>1.1132568312122307E-3</v>
      </c>
      <c r="BN283" s="48">
        <f t="shared" si="241"/>
        <v>1.6348892810429932E-3</v>
      </c>
      <c r="BO283" s="48">
        <f t="shared" si="242"/>
        <v>4.9161587439014443E-3</v>
      </c>
      <c r="BP283" s="99">
        <f t="shared" si="243"/>
        <v>3.1743281124010735E-4</v>
      </c>
      <c r="BQ283" s="48">
        <f t="shared" si="244"/>
        <v>1.669885246818346E-3</v>
      </c>
      <c r="BR283" s="40">
        <f t="shared" si="245"/>
        <v>0.27447396263207618</v>
      </c>
      <c r="BS283" s="31">
        <v>1.5</v>
      </c>
      <c r="BT283" s="31">
        <v>1.5</v>
      </c>
      <c r="BU283" s="43">
        <v>0.125</v>
      </c>
      <c r="BV283" s="44">
        <v>0.42</v>
      </c>
      <c r="BW283" s="43">
        <v>2.3E-2</v>
      </c>
      <c r="BX283" s="44">
        <v>0.2</v>
      </c>
      <c r="BY283" s="40">
        <v>17.493153787299182</v>
      </c>
      <c r="BZ283" s="40">
        <v>0.52</v>
      </c>
      <c r="CA283" s="40">
        <v>0.65</v>
      </c>
      <c r="CB283" s="45">
        <v>1</v>
      </c>
      <c r="CC283" s="41">
        <v>0.8239317214464168</v>
      </c>
      <c r="CD283" s="41">
        <v>23.031994076959837</v>
      </c>
      <c r="CE283" s="41">
        <v>76.144074201593753</v>
      </c>
      <c r="CF283" s="125">
        <v>1.1000000000000001</v>
      </c>
      <c r="CG283" s="40">
        <f t="shared" si="259"/>
        <v>2.5276743866833651E-2</v>
      </c>
      <c r="CH283" s="40">
        <f t="shared" si="217"/>
        <v>2.5276743866833651E-2</v>
      </c>
      <c r="CI283" s="99">
        <f t="shared" si="260"/>
        <v>2.0826311086760409E-4</v>
      </c>
      <c r="CJ283" s="100">
        <f t="shared" si="261"/>
        <v>5.8217381502574349E-3</v>
      </c>
      <c r="CK283" s="100">
        <f t="shared" si="262"/>
        <v>1.9246742605708612E-2</v>
      </c>
      <c r="CL283" s="101">
        <f t="shared" si="246"/>
        <v>9.8635540974562432E-4</v>
      </c>
      <c r="CM283" s="100">
        <f t="shared" si="247"/>
        <v>5.1574892694566917E-3</v>
      </c>
      <c r="CN283" s="100">
        <f t="shared" si="248"/>
        <v>8.7326072253861523E-3</v>
      </c>
      <c r="CO283" s="100">
        <f t="shared" si="249"/>
        <v>2.8870113908562919E-2</v>
      </c>
      <c r="CP283" s="101">
        <f t="shared" si="250"/>
        <v>1.4795331146184366E-3</v>
      </c>
      <c r="CQ283" s="100">
        <f t="shared" si="251"/>
        <v>7.736233904185038E-3</v>
      </c>
      <c r="CR283" s="99">
        <f t="shared" si="252"/>
        <v>0.23855925798406252</v>
      </c>
      <c r="CS283" s="31">
        <v>1.5</v>
      </c>
      <c r="CT283" s="31">
        <v>1.5</v>
      </c>
      <c r="CU283" s="43">
        <v>0.1</v>
      </c>
      <c r="CV283" s="44">
        <v>0.39</v>
      </c>
      <c r="CW283" s="43">
        <v>2.1000000000000001E-2</v>
      </c>
      <c r="CX283" s="44">
        <v>0.15</v>
      </c>
    </row>
    <row r="284" spans="1:102" x14ac:dyDescent="0.25">
      <c r="A284" s="31">
        <v>270</v>
      </c>
      <c r="B284" s="83" t="s">
        <v>254</v>
      </c>
      <c r="C284" s="31">
        <v>50</v>
      </c>
      <c r="D284" s="31" t="s">
        <v>36</v>
      </c>
      <c r="E284" s="31" t="s">
        <v>6</v>
      </c>
      <c r="F284" s="31" t="s">
        <v>64</v>
      </c>
      <c r="G284" s="31" t="str">
        <f t="shared" si="253"/>
        <v>Kommunal 50 Y 4S F</v>
      </c>
      <c r="H284" s="48">
        <f t="shared" si="220"/>
        <v>4.3436859111594353E-2</v>
      </c>
      <c r="I284" s="40">
        <f t="shared" si="221"/>
        <v>4.7808883096135374E-2</v>
      </c>
      <c r="J284" s="99">
        <f t="shared" si="222"/>
        <v>5.0570266967155499E-4</v>
      </c>
      <c r="K284" s="48">
        <f t="shared" si="223"/>
        <v>1.0044788551811719E-2</v>
      </c>
      <c r="L284" s="48">
        <f t="shared" si="224"/>
        <v>3.7258391874652103E-2</v>
      </c>
      <c r="M284" s="48">
        <f t="shared" si="254"/>
        <v>7.2059244480173396E-2</v>
      </c>
      <c r="N284" s="99">
        <f t="shared" si="225"/>
        <v>1.685644885027514E-3</v>
      </c>
      <c r="O284" s="48">
        <f t="shared" si="226"/>
        <v>9.0634681944672911E-3</v>
      </c>
      <c r="P284" s="48">
        <f t="shared" si="227"/>
        <v>1.5067182827717577E-2</v>
      </c>
      <c r="Q284" s="48">
        <f t="shared" si="228"/>
        <v>5.5887587811978147E-2</v>
      </c>
      <c r="R284" s="40">
        <f t="shared" si="255"/>
        <v>0.50441471136121374</v>
      </c>
      <c r="S284" s="99">
        <f t="shared" si="229"/>
        <v>2.5284673275412705E-3</v>
      </c>
      <c r="T284" s="48">
        <f t="shared" si="230"/>
        <v>1.3595202291700937E-2</v>
      </c>
      <c r="U284" s="40">
        <v>0.18770400000000001</v>
      </c>
      <c r="V284" s="40">
        <v>1.45</v>
      </c>
      <c r="W284" s="41">
        <v>0.5</v>
      </c>
      <c r="X284" s="40">
        <v>1.3204641354524835</v>
      </c>
      <c r="Y284" s="42">
        <v>0.81864194148809843</v>
      </c>
      <c r="Z284" s="42">
        <v>17.391934854683893</v>
      </c>
      <c r="AA284" s="42">
        <v>81.789423203828008</v>
      </c>
      <c r="AB284" s="42">
        <v>4.0000000000000009</v>
      </c>
      <c r="AC284" s="125">
        <v>1.1000000000000001</v>
      </c>
      <c r="AD284" s="94">
        <f t="shared" si="256"/>
        <v>1.3642787135502328E-2</v>
      </c>
      <c r="AE284" s="94">
        <f t="shared" si="210"/>
        <v>1.8014811120043345E-2</v>
      </c>
      <c r="AF284" s="96">
        <f t="shared" si="211"/>
        <v>1.474767995085367E-4</v>
      </c>
      <c r="AG284" s="95">
        <f t="shared" si="218"/>
        <v>3.1331242141922882E-3</v>
      </c>
      <c r="AH284" s="94">
        <f t="shared" si="219"/>
        <v>1.4734210106342521E-2</v>
      </c>
      <c r="AI284" s="94">
        <f t="shared" si="213"/>
        <v>7.2059244480173396E-2</v>
      </c>
      <c r="AJ284" s="96">
        <f t="shared" si="231"/>
        <v>4.876676011218178E-4</v>
      </c>
      <c r="AK284" s="95">
        <f t="shared" si="232"/>
        <v>2.7927220937983685E-3</v>
      </c>
      <c r="AL284" s="95">
        <f t="shared" si="233"/>
        <v>4.6996863212884323E-3</v>
      </c>
      <c r="AM284" s="94">
        <f t="shared" si="234"/>
        <v>2.2101315159513781E-2</v>
      </c>
      <c r="AN284" s="93">
        <f t="shared" si="235"/>
        <v>0.50441471136121374</v>
      </c>
      <c r="AO284" s="96">
        <f t="shared" si="236"/>
        <v>7.3150140168272665E-4</v>
      </c>
      <c r="AP284" s="95">
        <f t="shared" si="237"/>
        <v>4.1890831406975531E-3</v>
      </c>
      <c r="AQ284" s="93">
        <f t="shared" si="238"/>
        <v>0.1821057679617199</v>
      </c>
      <c r="AR284" s="31">
        <v>1.5</v>
      </c>
      <c r="AS284" s="31">
        <v>1.5</v>
      </c>
      <c r="AT284" s="31">
        <v>7</v>
      </c>
      <c r="AU284" s="43">
        <v>7.0999999999999994E-2</v>
      </c>
      <c r="AV284" s="44">
        <v>0.28000000000000003</v>
      </c>
      <c r="AW284" s="43">
        <v>1.7999999999999999E-2</v>
      </c>
      <c r="AX284" s="44">
        <v>0.13</v>
      </c>
      <c r="AY284" s="40">
        <v>7.0817582490074731</v>
      </c>
      <c r="AZ284" s="41">
        <v>0.5</v>
      </c>
      <c r="BA284" s="40">
        <v>0.72</v>
      </c>
      <c r="BB284" s="45">
        <v>1</v>
      </c>
      <c r="BC284" s="41">
        <v>3.3197225366043686</v>
      </c>
      <c r="BD284" s="41">
        <v>24.127673726603245</v>
      </c>
      <c r="BE284" s="41">
        <v>72.552603736792392</v>
      </c>
      <c r="BF284" s="125">
        <v>1.1000000000000001</v>
      </c>
      <c r="BG284" s="48">
        <f t="shared" si="257"/>
        <v>4.5173281092583716E-3</v>
      </c>
      <c r="BH284" s="48">
        <f t="shared" si="214"/>
        <v>4.5173281092583716E-3</v>
      </c>
      <c r="BI284" s="99">
        <f t="shared" si="215"/>
        <v>1.4996275929541418E-4</v>
      </c>
      <c r="BJ284" s="99">
        <f t="shared" si="258"/>
        <v>1.0899261873619952E-3</v>
      </c>
      <c r="BK284" s="48">
        <f t="shared" si="216"/>
        <v>3.2774391626009623E-3</v>
      </c>
      <c r="BL284" s="99">
        <f t="shared" si="239"/>
        <v>2.1162187416007153E-4</v>
      </c>
      <c r="BM284" s="48">
        <f t="shared" si="240"/>
        <v>1.1132568312122305E-3</v>
      </c>
      <c r="BN284" s="48">
        <f t="shared" si="241"/>
        <v>1.6348892810429927E-3</v>
      </c>
      <c r="BO284" s="48">
        <f t="shared" si="242"/>
        <v>4.9161587439014434E-3</v>
      </c>
      <c r="BP284" s="99">
        <f t="shared" si="243"/>
        <v>3.174328112401073E-4</v>
      </c>
      <c r="BQ284" s="48">
        <f t="shared" si="244"/>
        <v>1.6698852468183456E-3</v>
      </c>
      <c r="BR284" s="40">
        <f t="shared" si="245"/>
        <v>0.27447396263207613</v>
      </c>
      <c r="BS284" s="31">
        <v>1.5</v>
      </c>
      <c r="BT284" s="31">
        <v>1.5</v>
      </c>
      <c r="BU284" s="43">
        <v>0.125</v>
      </c>
      <c r="BV284" s="44">
        <v>0.42</v>
      </c>
      <c r="BW284" s="43">
        <v>2.3E-2</v>
      </c>
      <c r="BX284" s="44">
        <v>0.2</v>
      </c>
      <c r="BY284" s="40">
        <v>17.493153787299185</v>
      </c>
      <c r="BZ284" s="40">
        <v>0.52</v>
      </c>
      <c r="CA284" s="40">
        <v>0.65</v>
      </c>
      <c r="CB284" s="45">
        <v>1</v>
      </c>
      <c r="CC284" s="41">
        <v>0.82393172144641669</v>
      </c>
      <c r="CD284" s="41">
        <v>23.03199407695983</v>
      </c>
      <c r="CE284" s="41">
        <v>76.144074201593753</v>
      </c>
      <c r="CF284" s="125">
        <v>1.1000000000000001</v>
      </c>
      <c r="CG284" s="40">
        <f t="shared" si="259"/>
        <v>2.5276743866833658E-2</v>
      </c>
      <c r="CH284" s="40">
        <f t="shared" si="217"/>
        <v>2.5276743866833658E-2</v>
      </c>
      <c r="CI284" s="99">
        <f t="shared" si="260"/>
        <v>2.0826311086760409E-4</v>
      </c>
      <c r="CJ284" s="100">
        <f t="shared" si="261"/>
        <v>5.8217381502574349E-3</v>
      </c>
      <c r="CK284" s="100">
        <f t="shared" si="262"/>
        <v>1.9246742605708616E-2</v>
      </c>
      <c r="CL284" s="101">
        <f t="shared" si="246"/>
        <v>9.8635540974562454E-4</v>
      </c>
      <c r="CM284" s="100">
        <f t="shared" si="247"/>
        <v>5.1574892694566925E-3</v>
      </c>
      <c r="CN284" s="100">
        <f t="shared" si="248"/>
        <v>8.7326072253861523E-3</v>
      </c>
      <c r="CO284" s="100">
        <f t="shared" si="249"/>
        <v>2.8870113908562922E-2</v>
      </c>
      <c r="CP284" s="101">
        <f t="shared" si="250"/>
        <v>1.4795331146184366E-3</v>
      </c>
      <c r="CQ284" s="100">
        <f t="shared" si="251"/>
        <v>7.736233904185038E-3</v>
      </c>
      <c r="CR284" s="99">
        <f t="shared" si="252"/>
        <v>0.23855925798406247</v>
      </c>
      <c r="CS284" s="31">
        <v>1.5</v>
      </c>
      <c r="CT284" s="31">
        <v>1.5</v>
      </c>
      <c r="CU284" s="43">
        <v>0.1</v>
      </c>
      <c r="CV284" s="44">
        <v>0.39</v>
      </c>
      <c r="CW284" s="43">
        <v>2.1000000000000001E-2</v>
      </c>
      <c r="CX284" s="44">
        <v>0.15</v>
      </c>
    </row>
    <row r="285" spans="1:102" x14ac:dyDescent="0.25">
      <c r="A285" s="31">
        <v>271</v>
      </c>
      <c r="B285" s="83" t="s">
        <v>254</v>
      </c>
      <c r="C285" s="31">
        <v>60</v>
      </c>
      <c r="D285" s="31" t="s">
        <v>36</v>
      </c>
      <c r="E285" s="31" t="s">
        <v>5</v>
      </c>
      <c r="F285" s="31" t="s">
        <v>12</v>
      </c>
      <c r="G285" s="31" t="str">
        <f t="shared" si="253"/>
        <v>Kommunal 60 M 4S A</v>
      </c>
      <c r="H285" s="48">
        <f t="shared" si="220"/>
        <v>0.11091683921382015</v>
      </c>
      <c r="I285" s="40">
        <f t="shared" si="221"/>
        <v>0.1237586239928912</v>
      </c>
      <c r="J285" s="99">
        <f t="shared" si="222"/>
        <v>1.7370387936137557E-3</v>
      </c>
      <c r="K285" s="48">
        <f t="shared" si="223"/>
        <v>2.6387747840438708E-2</v>
      </c>
      <c r="L285" s="48">
        <f t="shared" si="224"/>
        <v>9.5633837358838736E-2</v>
      </c>
      <c r="M285" s="48">
        <f t="shared" si="254"/>
        <v>0.17632646093550736</v>
      </c>
      <c r="N285" s="99">
        <f t="shared" si="225"/>
        <v>3.8749039500615792E-3</v>
      </c>
      <c r="O285" s="48">
        <f t="shared" si="226"/>
        <v>2.1004751728742749E-2</v>
      </c>
      <c r="P285" s="48">
        <f t="shared" si="227"/>
        <v>3.9581621760658062E-2</v>
      </c>
      <c r="Q285" s="48">
        <f t="shared" si="228"/>
        <v>0.1434507560382581</v>
      </c>
      <c r="R285" s="40">
        <f t="shared" si="255"/>
        <v>1.2342852265485516</v>
      </c>
      <c r="S285" s="99">
        <f t="shared" si="229"/>
        <v>5.812355925092369E-3</v>
      </c>
      <c r="T285" s="48">
        <f t="shared" si="230"/>
        <v>3.1507127593114123E-2</v>
      </c>
      <c r="U285" s="40">
        <v>5.6108448000000015</v>
      </c>
      <c r="V285" s="40">
        <v>1.25</v>
      </c>
      <c r="W285" s="40">
        <v>0.45</v>
      </c>
      <c r="X285" s="40">
        <v>1.1517392499522423</v>
      </c>
      <c r="Y285" s="42">
        <v>0.71473328447716378</v>
      </c>
      <c r="Z285" s="42">
        <v>20.848159913629427</v>
      </c>
      <c r="AA285" s="42">
        <v>78.437106801893407</v>
      </c>
      <c r="AB285" s="42">
        <v>1.8089887640449442</v>
      </c>
      <c r="AC285" s="125">
        <v>1.1000000000000001</v>
      </c>
      <c r="AD285" s="94">
        <f t="shared" si="256"/>
        <v>8.4630606669749753E-2</v>
      </c>
      <c r="AE285" s="94">
        <f t="shared" si="210"/>
        <v>9.7472391448820819E-2</v>
      </c>
      <c r="AF285" s="96">
        <f t="shared" si="211"/>
        <v>6.9666762486059522E-4</v>
      </c>
      <c r="AG285" s="95">
        <f t="shared" si="218"/>
        <v>2.0321200040889019E-2</v>
      </c>
      <c r="AH285" s="94">
        <f t="shared" si="219"/>
        <v>7.6454523783071202E-2</v>
      </c>
      <c r="AI285" s="94">
        <f t="shared" si="213"/>
        <v>0.17632646093550736</v>
      </c>
      <c r="AJ285" s="96">
        <f t="shared" si="231"/>
        <v>2.8189866309984019E-3</v>
      </c>
      <c r="AK285" s="95">
        <f t="shared" si="232"/>
        <v>1.5629024103248183E-2</v>
      </c>
      <c r="AL285" s="95">
        <f t="shared" si="233"/>
        <v>3.0481800061333528E-2</v>
      </c>
      <c r="AM285" s="94">
        <f t="shared" si="234"/>
        <v>0.1146817856746068</v>
      </c>
      <c r="AN285" s="93">
        <f t="shared" si="235"/>
        <v>1.2342852265485516</v>
      </c>
      <c r="AO285" s="96">
        <f t="shared" si="236"/>
        <v>4.2284799464976028E-3</v>
      </c>
      <c r="AP285" s="95">
        <f t="shared" si="237"/>
        <v>2.3443536154872272E-2</v>
      </c>
      <c r="AQ285" s="93">
        <f t="shared" si="238"/>
        <v>0.21562893198106589</v>
      </c>
      <c r="AR285" s="31">
        <v>1.5</v>
      </c>
      <c r="AS285" s="31">
        <v>1.5</v>
      </c>
      <c r="AT285" s="31">
        <v>7</v>
      </c>
      <c r="AU285" s="43">
        <v>7.0999999999999994E-2</v>
      </c>
      <c r="AV285" s="44">
        <v>0.28000000000000003</v>
      </c>
      <c r="AW285" s="43">
        <v>1.7999999999999999E-2</v>
      </c>
      <c r="AX285" s="44">
        <v>0.13</v>
      </c>
      <c r="AY285" s="40">
        <v>5.8652742893442671</v>
      </c>
      <c r="AZ285" s="41">
        <v>0.5</v>
      </c>
      <c r="BA285" s="40">
        <v>0.72</v>
      </c>
      <c r="BB285" s="45">
        <v>1</v>
      </c>
      <c r="BC285" s="41">
        <v>10.469021924497721</v>
      </c>
      <c r="BD285" s="41">
        <v>46.248782587366165</v>
      </c>
      <c r="BE285" s="41">
        <v>43.282195488136097</v>
      </c>
      <c r="BF285" s="125">
        <v>1.1000000000000001</v>
      </c>
      <c r="BG285" s="48">
        <f t="shared" si="257"/>
        <v>3.7413545456001216E-3</v>
      </c>
      <c r="BH285" s="48">
        <f t="shared" si="214"/>
        <v>3.7413545456001216E-3</v>
      </c>
      <c r="BI285" s="99">
        <f t="shared" si="215"/>
        <v>3.9168322765206884E-4</v>
      </c>
      <c r="BJ285" s="99">
        <f t="shared" si="258"/>
        <v>1.7303309296171415E-3</v>
      </c>
      <c r="BK285" s="48">
        <f t="shared" si="216"/>
        <v>1.6193403883309108E-3</v>
      </c>
      <c r="BL285" s="99">
        <f t="shared" si="239"/>
        <v>2.5353619513375362E-4</v>
      </c>
      <c r="BM285" s="48">
        <f t="shared" si="240"/>
        <v>1.0506070681053816E-3</v>
      </c>
      <c r="BN285" s="48">
        <f t="shared" si="241"/>
        <v>2.5954963944257122E-3</v>
      </c>
      <c r="BO285" s="48">
        <f t="shared" si="242"/>
        <v>2.4290105824963659E-3</v>
      </c>
      <c r="BP285" s="99">
        <f t="shared" si="243"/>
        <v>3.8030429270063043E-4</v>
      </c>
      <c r="BQ285" s="48">
        <f t="shared" si="244"/>
        <v>1.5759106021580721E-3</v>
      </c>
      <c r="BR285" s="40">
        <f t="shared" si="245"/>
        <v>0.5671780451186389</v>
      </c>
      <c r="BS285" s="31">
        <v>1.5</v>
      </c>
      <c r="BT285" s="31">
        <v>1.5</v>
      </c>
      <c r="BU285" s="43">
        <v>0.125</v>
      </c>
      <c r="BV285" s="44">
        <v>0.42</v>
      </c>
      <c r="BW285" s="43">
        <v>2.3E-2</v>
      </c>
      <c r="BX285" s="44">
        <v>0.2</v>
      </c>
      <c r="BY285" s="40">
        <v>15.602524598139274</v>
      </c>
      <c r="BZ285" s="40">
        <v>0.52</v>
      </c>
      <c r="CA285" s="40">
        <v>0.65</v>
      </c>
      <c r="CB285" s="45">
        <v>1</v>
      </c>
      <c r="CC285" s="41">
        <v>2.8773184806992838</v>
      </c>
      <c r="CD285" s="41">
        <v>19.233711844556318</v>
      </c>
      <c r="CE285" s="41">
        <v>77.888969674744388</v>
      </c>
      <c r="CF285" s="125">
        <v>1.1000000000000001</v>
      </c>
      <c r="CG285" s="40">
        <f t="shared" si="259"/>
        <v>2.2544877998470263E-2</v>
      </c>
      <c r="CH285" s="40">
        <f t="shared" si="217"/>
        <v>2.2544877998470263E-2</v>
      </c>
      <c r="CI285" s="99">
        <f t="shared" si="260"/>
        <v>6.486879411010917E-4</v>
      </c>
      <c r="CJ285" s="100">
        <f t="shared" si="261"/>
        <v>4.3362168699325456E-3</v>
      </c>
      <c r="CK285" s="100">
        <f t="shared" si="262"/>
        <v>1.7559973187436621E-2</v>
      </c>
      <c r="CL285" s="101">
        <f t="shared" si="246"/>
        <v>8.023811239294236E-4</v>
      </c>
      <c r="CM285" s="100">
        <f t="shared" si="247"/>
        <v>4.325120557389186E-3</v>
      </c>
      <c r="CN285" s="100">
        <f t="shared" si="248"/>
        <v>6.504325304898818E-3</v>
      </c>
      <c r="CO285" s="100">
        <f t="shared" si="249"/>
        <v>2.6339959781154932E-2</v>
      </c>
      <c r="CP285" s="101">
        <f t="shared" si="250"/>
        <v>1.2035716858941354E-3</v>
      </c>
      <c r="CQ285" s="100">
        <f t="shared" si="251"/>
        <v>6.4876808360837795E-3</v>
      </c>
      <c r="CR285" s="99">
        <f t="shared" si="252"/>
        <v>0.22111030325255598</v>
      </c>
      <c r="CS285" s="31">
        <v>1.5</v>
      </c>
      <c r="CT285" s="31">
        <v>1.5</v>
      </c>
      <c r="CU285" s="43">
        <v>0.1</v>
      </c>
      <c r="CV285" s="44">
        <v>0.39</v>
      </c>
      <c r="CW285" s="43">
        <v>2.1000000000000001E-2</v>
      </c>
      <c r="CX285" s="44">
        <v>0.15</v>
      </c>
    </row>
    <row r="286" spans="1:102" x14ac:dyDescent="0.25">
      <c r="A286" s="31">
        <v>272</v>
      </c>
      <c r="B286" s="83" t="s">
        <v>254</v>
      </c>
      <c r="C286" s="31">
        <v>60</v>
      </c>
      <c r="D286" s="31" t="s">
        <v>36</v>
      </c>
      <c r="E286" s="31" t="s">
        <v>5</v>
      </c>
      <c r="F286" s="31" t="s">
        <v>13</v>
      </c>
      <c r="G286" s="31" t="str">
        <f t="shared" si="253"/>
        <v>Kommunal 60 M 4S B</v>
      </c>
      <c r="H286" s="48">
        <f t="shared" si="220"/>
        <v>0.11091683921382015</v>
      </c>
      <c r="I286" s="40">
        <f t="shared" si="221"/>
        <v>0.1237586239928912</v>
      </c>
      <c r="J286" s="99">
        <f t="shared" si="222"/>
        <v>1.7370387936137557E-3</v>
      </c>
      <c r="K286" s="48">
        <f t="shared" si="223"/>
        <v>2.6387747840438708E-2</v>
      </c>
      <c r="L286" s="48">
        <f t="shared" si="224"/>
        <v>9.5633837358838736E-2</v>
      </c>
      <c r="M286" s="48">
        <f t="shared" si="254"/>
        <v>0.17632646093550736</v>
      </c>
      <c r="N286" s="99">
        <f t="shared" si="225"/>
        <v>3.8749039500615792E-3</v>
      </c>
      <c r="O286" s="48">
        <f t="shared" si="226"/>
        <v>2.1004751728742749E-2</v>
      </c>
      <c r="P286" s="48">
        <f t="shared" si="227"/>
        <v>3.9581621760658062E-2</v>
      </c>
      <c r="Q286" s="48">
        <f t="shared" si="228"/>
        <v>0.1434507560382581</v>
      </c>
      <c r="R286" s="40">
        <f t="shared" si="255"/>
        <v>1.2342852265485516</v>
      </c>
      <c r="S286" s="99">
        <f t="shared" si="229"/>
        <v>5.812355925092369E-3</v>
      </c>
      <c r="T286" s="48">
        <f t="shared" si="230"/>
        <v>3.1507127593114123E-2</v>
      </c>
      <c r="U286" s="40">
        <v>5.6108448000000015</v>
      </c>
      <c r="V286" s="40">
        <v>1.25</v>
      </c>
      <c r="W286" s="40">
        <v>0.45</v>
      </c>
      <c r="X286" s="40">
        <v>1.1517392499522423</v>
      </c>
      <c r="Y286" s="42">
        <v>0.71473328447716378</v>
      </c>
      <c r="Z286" s="42">
        <v>20.848159913629427</v>
      </c>
      <c r="AA286" s="42">
        <v>78.437106801893407</v>
      </c>
      <c r="AB286" s="42">
        <v>1.8089887640449442</v>
      </c>
      <c r="AC286" s="125">
        <v>1.1000000000000001</v>
      </c>
      <c r="AD286" s="94">
        <f t="shared" si="256"/>
        <v>8.4630606669749753E-2</v>
      </c>
      <c r="AE286" s="94">
        <f t="shared" si="210"/>
        <v>9.7472391448820819E-2</v>
      </c>
      <c r="AF286" s="96">
        <f t="shared" si="211"/>
        <v>6.9666762486059522E-4</v>
      </c>
      <c r="AG286" s="95">
        <f t="shared" si="218"/>
        <v>2.0321200040889019E-2</v>
      </c>
      <c r="AH286" s="94">
        <f t="shared" si="219"/>
        <v>7.6454523783071202E-2</v>
      </c>
      <c r="AI286" s="94">
        <f t="shared" si="213"/>
        <v>0.17632646093550736</v>
      </c>
      <c r="AJ286" s="96">
        <f t="shared" si="231"/>
        <v>2.8189866309984019E-3</v>
      </c>
      <c r="AK286" s="95">
        <f t="shared" si="232"/>
        <v>1.5629024103248183E-2</v>
      </c>
      <c r="AL286" s="95">
        <f t="shared" si="233"/>
        <v>3.0481800061333528E-2</v>
      </c>
      <c r="AM286" s="94">
        <f t="shared" si="234"/>
        <v>0.1146817856746068</v>
      </c>
      <c r="AN286" s="93">
        <f t="shared" si="235"/>
        <v>1.2342852265485516</v>
      </c>
      <c r="AO286" s="96">
        <f t="shared" si="236"/>
        <v>4.2284799464976028E-3</v>
      </c>
      <c r="AP286" s="95">
        <f t="shared" si="237"/>
        <v>2.3443536154872272E-2</v>
      </c>
      <c r="AQ286" s="93">
        <f t="shared" si="238"/>
        <v>0.21562893198106589</v>
      </c>
      <c r="AR286" s="31">
        <v>1.5</v>
      </c>
      <c r="AS286" s="31">
        <v>1.5</v>
      </c>
      <c r="AT286" s="31">
        <v>7</v>
      </c>
      <c r="AU286" s="43">
        <v>7.0999999999999994E-2</v>
      </c>
      <c r="AV286" s="44">
        <v>0.28000000000000003</v>
      </c>
      <c r="AW286" s="43">
        <v>1.7999999999999999E-2</v>
      </c>
      <c r="AX286" s="44">
        <v>0.13</v>
      </c>
      <c r="AY286" s="40">
        <v>5.8652742893442671</v>
      </c>
      <c r="AZ286" s="41">
        <v>0.5</v>
      </c>
      <c r="BA286" s="40">
        <v>0.72</v>
      </c>
      <c r="BB286" s="45">
        <v>1</v>
      </c>
      <c r="BC286" s="41">
        <v>10.469021924497721</v>
      </c>
      <c r="BD286" s="41">
        <v>46.248782587366165</v>
      </c>
      <c r="BE286" s="41">
        <v>43.282195488136097</v>
      </c>
      <c r="BF286" s="125">
        <v>1.1000000000000001</v>
      </c>
      <c r="BG286" s="48">
        <f t="shared" si="257"/>
        <v>3.7413545456001216E-3</v>
      </c>
      <c r="BH286" s="48">
        <f t="shared" si="214"/>
        <v>3.7413545456001216E-3</v>
      </c>
      <c r="BI286" s="99">
        <f t="shared" si="215"/>
        <v>3.9168322765206884E-4</v>
      </c>
      <c r="BJ286" s="99">
        <f t="shared" si="258"/>
        <v>1.7303309296171415E-3</v>
      </c>
      <c r="BK286" s="48">
        <f t="shared" si="216"/>
        <v>1.6193403883309108E-3</v>
      </c>
      <c r="BL286" s="99">
        <f t="shared" si="239"/>
        <v>2.5353619513375362E-4</v>
      </c>
      <c r="BM286" s="48">
        <f t="shared" si="240"/>
        <v>1.0506070681053816E-3</v>
      </c>
      <c r="BN286" s="48">
        <f t="shared" si="241"/>
        <v>2.5954963944257122E-3</v>
      </c>
      <c r="BO286" s="48">
        <f t="shared" si="242"/>
        <v>2.4290105824963659E-3</v>
      </c>
      <c r="BP286" s="99">
        <f t="shared" si="243"/>
        <v>3.8030429270063043E-4</v>
      </c>
      <c r="BQ286" s="48">
        <f t="shared" si="244"/>
        <v>1.5759106021580721E-3</v>
      </c>
      <c r="BR286" s="40">
        <f t="shared" si="245"/>
        <v>0.5671780451186389</v>
      </c>
      <c r="BS286" s="31">
        <v>1.5</v>
      </c>
      <c r="BT286" s="31">
        <v>1.5</v>
      </c>
      <c r="BU286" s="43">
        <v>0.125</v>
      </c>
      <c r="BV286" s="44">
        <v>0.42</v>
      </c>
      <c r="BW286" s="43">
        <v>2.3E-2</v>
      </c>
      <c r="BX286" s="44">
        <v>0.2</v>
      </c>
      <c r="BY286" s="40">
        <v>15.602524598139274</v>
      </c>
      <c r="BZ286" s="40">
        <v>0.52</v>
      </c>
      <c r="CA286" s="40">
        <v>0.65</v>
      </c>
      <c r="CB286" s="45">
        <v>1</v>
      </c>
      <c r="CC286" s="41">
        <v>2.8773184806992838</v>
      </c>
      <c r="CD286" s="41">
        <v>19.233711844556318</v>
      </c>
      <c r="CE286" s="41">
        <v>77.888969674744388</v>
      </c>
      <c r="CF286" s="125">
        <v>1.1000000000000001</v>
      </c>
      <c r="CG286" s="40">
        <f t="shared" si="259"/>
        <v>2.2544877998470263E-2</v>
      </c>
      <c r="CH286" s="40">
        <f t="shared" si="217"/>
        <v>2.2544877998470263E-2</v>
      </c>
      <c r="CI286" s="99">
        <f t="shared" si="260"/>
        <v>6.486879411010917E-4</v>
      </c>
      <c r="CJ286" s="100">
        <f t="shared" si="261"/>
        <v>4.3362168699325456E-3</v>
      </c>
      <c r="CK286" s="100">
        <f t="shared" si="262"/>
        <v>1.7559973187436621E-2</v>
      </c>
      <c r="CL286" s="101">
        <f t="shared" si="246"/>
        <v>8.023811239294236E-4</v>
      </c>
      <c r="CM286" s="100">
        <f t="shared" si="247"/>
        <v>4.325120557389186E-3</v>
      </c>
      <c r="CN286" s="100">
        <f t="shared" si="248"/>
        <v>6.504325304898818E-3</v>
      </c>
      <c r="CO286" s="100">
        <f t="shared" si="249"/>
        <v>2.6339959781154932E-2</v>
      </c>
      <c r="CP286" s="101">
        <f t="shared" si="250"/>
        <v>1.2035716858941354E-3</v>
      </c>
      <c r="CQ286" s="100">
        <f t="shared" si="251"/>
        <v>6.4876808360837795E-3</v>
      </c>
      <c r="CR286" s="99">
        <f t="shared" si="252"/>
        <v>0.22111030325255598</v>
      </c>
      <c r="CS286" s="31">
        <v>1.5</v>
      </c>
      <c r="CT286" s="31">
        <v>1.5</v>
      </c>
      <c r="CU286" s="43">
        <v>0.1</v>
      </c>
      <c r="CV286" s="44">
        <v>0.39</v>
      </c>
      <c r="CW286" s="43">
        <v>2.1000000000000001E-2</v>
      </c>
      <c r="CX286" s="44">
        <v>0.15</v>
      </c>
    </row>
    <row r="287" spans="1:102" x14ac:dyDescent="0.25">
      <c r="A287" s="31">
        <v>273</v>
      </c>
      <c r="B287" s="83" t="s">
        <v>254</v>
      </c>
      <c r="C287" s="31">
        <v>60</v>
      </c>
      <c r="D287" s="31" t="s">
        <v>36</v>
      </c>
      <c r="E287" s="31" t="s">
        <v>5</v>
      </c>
      <c r="F287" s="31" t="s">
        <v>70</v>
      </c>
      <c r="G287" s="31" t="str">
        <f t="shared" si="253"/>
        <v>Kommunal 60 M 4S Ck</v>
      </c>
      <c r="H287" s="48">
        <f t="shared" si="220"/>
        <v>0.10245377854684512</v>
      </c>
      <c r="I287" s="40">
        <f t="shared" si="221"/>
        <v>0.11401138484800907</v>
      </c>
      <c r="J287" s="99">
        <f t="shared" si="222"/>
        <v>1.6673720311276962E-3</v>
      </c>
      <c r="K287" s="48">
        <f t="shared" si="223"/>
        <v>2.4355627836349793E-2</v>
      </c>
      <c r="L287" s="48">
        <f t="shared" si="224"/>
        <v>8.7988384980531575E-2</v>
      </c>
      <c r="M287" s="48">
        <f t="shared" si="254"/>
        <v>0.15869381484195652</v>
      </c>
      <c r="N287" s="99">
        <f t="shared" si="225"/>
        <v>3.5930052869617376E-3</v>
      </c>
      <c r="O287" s="48">
        <f t="shared" si="226"/>
        <v>1.9441849318417921E-2</v>
      </c>
      <c r="P287" s="48">
        <f t="shared" si="227"/>
        <v>3.6533441754524686E-2</v>
      </c>
      <c r="Q287" s="48">
        <f t="shared" si="228"/>
        <v>0.13198257747079736</v>
      </c>
      <c r="R287" s="40">
        <f t="shared" si="255"/>
        <v>1.1108567038936956</v>
      </c>
      <c r="S287" s="99">
        <f t="shared" si="229"/>
        <v>5.3895079304426058E-3</v>
      </c>
      <c r="T287" s="48">
        <f t="shared" si="230"/>
        <v>2.9162773977626885E-2</v>
      </c>
      <c r="U287" s="40">
        <v>5.0497603199999999</v>
      </c>
      <c r="V287" s="40">
        <v>1.25</v>
      </c>
      <c r="W287" s="40">
        <v>0.45</v>
      </c>
      <c r="X287" s="40">
        <v>1.1517392499522423</v>
      </c>
      <c r="Y287" s="42">
        <v>0.71473328447716389</v>
      </c>
      <c r="Z287" s="42">
        <v>20.848159913629424</v>
      </c>
      <c r="AA287" s="42">
        <v>78.437106801893407</v>
      </c>
      <c r="AB287" s="42">
        <v>1.808988764044944</v>
      </c>
      <c r="AC287" s="125">
        <v>1.1000000000000001</v>
      </c>
      <c r="AD287" s="94">
        <f t="shared" si="256"/>
        <v>7.6167546002774741E-2</v>
      </c>
      <c r="AE287" s="94">
        <f t="shared" si="210"/>
        <v>8.7725152303938694E-2</v>
      </c>
      <c r="AF287" s="96">
        <f t="shared" si="211"/>
        <v>6.2700086237453545E-4</v>
      </c>
      <c r="AG287" s="95">
        <f t="shared" si="218"/>
        <v>1.8289080036800104E-2</v>
      </c>
      <c r="AH287" s="94">
        <f t="shared" si="219"/>
        <v>6.8809071404764041E-2</v>
      </c>
      <c r="AI287" s="94">
        <f t="shared" si="213"/>
        <v>0.15869381484195652</v>
      </c>
      <c r="AJ287" s="96">
        <f t="shared" si="231"/>
        <v>2.5370879678985603E-3</v>
      </c>
      <c r="AK287" s="95">
        <f t="shared" si="232"/>
        <v>1.4066121692923355E-2</v>
      </c>
      <c r="AL287" s="95">
        <f t="shared" si="233"/>
        <v>2.7433620055200156E-2</v>
      </c>
      <c r="AM287" s="94">
        <f t="shared" si="234"/>
        <v>0.10321360710714605</v>
      </c>
      <c r="AN287" s="93">
        <f t="shared" si="235"/>
        <v>1.1108567038936956</v>
      </c>
      <c r="AO287" s="96">
        <f t="shared" si="236"/>
        <v>3.8056319518478396E-3</v>
      </c>
      <c r="AP287" s="95">
        <f t="shared" si="237"/>
        <v>2.1099182539385031E-2</v>
      </c>
      <c r="AQ287" s="93">
        <f t="shared" si="238"/>
        <v>0.21562893198106586</v>
      </c>
      <c r="AR287" s="31">
        <v>1.5</v>
      </c>
      <c r="AS287" s="31">
        <v>1.5</v>
      </c>
      <c r="AT287" s="31">
        <v>7</v>
      </c>
      <c r="AU287" s="43">
        <v>7.0999999999999994E-2</v>
      </c>
      <c r="AV287" s="44">
        <v>0.28000000000000003</v>
      </c>
      <c r="AW287" s="43">
        <v>1.7999999999999999E-2</v>
      </c>
      <c r="AX287" s="44">
        <v>0.13</v>
      </c>
      <c r="AY287" s="40">
        <v>5.8652742893442671</v>
      </c>
      <c r="AZ287" s="41">
        <v>0.5</v>
      </c>
      <c r="BA287" s="40">
        <v>0.72</v>
      </c>
      <c r="BB287" s="45">
        <v>1</v>
      </c>
      <c r="BC287" s="41">
        <v>10.469021924497721</v>
      </c>
      <c r="BD287" s="41">
        <v>46.248782587366165</v>
      </c>
      <c r="BE287" s="41">
        <v>43.282195488136097</v>
      </c>
      <c r="BF287" s="125">
        <v>1.1000000000000001</v>
      </c>
      <c r="BG287" s="48">
        <f t="shared" si="257"/>
        <v>3.7413545456001216E-3</v>
      </c>
      <c r="BH287" s="48">
        <f t="shared" si="214"/>
        <v>3.7413545456001216E-3</v>
      </c>
      <c r="BI287" s="99">
        <f t="shared" si="215"/>
        <v>3.9168322765206884E-4</v>
      </c>
      <c r="BJ287" s="99">
        <f t="shared" si="258"/>
        <v>1.7303309296171415E-3</v>
      </c>
      <c r="BK287" s="48">
        <f t="shared" si="216"/>
        <v>1.6193403883309108E-3</v>
      </c>
      <c r="BL287" s="99">
        <f t="shared" si="239"/>
        <v>2.5353619513375362E-4</v>
      </c>
      <c r="BM287" s="48">
        <f t="shared" si="240"/>
        <v>1.0506070681053816E-3</v>
      </c>
      <c r="BN287" s="48">
        <f t="shared" si="241"/>
        <v>2.5954963944257122E-3</v>
      </c>
      <c r="BO287" s="48">
        <f t="shared" si="242"/>
        <v>2.4290105824963659E-3</v>
      </c>
      <c r="BP287" s="99">
        <f t="shared" si="243"/>
        <v>3.8030429270063043E-4</v>
      </c>
      <c r="BQ287" s="48">
        <f t="shared" si="244"/>
        <v>1.5759106021580721E-3</v>
      </c>
      <c r="BR287" s="40">
        <f t="shared" si="245"/>
        <v>0.5671780451186389</v>
      </c>
      <c r="BS287" s="31">
        <v>1.5</v>
      </c>
      <c r="BT287" s="31">
        <v>1.5</v>
      </c>
      <c r="BU287" s="43">
        <v>0.125</v>
      </c>
      <c r="BV287" s="44">
        <v>0.42</v>
      </c>
      <c r="BW287" s="43">
        <v>2.3E-2</v>
      </c>
      <c r="BX287" s="44">
        <v>0.2</v>
      </c>
      <c r="BY287" s="40">
        <v>15.602524598139274</v>
      </c>
      <c r="BZ287" s="40">
        <v>0.52</v>
      </c>
      <c r="CA287" s="40">
        <v>0.65</v>
      </c>
      <c r="CB287" s="45">
        <v>1</v>
      </c>
      <c r="CC287" s="41">
        <v>2.8773184806992838</v>
      </c>
      <c r="CD287" s="41">
        <v>19.233711844556318</v>
      </c>
      <c r="CE287" s="41">
        <v>77.888969674744388</v>
      </c>
      <c r="CF287" s="125">
        <v>1.1000000000000001</v>
      </c>
      <c r="CG287" s="40">
        <f t="shared" si="259"/>
        <v>2.2544877998470263E-2</v>
      </c>
      <c r="CH287" s="40">
        <f t="shared" si="217"/>
        <v>2.2544877998470263E-2</v>
      </c>
      <c r="CI287" s="99">
        <f t="shared" si="260"/>
        <v>6.486879411010917E-4</v>
      </c>
      <c r="CJ287" s="100">
        <f t="shared" si="261"/>
        <v>4.3362168699325456E-3</v>
      </c>
      <c r="CK287" s="100">
        <f t="shared" si="262"/>
        <v>1.7559973187436621E-2</v>
      </c>
      <c r="CL287" s="101">
        <f t="shared" si="246"/>
        <v>8.023811239294236E-4</v>
      </c>
      <c r="CM287" s="100">
        <f t="shared" si="247"/>
        <v>4.325120557389186E-3</v>
      </c>
      <c r="CN287" s="100">
        <f t="shared" si="248"/>
        <v>6.504325304898818E-3</v>
      </c>
      <c r="CO287" s="100">
        <f t="shared" si="249"/>
        <v>2.6339959781154932E-2</v>
      </c>
      <c r="CP287" s="101">
        <f t="shared" si="250"/>
        <v>1.2035716858941354E-3</v>
      </c>
      <c r="CQ287" s="100">
        <f t="shared" si="251"/>
        <v>6.4876808360837795E-3</v>
      </c>
      <c r="CR287" s="99">
        <f t="shared" si="252"/>
        <v>0.22111030325255598</v>
      </c>
      <c r="CS287" s="31">
        <v>1.5</v>
      </c>
      <c r="CT287" s="31">
        <v>1.5</v>
      </c>
      <c r="CU287" s="43">
        <v>0.1</v>
      </c>
      <c r="CV287" s="44">
        <v>0.39</v>
      </c>
      <c r="CW287" s="43">
        <v>2.1000000000000001E-2</v>
      </c>
      <c r="CX287" s="44">
        <v>0.15</v>
      </c>
    </row>
    <row r="288" spans="1:102" x14ac:dyDescent="0.25">
      <c r="A288" s="31">
        <v>274</v>
      </c>
      <c r="B288" s="83" t="s">
        <v>254</v>
      </c>
      <c r="C288" s="31">
        <v>60</v>
      </c>
      <c r="D288" s="31" t="s">
        <v>36</v>
      </c>
      <c r="E288" s="31" t="s">
        <v>5</v>
      </c>
      <c r="F288" s="31" t="s">
        <v>71</v>
      </c>
      <c r="G288" s="31" t="str">
        <f t="shared" si="253"/>
        <v>Kommunal 60 M 4S Cm</v>
      </c>
      <c r="H288" s="48">
        <f t="shared" si="220"/>
        <v>0.10245377854684512</v>
      </c>
      <c r="I288" s="40">
        <f t="shared" si="221"/>
        <v>0.11401138484800907</v>
      </c>
      <c r="J288" s="99">
        <f t="shared" si="222"/>
        <v>1.6673720311276962E-3</v>
      </c>
      <c r="K288" s="48">
        <f t="shared" si="223"/>
        <v>2.4355627836349793E-2</v>
      </c>
      <c r="L288" s="48">
        <f t="shared" si="224"/>
        <v>8.7988384980531575E-2</v>
      </c>
      <c r="M288" s="48">
        <f t="shared" si="254"/>
        <v>0.15869381484195652</v>
      </c>
      <c r="N288" s="99">
        <f t="shared" si="225"/>
        <v>3.5930052869617376E-3</v>
      </c>
      <c r="O288" s="48">
        <f t="shared" si="226"/>
        <v>1.9441849318417921E-2</v>
      </c>
      <c r="P288" s="48">
        <f t="shared" si="227"/>
        <v>3.6533441754524686E-2</v>
      </c>
      <c r="Q288" s="48">
        <f t="shared" si="228"/>
        <v>0.13198257747079736</v>
      </c>
      <c r="R288" s="40">
        <f t="shared" si="255"/>
        <v>1.1108567038936956</v>
      </c>
      <c r="S288" s="99">
        <f t="shared" si="229"/>
        <v>5.3895079304426058E-3</v>
      </c>
      <c r="T288" s="48">
        <f t="shared" si="230"/>
        <v>2.9162773977626885E-2</v>
      </c>
      <c r="U288" s="40">
        <v>5.0497603199999999</v>
      </c>
      <c r="V288" s="40">
        <v>1.25</v>
      </c>
      <c r="W288" s="40">
        <v>0.45</v>
      </c>
      <c r="X288" s="40">
        <v>1.1517392499522423</v>
      </c>
      <c r="Y288" s="42">
        <v>0.71473328447716389</v>
      </c>
      <c r="Z288" s="42">
        <v>20.848159913629424</v>
      </c>
      <c r="AA288" s="42">
        <v>78.437106801893407</v>
      </c>
      <c r="AB288" s="42">
        <v>1.808988764044944</v>
      </c>
      <c r="AC288" s="125">
        <v>1.1000000000000001</v>
      </c>
      <c r="AD288" s="94">
        <f t="shared" si="256"/>
        <v>7.6167546002774741E-2</v>
      </c>
      <c r="AE288" s="94">
        <f t="shared" si="210"/>
        <v>8.7725152303938694E-2</v>
      </c>
      <c r="AF288" s="96">
        <f t="shared" si="211"/>
        <v>6.2700086237453545E-4</v>
      </c>
      <c r="AG288" s="95">
        <f t="shared" si="218"/>
        <v>1.8289080036800104E-2</v>
      </c>
      <c r="AH288" s="94">
        <f t="shared" si="219"/>
        <v>6.8809071404764041E-2</v>
      </c>
      <c r="AI288" s="94">
        <f t="shared" si="213"/>
        <v>0.15869381484195652</v>
      </c>
      <c r="AJ288" s="96">
        <f t="shared" si="231"/>
        <v>2.5370879678985603E-3</v>
      </c>
      <c r="AK288" s="95">
        <f t="shared" si="232"/>
        <v>1.4066121692923355E-2</v>
      </c>
      <c r="AL288" s="95">
        <f t="shared" si="233"/>
        <v>2.7433620055200156E-2</v>
      </c>
      <c r="AM288" s="94">
        <f t="shared" si="234"/>
        <v>0.10321360710714605</v>
      </c>
      <c r="AN288" s="93">
        <f t="shared" si="235"/>
        <v>1.1108567038936956</v>
      </c>
      <c r="AO288" s="96">
        <f t="shared" si="236"/>
        <v>3.8056319518478396E-3</v>
      </c>
      <c r="AP288" s="95">
        <f t="shared" si="237"/>
        <v>2.1099182539385031E-2</v>
      </c>
      <c r="AQ288" s="93">
        <f t="shared" si="238"/>
        <v>0.21562893198106586</v>
      </c>
      <c r="AR288" s="31">
        <v>1.5</v>
      </c>
      <c r="AS288" s="31">
        <v>1.5</v>
      </c>
      <c r="AT288" s="31">
        <v>7</v>
      </c>
      <c r="AU288" s="43">
        <v>7.0999999999999994E-2</v>
      </c>
      <c r="AV288" s="44">
        <v>0.28000000000000003</v>
      </c>
      <c r="AW288" s="43">
        <v>1.7999999999999999E-2</v>
      </c>
      <c r="AX288" s="44">
        <v>0.13</v>
      </c>
      <c r="AY288" s="40">
        <v>5.8652742893442671</v>
      </c>
      <c r="AZ288" s="41">
        <v>0.5</v>
      </c>
      <c r="BA288" s="40">
        <v>0.72</v>
      </c>
      <c r="BB288" s="45">
        <v>1</v>
      </c>
      <c r="BC288" s="41">
        <v>10.469021924497721</v>
      </c>
      <c r="BD288" s="41">
        <v>46.248782587366165</v>
      </c>
      <c r="BE288" s="41">
        <v>43.282195488136097</v>
      </c>
      <c r="BF288" s="125">
        <v>1.1000000000000001</v>
      </c>
      <c r="BG288" s="48">
        <f t="shared" si="257"/>
        <v>3.7413545456001216E-3</v>
      </c>
      <c r="BH288" s="48">
        <f t="shared" si="214"/>
        <v>3.7413545456001216E-3</v>
      </c>
      <c r="BI288" s="99">
        <f t="shared" si="215"/>
        <v>3.9168322765206884E-4</v>
      </c>
      <c r="BJ288" s="99">
        <f t="shared" si="258"/>
        <v>1.7303309296171415E-3</v>
      </c>
      <c r="BK288" s="48">
        <f t="shared" si="216"/>
        <v>1.6193403883309108E-3</v>
      </c>
      <c r="BL288" s="99">
        <f t="shared" si="239"/>
        <v>2.5353619513375362E-4</v>
      </c>
      <c r="BM288" s="48">
        <f t="shared" si="240"/>
        <v>1.0506070681053816E-3</v>
      </c>
      <c r="BN288" s="48">
        <f t="shared" si="241"/>
        <v>2.5954963944257122E-3</v>
      </c>
      <c r="BO288" s="48">
        <f t="shared" si="242"/>
        <v>2.4290105824963659E-3</v>
      </c>
      <c r="BP288" s="99">
        <f t="shared" si="243"/>
        <v>3.8030429270063043E-4</v>
      </c>
      <c r="BQ288" s="48">
        <f t="shared" si="244"/>
        <v>1.5759106021580721E-3</v>
      </c>
      <c r="BR288" s="40">
        <f t="shared" si="245"/>
        <v>0.5671780451186389</v>
      </c>
      <c r="BS288" s="31">
        <v>1.5</v>
      </c>
      <c r="BT288" s="31">
        <v>1.5</v>
      </c>
      <c r="BU288" s="43">
        <v>0.125</v>
      </c>
      <c r="BV288" s="44">
        <v>0.42</v>
      </c>
      <c r="BW288" s="43">
        <v>2.3E-2</v>
      </c>
      <c r="BX288" s="44">
        <v>0.2</v>
      </c>
      <c r="BY288" s="40">
        <v>15.602524598139274</v>
      </c>
      <c r="BZ288" s="40">
        <v>0.52</v>
      </c>
      <c r="CA288" s="40">
        <v>0.65</v>
      </c>
      <c r="CB288" s="45">
        <v>1</v>
      </c>
      <c r="CC288" s="41">
        <v>2.8773184806992838</v>
      </c>
      <c r="CD288" s="41">
        <v>19.233711844556318</v>
      </c>
      <c r="CE288" s="41">
        <v>77.888969674744388</v>
      </c>
      <c r="CF288" s="125">
        <v>1.1000000000000001</v>
      </c>
      <c r="CG288" s="40">
        <f t="shared" si="259"/>
        <v>2.2544877998470263E-2</v>
      </c>
      <c r="CH288" s="40">
        <f t="shared" si="217"/>
        <v>2.2544877998470263E-2</v>
      </c>
      <c r="CI288" s="99">
        <f t="shared" si="260"/>
        <v>6.486879411010917E-4</v>
      </c>
      <c r="CJ288" s="100">
        <f t="shared" si="261"/>
        <v>4.3362168699325456E-3</v>
      </c>
      <c r="CK288" s="100">
        <f t="shared" si="262"/>
        <v>1.7559973187436621E-2</v>
      </c>
      <c r="CL288" s="101">
        <f t="shared" si="246"/>
        <v>8.023811239294236E-4</v>
      </c>
      <c r="CM288" s="100">
        <f t="shared" si="247"/>
        <v>4.325120557389186E-3</v>
      </c>
      <c r="CN288" s="100">
        <f t="shared" si="248"/>
        <v>6.504325304898818E-3</v>
      </c>
      <c r="CO288" s="100">
        <f t="shared" si="249"/>
        <v>2.6339959781154932E-2</v>
      </c>
      <c r="CP288" s="101">
        <f t="shared" si="250"/>
        <v>1.2035716858941354E-3</v>
      </c>
      <c r="CQ288" s="100">
        <f t="shared" si="251"/>
        <v>6.4876808360837795E-3</v>
      </c>
      <c r="CR288" s="99">
        <f t="shared" si="252"/>
        <v>0.22111030325255598</v>
      </c>
      <c r="CS288" s="31">
        <v>1.5</v>
      </c>
      <c r="CT288" s="31">
        <v>1.5</v>
      </c>
      <c r="CU288" s="43">
        <v>0.1</v>
      </c>
      <c r="CV288" s="44">
        <v>0.39</v>
      </c>
      <c r="CW288" s="43">
        <v>2.1000000000000001E-2</v>
      </c>
      <c r="CX288" s="44">
        <v>0.15</v>
      </c>
    </row>
    <row r="289" spans="1:102" x14ac:dyDescent="0.25">
      <c r="A289" s="31">
        <v>275</v>
      </c>
      <c r="B289" s="83" t="s">
        <v>254</v>
      </c>
      <c r="C289" s="31">
        <v>60</v>
      </c>
      <c r="D289" s="31" t="s">
        <v>36</v>
      </c>
      <c r="E289" s="31" t="s">
        <v>5</v>
      </c>
      <c r="F289" s="31" t="s">
        <v>0</v>
      </c>
      <c r="G289" s="31" t="str">
        <f t="shared" si="253"/>
        <v>Kommunal 60 M 4S D</v>
      </c>
      <c r="H289" s="48">
        <f t="shared" si="220"/>
        <v>6.1653941890467086E-2</v>
      </c>
      <c r="I289" s="40">
        <f t="shared" si="221"/>
        <v>8.781535427259593E-2</v>
      </c>
      <c r="J289" s="99">
        <f t="shared" si="222"/>
        <v>1.0403711687531605E-3</v>
      </c>
      <c r="K289" s="48">
        <f t="shared" si="223"/>
        <v>1.3932397884353482E-2</v>
      </c>
      <c r="L289" s="48">
        <f t="shared" si="224"/>
        <v>7.2842585219489275E-2</v>
      </c>
      <c r="M289" s="48">
        <f t="shared" si="254"/>
        <v>0.27286827896998272</v>
      </c>
      <c r="N289" s="99">
        <f t="shared" si="225"/>
        <v>2.5803315646712381E-3</v>
      </c>
      <c r="O289" s="48">
        <f t="shared" si="226"/>
        <v>1.4554390962923457E-2</v>
      </c>
      <c r="P289" s="48">
        <f t="shared" si="227"/>
        <v>2.0898596826530218E-2</v>
      </c>
      <c r="Q289" s="48">
        <f t="shared" si="228"/>
        <v>0.10926387782923391</v>
      </c>
      <c r="R289" s="40">
        <f t="shared" si="255"/>
        <v>1.910077952789879</v>
      </c>
      <c r="S289" s="99">
        <f t="shared" si="229"/>
        <v>3.8704973470068565E-3</v>
      </c>
      <c r="T289" s="48">
        <f t="shared" si="230"/>
        <v>2.1831586444385185E-2</v>
      </c>
      <c r="U289" s="40">
        <v>1.3284928800000004</v>
      </c>
      <c r="V289" s="40">
        <v>1.2</v>
      </c>
      <c r="W289" s="45">
        <v>0</v>
      </c>
      <c r="X289" s="40">
        <v>1.7396976752409947</v>
      </c>
      <c r="Y289" s="42">
        <v>0</v>
      </c>
      <c r="Z289" s="42">
        <v>12.783946631822477</v>
      </c>
      <c r="AA289" s="42">
        <v>87.216053368177526</v>
      </c>
      <c r="AB289" s="42">
        <v>4.4347826086956506</v>
      </c>
      <c r="AC289" s="125">
        <v>1.1000000000000001</v>
      </c>
      <c r="AD289" s="94">
        <f t="shared" si="256"/>
        <v>3.53677093463967E-2</v>
      </c>
      <c r="AE289" s="94">
        <f t="shared" si="210"/>
        <v>6.1529121728525538E-2</v>
      </c>
      <c r="AF289" s="96">
        <f t="shared" si="211"/>
        <v>0</v>
      </c>
      <c r="AG289" s="95">
        <f t="shared" si="218"/>
        <v>7.8658500848037931E-3</v>
      </c>
      <c r="AH289" s="94">
        <f t="shared" si="219"/>
        <v>5.3663271643721748E-2</v>
      </c>
      <c r="AI289" s="94">
        <f t="shared" si="213"/>
        <v>0.27286827896998272</v>
      </c>
      <c r="AJ289" s="96">
        <f t="shared" si="231"/>
        <v>1.5244142456080608E-3</v>
      </c>
      <c r="AK289" s="95">
        <f t="shared" si="232"/>
        <v>9.1786633374288905E-3</v>
      </c>
      <c r="AL289" s="95">
        <f t="shared" si="233"/>
        <v>1.179877512720569E-2</v>
      </c>
      <c r="AM289" s="94">
        <f t="shared" si="234"/>
        <v>8.0494907465582619E-2</v>
      </c>
      <c r="AN289" s="93">
        <f t="shared" si="235"/>
        <v>1.910077952789879</v>
      </c>
      <c r="AO289" s="96">
        <f t="shared" si="236"/>
        <v>2.2866213684120907E-3</v>
      </c>
      <c r="AP289" s="95">
        <f t="shared" si="237"/>
        <v>1.3767995006143334E-2</v>
      </c>
      <c r="AQ289" s="93">
        <f t="shared" si="238"/>
        <v>0.12783946631822479</v>
      </c>
      <c r="AR289" s="31">
        <v>1.5</v>
      </c>
      <c r="AS289" s="31">
        <v>1.5</v>
      </c>
      <c r="AT289" s="31">
        <v>7</v>
      </c>
      <c r="AU289" s="43">
        <v>7.0999999999999994E-2</v>
      </c>
      <c r="AV289" s="44">
        <v>0.28000000000000003</v>
      </c>
      <c r="AW289" s="43">
        <v>1.7999999999999999E-2</v>
      </c>
      <c r="AX289" s="44">
        <v>0.13</v>
      </c>
      <c r="AY289" s="40">
        <v>5.8652742893442671</v>
      </c>
      <c r="AZ289" s="41">
        <v>0.5</v>
      </c>
      <c r="BA289" s="40">
        <v>0.72</v>
      </c>
      <c r="BB289" s="45">
        <v>1</v>
      </c>
      <c r="BC289" s="41">
        <v>10.469021924497721</v>
      </c>
      <c r="BD289" s="41">
        <v>46.248782587366165</v>
      </c>
      <c r="BE289" s="41">
        <v>43.282195488136097</v>
      </c>
      <c r="BF289" s="125">
        <v>1.1000000000000001</v>
      </c>
      <c r="BG289" s="48">
        <f t="shared" si="257"/>
        <v>3.7413545456001216E-3</v>
      </c>
      <c r="BH289" s="48">
        <f t="shared" si="214"/>
        <v>3.7413545456001216E-3</v>
      </c>
      <c r="BI289" s="99">
        <f t="shared" si="215"/>
        <v>3.9168322765206884E-4</v>
      </c>
      <c r="BJ289" s="99">
        <f t="shared" si="258"/>
        <v>1.7303309296171415E-3</v>
      </c>
      <c r="BK289" s="48">
        <f t="shared" si="216"/>
        <v>1.6193403883309108E-3</v>
      </c>
      <c r="BL289" s="99">
        <f t="shared" si="239"/>
        <v>2.5353619513375362E-4</v>
      </c>
      <c r="BM289" s="48">
        <f t="shared" si="240"/>
        <v>1.0506070681053816E-3</v>
      </c>
      <c r="BN289" s="48">
        <f t="shared" si="241"/>
        <v>2.5954963944257122E-3</v>
      </c>
      <c r="BO289" s="48">
        <f t="shared" si="242"/>
        <v>2.4290105824963659E-3</v>
      </c>
      <c r="BP289" s="99">
        <f t="shared" si="243"/>
        <v>3.8030429270063043E-4</v>
      </c>
      <c r="BQ289" s="48">
        <f t="shared" si="244"/>
        <v>1.5759106021580721E-3</v>
      </c>
      <c r="BR289" s="40">
        <f t="shared" si="245"/>
        <v>0.5671780451186389</v>
      </c>
      <c r="BS289" s="31">
        <v>1.5</v>
      </c>
      <c r="BT289" s="31">
        <v>1.5</v>
      </c>
      <c r="BU289" s="43">
        <v>0.125</v>
      </c>
      <c r="BV289" s="44">
        <v>0.42</v>
      </c>
      <c r="BW289" s="43">
        <v>2.3E-2</v>
      </c>
      <c r="BX289" s="44">
        <v>0.2</v>
      </c>
      <c r="BY289" s="40">
        <v>15.602524598139274</v>
      </c>
      <c r="BZ289" s="40">
        <v>0.52</v>
      </c>
      <c r="CA289" s="40">
        <v>0.65</v>
      </c>
      <c r="CB289" s="45">
        <v>1</v>
      </c>
      <c r="CC289" s="41">
        <v>2.8773184806992838</v>
      </c>
      <c r="CD289" s="41">
        <v>19.233711844556318</v>
      </c>
      <c r="CE289" s="41">
        <v>77.888969674744388</v>
      </c>
      <c r="CF289" s="125">
        <v>1.1000000000000001</v>
      </c>
      <c r="CG289" s="40">
        <f t="shared" si="259"/>
        <v>2.2544877998470263E-2</v>
      </c>
      <c r="CH289" s="40">
        <f t="shared" si="217"/>
        <v>2.2544877998470263E-2</v>
      </c>
      <c r="CI289" s="99">
        <f t="shared" si="260"/>
        <v>6.486879411010917E-4</v>
      </c>
      <c r="CJ289" s="100">
        <f t="shared" si="261"/>
        <v>4.3362168699325456E-3</v>
      </c>
      <c r="CK289" s="100">
        <f t="shared" si="262"/>
        <v>1.7559973187436621E-2</v>
      </c>
      <c r="CL289" s="101">
        <f t="shared" si="246"/>
        <v>8.023811239294236E-4</v>
      </c>
      <c r="CM289" s="100">
        <f t="shared" si="247"/>
        <v>4.325120557389186E-3</v>
      </c>
      <c r="CN289" s="100">
        <f t="shared" si="248"/>
        <v>6.504325304898818E-3</v>
      </c>
      <c r="CO289" s="100">
        <f t="shared" si="249"/>
        <v>2.6339959781154932E-2</v>
      </c>
      <c r="CP289" s="101">
        <f t="shared" si="250"/>
        <v>1.2035716858941354E-3</v>
      </c>
      <c r="CQ289" s="100">
        <f t="shared" si="251"/>
        <v>6.4876808360837795E-3</v>
      </c>
      <c r="CR289" s="99">
        <f t="shared" si="252"/>
        <v>0.22111030325255598</v>
      </c>
      <c r="CS289" s="31">
        <v>1.5</v>
      </c>
      <c r="CT289" s="31">
        <v>1.5</v>
      </c>
      <c r="CU289" s="43">
        <v>0.1</v>
      </c>
      <c r="CV289" s="44">
        <v>0.39</v>
      </c>
      <c r="CW289" s="43">
        <v>2.1000000000000001E-2</v>
      </c>
      <c r="CX289" s="44">
        <v>0.15</v>
      </c>
    </row>
    <row r="290" spans="1:102" x14ac:dyDescent="0.25">
      <c r="A290" s="31">
        <v>276</v>
      </c>
      <c r="B290" s="83" t="s">
        <v>254</v>
      </c>
      <c r="C290" s="31">
        <v>60</v>
      </c>
      <c r="D290" s="31" t="s">
        <v>36</v>
      </c>
      <c r="E290" s="31" t="s">
        <v>5</v>
      </c>
      <c r="F290" s="31" t="s">
        <v>62</v>
      </c>
      <c r="G290" s="31" t="str">
        <f t="shared" si="253"/>
        <v>Kommunal 60 M 4S EE</v>
      </c>
      <c r="H290" s="48">
        <f t="shared" si="220"/>
        <v>0.15704125034186764</v>
      </c>
      <c r="I290" s="40">
        <f t="shared" si="221"/>
        <v>0.17688191866999745</v>
      </c>
      <c r="J290" s="99">
        <f t="shared" si="222"/>
        <v>2.1167286624819196E-3</v>
      </c>
      <c r="K290" s="48">
        <f t="shared" si="223"/>
        <v>3.7462977266110406E-2</v>
      </c>
      <c r="L290" s="48">
        <f t="shared" si="224"/>
        <v>0.13730221274140514</v>
      </c>
      <c r="M290" s="48">
        <f t="shared" si="254"/>
        <v>0.27242590411544104</v>
      </c>
      <c r="N290" s="99">
        <f t="shared" si="225"/>
        <v>5.4112759961704639E-3</v>
      </c>
      <c r="O290" s="48">
        <f t="shared" si="226"/>
        <v>2.9522704767664457E-2</v>
      </c>
      <c r="P290" s="48">
        <f t="shared" si="227"/>
        <v>5.6194465899165609E-2</v>
      </c>
      <c r="Q290" s="48">
        <f t="shared" si="228"/>
        <v>0.20595331911210771</v>
      </c>
      <c r="R290" s="40">
        <f t="shared" si="255"/>
        <v>1.9069813288080872</v>
      </c>
      <c r="S290" s="99">
        <f t="shared" si="229"/>
        <v>8.1169139942556985E-3</v>
      </c>
      <c r="T290" s="48">
        <f t="shared" si="230"/>
        <v>4.4284057151496692E-2</v>
      </c>
      <c r="U290" s="40">
        <v>6.1183584000000009</v>
      </c>
      <c r="V290" s="40">
        <v>1.2</v>
      </c>
      <c r="W290" s="41">
        <v>0.1</v>
      </c>
      <c r="X290" s="40">
        <v>1.1517392499522421</v>
      </c>
      <c r="Y290" s="42">
        <v>0.71473328447716378</v>
      </c>
      <c r="Z290" s="42">
        <v>20.848159913629431</v>
      </c>
      <c r="AA290" s="42">
        <v>78.437106801893421</v>
      </c>
      <c r="AB290" s="42">
        <v>1.8089887640449436</v>
      </c>
      <c r="AC290" s="125">
        <v>1.1000000000000001</v>
      </c>
      <c r="AD290" s="94">
        <f t="shared" si="256"/>
        <v>0.13075501779779725</v>
      </c>
      <c r="AE290" s="94">
        <f t="shared" si="210"/>
        <v>0.15059568612592705</v>
      </c>
      <c r="AF290" s="96">
        <f t="shared" si="211"/>
        <v>1.0763574937287588E-3</v>
      </c>
      <c r="AG290" s="95">
        <f t="shared" si="218"/>
        <v>3.1396429466560717E-2</v>
      </c>
      <c r="AH290" s="94">
        <f t="shared" si="219"/>
        <v>0.1181228991656376</v>
      </c>
      <c r="AI290" s="94">
        <f t="shared" si="213"/>
        <v>0.27242590411544104</v>
      </c>
      <c r="AJ290" s="96">
        <f t="shared" si="231"/>
        <v>4.3553586771072871E-3</v>
      </c>
      <c r="AK290" s="95">
        <f t="shared" si="232"/>
        <v>2.414697714216989E-2</v>
      </c>
      <c r="AL290" s="95">
        <f t="shared" si="233"/>
        <v>4.7094644199841079E-2</v>
      </c>
      <c r="AM290" s="94">
        <f t="shared" si="234"/>
        <v>0.1771843487484564</v>
      </c>
      <c r="AN290" s="93">
        <f t="shared" si="235"/>
        <v>1.9069813288080872</v>
      </c>
      <c r="AO290" s="96">
        <f t="shared" si="236"/>
        <v>6.5330380156609314E-3</v>
      </c>
      <c r="AP290" s="95">
        <f t="shared" si="237"/>
        <v>3.6220465713254837E-2</v>
      </c>
      <c r="AQ290" s="93">
        <f t="shared" si="238"/>
        <v>0.21562893198106592</v>
      </c>
      <c r="AR290" s="31">
        <v>1.5</v>
      </c>
      <c r="AS290" s="31">
        <v>1.5</v>
      </c>
      <c r="AT290" s="31">
        <v>7</v>
      </c>
      <c r="AU290" s="43">
        <v>7.0999999999999994E-2</v>
      </c>
      <c r="AV290" s="44">
        <v>0.28000000000000003</v>
      </c>
      <c r="AW290" s="43">
        <v>1.7999999999999999E-2</v>
      </c>
      <c r="AX290" s="44">
        <v>0.13</v>
      </c>
      <c r="AY290" s="40">
        <v>5.8652742893442671</v>
      </c>
      <c r="AZ290" s="41">
        <v>0.5</v>
      </c>
      <c r="BA290" s="40">
        <v>0.72</v>
      </c>
      <c r="BB290" s="45">
        <v>1</v>
      </c>
      <c r="BC290" s="41">
        <v>10.469021924497721</v>
      </c>
      <c r="BD290" s="41">
        <v>46.248782587366165</v>
      </c>
      <c r="BE290" s="41">
        <v>43.282195488136097</v>
      </c>
      <c r="BF290" s="125">
        <v>1.1000000000000001</v>
      </c>
      <c r="BG290" s="48">
        <f t="shared" si="257"/>
        <v>3.7413545456001216E-3</v>
      </c>
      <c r="BH290" s="48">
        <f t="shared" si="214"/>
        <v>3.7413545456001216E-3</v>
      </c>
      <c r="BI290" s="99">
        <f t="shared" si="215"/>
        <v>3.9168322765206884E-4</v>
      </c>
      <c r="BJ290" s="99">
        <f t="shared" si="258"/>
        <v>1.7303309296171415E-3</v>
      </c>
      <c r="BK290" s="48">
        <f t="shared" si="216"/>
        <v>1.6193403883309108E-3</v>
      </c>
      <c r="BL290" s="99">
        <f t="shared" si="239"/>
        <v>2.5353619513375362E-4</v>
      </c>
      <c r="BM290" s="48">
        <f t="shared" si="240"/>
        <v>1.0506070681053816E-3</v>
      </c>
      <c r="BN290" s="48">
        <f t="shared" si="241"/>
        <v>2.5954963944257122E-3</v>
      </c>
      <c r="BO290" s="48">
        <f t="shared" si="242"/>
        <v>2.4290105824963659E-3</v>
      </c>
      <c r="BP290" s="99">
        <f t="shared" si="243"/>
        <v>3.8030429270063043E-4</v>
      </c>
      <c r="BQ290" s="48">
        <f t="shared" si="244"/>
        <v>1.5759106021580721E-3</v>
      </c>
      <c r="BR290" s="40">
        <f t="shared" si="245"/>
        <v>0.5671780451186389</v>
      </c>
      <c r="BS290" s="31">
        <v>1.5</v>
      </c>
      <c r="BT290" s="31">
        <v>1.5</v>
      </c>
      <c r="BU290" s="43">
        <v>0.125</v>
      </c>
      <c r="BV290" s="44">
        <v>0.42</v>
      </c>
      <c r="BW290" s="43">
        <v>2.3E-2</v>
      </c>
      <c r="BX290" s="44">
        <v>0.2</v>
      </c>
      <c r="BY290" s="40">
        <v>15.602524598139274</v>
      </c>
      <c r="BZ290" s="40">
        <v>0.52</v>
      </c>
      <c r="CA290" s="40">
        <v>0.65</v>
      </c>
      <c r="CB290" s="45">
        <v>1</v>
      </c>
      <c r="CC290" s="41">
        <v>2.8773184806992838</v>
      </c>
      <c r="CD290" s="41">
        <v>19.233711844556318</v>
      </c>
      <c r="CE290" s="41">
        <v>77.888969674744388</v>
      </c>
      <c r="CF290" s="125">
        <v>1.1000000000000001</v>
      </c>
      <c r="CG290" s="40">
        <f t="shared" si="259"/>
        <v>2.2544877998470263E-2</v>
      </c>
      <c r="CH290" s="40">
        <f t="shared" si="217"/>
        <v>2.2544877998470263E-2</v>
      </c>
      <c r="CI290" s="99">
        <f t="shared" si="260"/>
        <v>6.486879411010917E-4</v>
      </c>
      <c r="CJ290" s="100">
        <f t="shared" si="261"/>
        <v>4.3362168699325456E-3</v>
      </c>
      <c r="CK290" s="100">
        <f t="shared" si="262"/>
        <v>1.7559973187436621E-2</v>
      </c>
      <c r="CL290" s="101">
        <f t="shared" si="246"/>
        <v>8.023811239294236E-4</v>
      </c>
      <c r="CM290" s="100">
        <f t="shared" si="247"/>
        <v>4.325120557389186E-3</v>
      </c>
      <c r="CN290" s="100">
        <f t="shared" si="248"/>
        <v>6.504325304898818E-3</v>
      </c>
      <c r="CO290" s="100">
        <f t="shared" si="249"/>
        <v>2.6339959781154932E-2</v>
      </c>
      <c r="CP290" s="101">
        <f t="shared" si="250"/>
        <v>1.2035716858941354E-3</v>
      </c>
      <c r="CQ290" s="100">
        <f t="shared" si="251"/>
        <v>6.4876808360837795E-3</v>
      </c>
      <c r="CR290" s="99">
        <f t="shared" si="252"/>
        <v>0.22111030325255598</v>
      </c>
      <c r="CS290" s="31">
        <v>1.5</v>
      </c>
      <c r="CT290" s="31">
        <v>1.5</v>
      </c>
      <c r="CU290" s="43">
        <v>0.1</v>
      </c>
      <c r="CV290" s="44">
        <v>0.39</v>
      </c>
      <c r="CW290" s="43">
        <v>2.1000000000000001E-2</v>
      </c>
      <c r="CX290" s="44">
        <v>0.15</v>
      </c>
    </row>
    <row r="291" spans="1:102" x14ac:dyDescent="0.25">
      <c r="A291" s="31">
        <v>277</v>
      </c>
      <c r="B291" s="83" t="s">
        <v>254</v>
      </c>
      <c r="C291" s="31">
        <v>60</v>
      </c>
      <c r="D291" s="31" t="s">
        <v>36</v>
      </c>
      <c r="E291" s="31" t="s">
        <v>5</v>
      </c>
      <c r="F291" s="31" t="s">
        <v>63</v>
      </c>
      <c r="G291" s="31" t="str">
        <f t="shared" si="253"/>
        <v>Kommunal 60 M 4S ES</v>
      </c>
      <c r="H291" s="48">
        <f t="shared" si="220"/>
        <v>0.11391098363649471</v>
      </c>
      <c r="I291" s="40">
        <f t="shared" si="221"/>
        <v>0.12666868018561628</v>
      </c>
      <c r="J291" s="99">
        <f t="shared" si="222"/>
        <v>1.745348917366565E-3</v>
      </c>
      <c r="K291" s="48">
        <f t="shared" si="223"/>
        <v>1.8061980700294689E-2</v>
      </c>
      <c r="L291" s="48">
        <f t="shared" si="224"/>
        <v>0.10686135056795504</v>
      </c>
      <c r="M291" s="48">
        <f t="shared" si="254"/>
        <v>0.22343189958924731</v>
      </c>
      <c r="N291" s="99">
        <f t="shared" si="225"/>
        <v>3.4858697208754474E-3</v>
      </c>
      <c r="O291" s="48">
        <f t="shared" si="226"/>
        <v>2.0133113646687541E-2</v>
      </c>
      <c r="P291" s="48">
        <f t="shared" si="227"/>
        <v>2.7092971050442033E-2</v>
      </c>
      <c r="Q291" s="48">
        <f t="shared" si="228"/>
        <v>0.16029202585193256</v>
      </c>
      <c r="R291" s="40">
        <f t="shared" si="255"/>
        <v>1.5640232971247312</v>
      </c>
      <c r="S291" s="99">
        <f t="shared" si="229"/>
        <v>5.2288045813131704E-3</v>
      </c>
      <c r="T291" s="48">
        <f t="shared" si="230"/>
        <v>3.0199670470031317E-2</v>
      </c>
      <c r="U291" s="40">
        <v>4.1001840000000014</v>
      </c>
      <c r="V291" s="40">
        <v>1.2</v>
      </c>
      <c r="W291" s="41">
        <v>0.1</v>
      </c>
      <c r="X291" s="40">
        <v>1.1455946680597711</v>
      </c>
      <c r="Y291" s="42">
        <v>0.70229184999632421</v>
      </c>
      <c r="Z291" s="42">
        <v>11.949731434701913</v>
      </c>
      <c r="AA291" s="42">
        <v>87.347976715301769</v>
      </c>
      <c r="AB291" s="42">
        <v>2.225806451612903</v>
      </c>
      <c r="AC291" s="125">
        <v>1.1000000000000001</v>
      </c>
      <c r="AD291" s="94">
        <f t="shared" si="256"/>
        <v>8.7624751092424319E-2</v>
      </c>
      <c r="AE291" s="94">
        <f t="shared" si="210"/>
        <v>0.1003824476415459</v>
      </c>
      <c r="AF291" s="96">
        <f t="shared" si="211"/>
        <v>7.0497774861340431E-4</v>
      </c>
      <c r="AG291" s="95">
        <f t="shared" si="218"/>
        <v>1.1995432900745E-2</v>
      </c>
      <c r="AH291" s="94">
        <f t="shared" si="219"/>
        <v>8.7682036992187504E-2</v>
      </c>
      <c r="AI291" s="94">
        <f t="shared" si="213"/>
        <v>0.22343189958924731</v>
      </c>
      <c r="AJ291" s="96">
        <f t="shared" si="231"/>
        <v>2.4299524018122701E-3</v>
      </c>
      <c r="AK291" s="95">
        <f t="shared" si="232"/>
        <v>1.4757386021192975E-2</v>
      </c>
      <c r="AL291" s="95">
        <f t="shared" si="233"/>
        <v>1.79931493511175E-2</v>
      </c>
      <c r="AM291" s="94">
        <f t="shared" si="234"/>
        <v>0.13152305548828125</v>
      </c>
      <c r="AN291" s="93">
        <f t="shared" si="235"/>
        <v>1.5640232971247312</v>
      </c>
      <c r="AO291" s="96">
        <f t="shared" si="236"/>
        <v>3.6449286027184047E-3</v>
      </c>
      <c r="AP291" s="95">
        <f t="shared" si="237"/>
        <v>2.2136079031789463E-2</v>
      </c>
      <c r="AQ291" s="93">
        <f t="shared" si="238"/>
        <v>0.12652023284698238</v>
      </c>
      <c r="AR291" s="31">
        <v>1.5</v>
      </c>
      <c r="AS291" s="31">
        <v>1.5</v>
      </c>
      <c r="AT291" s="31">
        <v>7</v>
      </c>
      <c r="AU291" s="43">
        <v>7.0999999999999994E-2</v>
      </c>
      <c r="AV291" s="44">
        <v>0.28000000000000003</v>
      </c>
      <c r="AW291" s="43">
        <v>1.7999999999999999E-2</v>
      </c>
      <c r="AX291" s="44">
        <v>0.13</v>
      </c>
      <c r="AY291" s="40">
        <v>5.8652742893442671</v>
      </c>
      <c r="AZ291" s="41">
        <v>0.5</v>
      </c>
      <c r="BA291" s="40">
        <v>0.72</v>
      </c>
      <c r="BB291" s="45">
        <v>1</v>
      </c>
      <c r="BC291" s="41">
        <v>10.469021924497723</v>
      </c>
      <c r="BD291" s="41">
        <v>46.248782587366179</v>
      </c>
      <c r="BE291" s="41">
        <v>43.282195488136111</v>
      </c>
      <c r="BF291" s="125">
        <v>1.1000000000000001</v>
      </c>
      <c r="BG291" s="48">
        <f t="shared" si="257"/>
        <v>3.7413545456001216E-3</v>
      </c>
      <c r="BH291" s="48">
        <f t="shared" si="214"/>
        <v>3.7413545456001216E-3</v>
      </c>
      <c r="BI291" s="99">
        <f t="shared" si="215"/>
        <v>3.9168322765206889E-4</v>
      </c>
      <c r="BJ291" s="99">
        <f t="shared" si="258"/>
        <v>1.7303309296171421E-3</v>
      </c>
      <c r="BK291" s="48">
        <f t="shared" si="216"/>
        <v>1.6193403883309112E-3</v>
      </c>
      <c r="BL291" s="99">
        <f t="shared" si="239"/>
        <v>2.5353619513375373E-4</v>
      </c>
      <c r="BM291" s="48">
        <f t="shared" si="240"/>
        <v>1.0506070681053819E-3</v>
      </c>
      <c r="BN291" s="48">
        <f t="shared" si="241"/>
        <v>2.5954963944257131E-3</v>
      </c>
      <c r="BO291" s="48">
        <f t="shared" si="242"/>
        <v>2.4290105824963668E-3</v>
      </c>
      <c r="BP291" s="99">
        <f t="shared" si="243"/>
        <v>3.8030429270063059E-4</v>
      </c>
      <c r="BQ291" s="48">
        <f t="shared" si="244"/>
        <v>1.5759106021580728E-3</v>
      </c>
      <c r="BR291" s="40">
        <f t="shared" si="245"/>
        <v>0.56717804511863901</v>
      </c>
      <c r="BS291" s="31">
        <v>1.5</v>
      </c>
      <c r="BT291" s="31">
        <v>1.5</v>
      </c>
      <c r="BU291" s="43">
        <v>0.125</v>
      </c>
      <c r="BV291" s="44">
        <v>0.42</v>
      </c>
      <c r="BW291" s="43">
        <v>2.3E-2</v>
      </c>
      <c r="BX291" s="44">
        <v>0.2</v>
      </c>
      <c r="BY291" s="40">
        <v>15.602524598139274</v>
      </c>
      <c r="BZ291" s="40">
        <v>0.52</v>
      </c>
      <c r="CA291" s="40">
        <v>0.65</v>
      </c>
      <c r="CB291" s="45">
        <v>1</v>
      </c>
      <c r="CC291" s="41">
        <v>2.8773184806992838</v>
      </c>
      <c r="CD291" s="41">
        <v>19.233711844556318</v>
      </c>
      <c r="CE291" s="41">
        <v>77.888969674744388</v>
      </c>
      <c r="CF291" s="125">
        <v>1.1000000000000001</v>
      </c>
      <c r="CG291" s="40">
        <f t="shared" si="259"/>
        <v>2.2544877998470263E-2</v>
      </c>
      <c r="CH291" s="40">
        <f t="shared" si="217"/>
        <v>2.2544877998470263E-2</v>
      </c>
      <c r="CI291" s="99">
        <f t="shared" si="260"/>
        <v>6.486879411010917E-4</v>
      </c>
      <c r="CJ291" s="100">
        <f t="shared" si="261"/>
        <v>4.3362168699325456E-3</v>
      </c>
      <c r="CK291" s="100">
        <f t="shared" si="262"/>
        <v>1.7559973187436621E-2</v>
      </c>
      <c r="CL291" s="101">
        <f t="shared" si="246"/>
        <v>8.023811239294236E-4</v>
      </c>
      <c r="CM291" s="100">
        <f t="shared" si="247"/>
        <v>4.325120557389186E-3</v>
      </c>
      <c r="CN291" s="100">
        <f t="shared" si="248"/>
        <v>6.504325304898818E-3</v>
      </c>
      <c r="CO291" s="100">
        <f t="shared" si="249"/>
        <v>2.6339959781154932E-2</v>
      </c>
      <c r="CP291" s="101">
        <f t="shared" si="250"/>
        <v>1.2035716858941354E-3</v>
      </c>
      <c r="CQ291" s="100">
        <f t="shared" si="251"/>
        <v>6.4876808360837795E-3</v>
      </c>
      <c r="CR291" s="99">
        <f t="shared" si="252"/>
        <v>0.22111030325255598</v>
      </c>
      <c r="CS291" s="31">
        <v>1.5</v>
      </c>
      <c r="CT291" s="31">
        <v>1.5</v>
      </c>
      <c r="CU291" s="43">
        <v>0.1</v>
      </c>
      <c r="CV291" s="44">
        <v>0.39</v>
      </c>
      <c r="CW291" s="43">
        <v>2.1000000000000001E-2</v>
      </c>
      <c r="CX291" s="44">
        <v>0.15</v>
      </c>
    </row>
    <row r="292" spans="1:102" x14ac:dyDescent="0.25">
      <c r="A292" s="31">
        <v>278</v>
      </c>
      <c r="B292" s="83" t="s">
        <v>254</v>
      </c>
      <c r="C292" s="31">
        <v>60</v>
      </c>
      <c r="D292" s="31" t="s">
        <v>36</v>
      </c>
      <c r="E292" s="31" t="s">
        <v>5</v>
      </c>
      <c r="F292" s="31" t="s">
        <v>64</v>
      </c>
      <c r="G292" s="31" t="str">
        <f t="shared" si="253"/>
        <v>Kommunal 60 M 4S F</v>
      </c>
      <c r="H292" s="48">
        <f t="shared" si="220"/>
        <v>5.7666120410382077E-2</v>
      </c>
      <c r="I292" s="40">
        <f t="shared" si="221"/>
        <v>5.8716116236989364E-2</v>
      </c>
      <c r="J292" s="99">
        <f t="shared" si="222"/>
        <v>1.2579561837591012E-3</v>
      </c>
      <c r="K292" s="48">
        <f t="shared" si="223"/>
        <v>1.1380290665143887E-2</v>
      </c>
      <c r="L292" s="48">
        <f t="shared" si="224"/>
        <v>4.6077869388086369E-2</v>
      </c>
      <c r="M292" s="48">
        <f t="shared" si="254"/>
        <v>9.041058484086506E-2</v>
      </c>
      <c r="N292" s="99">
        <f t="shared" si="225"/>
        <v>1.9178322628643392E-3</v>
      </c>
      <c r="O292" s="48">
        <f t="shared" si="226"/>
        <v>1.0361817236291197E-2</v>
      </c>
      <c r="P292" s="48">
        <f t="shared" si="227"/>
        <v>1.7070435997715828E-2</v>
      </c>
      <c r="Q292" s="48">
        <f t="shared" si="228"/>
        <v>6.9116804082129557E-2</v>
      </c>
      <c r="R292" s="40">
        <f t="shared" si="255"/>
        <v>0.63287409388605542</v>
      </c>
      <c r="S292" s="99">
        <f t="shared" si="229"/>
        <v>2.8767483942965088E-3</v>
      </c>
      <c r="T292" s="48">
        <f t="shared" si="230"/>
        <v>1.5542725854436796E-2</v>
      </c>
      <c r="U292" s="40">
        <v>2.0804255999999999</v>
      </c>
      <c r="V292" s="40">
        <v>1.25</v>
      </c>
      <c r="W292" s="40">
        <v>0.45</v>
      </c>
      <c r="X292" s="40">
        <v>1.0334607896331753</v>
      </c>
      <c r="Y292" s="42">
        <v>0.70845794954218955</v>
      </c>
      <c r="Z292" s="42">
        <v>16.359881718202693</v>
      </c>
      <c r="AA292" s="42">
        <v>82.93166033225512</v>
      </c>
      <c r="AB292" s="42">
        <v>2.787878787878789</v>
      </c>
      <c r="AC292" s="125">
        <v>1.1000000000000001</v>
      </c>
      <c r="AD292" s="94">
        <f t="shared" si="256"/>
        <v>3.1379887866311691E-2</v>
      </c>
      <c r="AE292" s="94">
        <f t="shared" si="210"/>
        <v>3.2429883692918979E-2</v>
      </c>
      <c r="AF292" s="96">
        <f t="shared" si="211"/>
        <v>2.2975208904977068E-4</v>
      </c>
      <c r="AG292" s="95">
        <f t="shared" si="218"/>
        <v>5.3054906135122483E-3</v>
      </c>
      <c r="AH292" s="94">
        <f t="shared" si="219"/>
        <v>2.6894640990356961E-2</v>
      </c>
      <c r="AI292" s="94">
        <f t="shared" si="213"/>
        <v>9.041058484086506E-2</v>
      </c>
      <c r="AJ292" s="96">
        <f t="shared" si="231"/>
        <v>8.6079337138579484E-4</v>
      </c>
      <c r="AK292" s="95">
        <f t="shared" si="232"/>
        <v>4.9818407005298351E-3</v>
      </c>
      <c r="AL292" s="95">
        <f t="shared" si="233"/>
        <v>7.9582359202683729E-3</v>
      </c>
      <c r="AM292" s="94">
        <f t="shared" si="234"/>
        <v>4.0341961485535441E-2</v>
      </c>
      <c r="AN292" s="93">
        <f t="shared" si="235"/>
        <v>0.63287409388605542</v>
      </c>
      <c r="AO292" s="96">
        <f t="shared" si="236"/>
        <v>1.2911900570786923E-3</v>
      </c>
      <c r="AP292" s="95">
        <f t="shared" si="237"/>
        <v>7.4727610507947517E-3</v>
      </c>
      <c r="AQ292" s="93">
        <f t="shared" si="238"/>
        <v>0.17068339667744883</v>
      </c>
      <c r="AR292" s="31">
        <v>1.5</v>
      </c>
      <c r="AS292" s="31">
        <v>1.5</v>
      </c>
      <c r="AT292" s="31">
        <v>7</v>
      </c>
      <c r="AU292" s="43">
        <v>7.0999999999999994E-2</v>
      </c>
      <c r="AV292" s="44">
        <v>0.28000000000000003</v>
      </c>
      <c r="AW292" s="43">
        <v>1.7999999999999999E-2</v>
      </c>
      <c r="AX292" s="44">
        <v>0.13</v>
      </c>
      <c r="AY292" s="40">
        <v>5.8652742893442662</v>
      </c>
      <c r="AZ292" s="41">
        <v>0.5</v>
      </c>
      <c r="BA292" s="40">
        <v>0.72</v>
      </c>
      <c r="BB292" s="45">
        <v>1</v>
      </c>
      <c r="BC292" s="41">
        <v>10.143816871206576</v>
      </c>
      <c r="BD292" s="41">
        <v>46.469351153680122</v>
      </c>
      <c r="BE292" s="41">
        <v>43.386831975113296</v>
      </c>
      <c r="BF292" s="125">
        <v>1.1000000000000001</v>
      </c>
      <c r="BG292" s="48">
        <f t="shared" si="257"/>
        <v>3.7413545456001212E-3</v>
      </c>
      <c r="BH292" s="48">
        <f t="shared" si="214"/>
        <v>3.7413545456001212E-3</v>
      </c>
      <c r="BI292" s="99">
        <f t="shared" si="215"/>
        <v>3.7951615360823918E-4</v>
      </c>
      <c r="BJ292" s="99">
        <f t="shared" si="258"/>
        <v>1.7385831816990934E-3</v>
      </c>
      <c r="BK292" s="48">
        <f t="shared" si="216"/>
        <v>1.6232552102927881E-3</v>
      </c>
      <c r="BL292" s="99">
        <f t="shared" si="239"/>
        <v>2.5465776754912082E-4</v>
      </c>
      <c r="BM292" s="48">
        <f t="shared" si="240"/>
        <v>1.0548559783721768E-3</v>
      </c>
      <c r="BN292" s="48">
        <f t="shared" si="241"/>
        <v>2.6078747725486401E-3</v>
      </c>
      <c r="BO292" s="48">
        <f t="shared" si="242"/>
        <v>2.4348828154391821E-3</v>
      </c>
      <c r="BP292" s="99">
        <f t="shared" si="243"/>
        <v>3.819866513236812E-4</v>
      </c>
      <c r="BQ292" s="48">
        <f t="shared" si="244"/>
        <v>1.5822839675582651E-3</v>
      </c>
      <c r="BR292" s="40">
        <f t="shared" si="245"/>
        <v>0.56613168024886695</v>
      </c>
      <c r="BS292" s="31">
        <v>1.5</v>
      </c>
      <c r="BT292" s="31">
        <v>1.5</v>
      </c>
      <c r="BU292" s="43">
        <v>0.125</v>
      </c>
      <c r="BV292" s="44">
        <v>0.42</v>
      </c>
      <c r="BW292" s="43">
        <v>2.3E-2</v>
      </c>
      <c r="BX292" s="44">
        <v>0.2</v>
      </c>
      <c r="BY292" s="40">
        <v>15.602524598139276</v>
      </c>
      <c r="BZ292" s="40">
        <v>0.52</v>
      </c>
      <c r="CA292" s="40">
        <v>0.65</v>
      </c>
      <c r="CB292" s="45">
        <v>1</v>
      </c>
      <c r="CC292" s="41">
        <v>2.8773184806992829</v>
      </c>
      <c r="CD292" s="41">
        <v>19.233711844556318</v>
      </c>
      <c r="CE292" s="41">
        <v>77.888969674744388</v>
      </c>
      <c r="CF292" s="125">
        <v>1.1000000000000001</v>
      </c>
      <c r="CG292" s="40">
        <f t="shared" si="259"/>
        <v>2.2544877998470263E-2</v>
      </c>
      <c r="CH292" s="40">
        <f t="shared" si="217"/>
        <v>2.2544877998470263E-2</v>
      </c>
      <c r="CI292" s="99">
        <f t="shared" si="260"/>
        <v>6.4868794110109138E-4</v>
      </c>
      <c r="CJ292" s="100">
        <f t="shared" si="261"/>
        <v>4.3362168699325456E-3</v>
      </c>
      <c r="CK292" s="100">
        <f t="shared" si="262"/>
        <v>1.7559973187436621E-2</v>
      </c>
      <c r="CL292" s="101">
        <f t="shared" si="246"/>
        <v>8.023811239294236E-4</v>
      </c>
      <c r="CM292" s="100">
        <f t="shared" si="247"/>
        <v>4.325120557389186E-3</v>
      </c>
      <c r="CN292" s="100">
        <f t="shared" si="248"/>
        <v>6.504325304898818E-3</v>
      </c>
      <c r="CO292" s="100">
        <f t="shared" si="249"/>
        <v>2.6339959781154932E-2</v>
      </c>
      <c r="CP292" s="101">
        <f t="shared" si="250"/>
        <v>1.2035716858941354E-3</v>
      </c>
      <c r="CQ292" s="100">
        <f t="shared" si="251"/>
        <v>6.4876808360837795E-3</v>
      </c>
      <c r="CR292" s="99">
        <f t="shared" si="252"/>
        <v>0.22111030325255598</v>
      </c>
      <c r="CS292" s="31">
        <v>1.5</v>
      </c>
      <c r="CT292" s="31">
        <v>1.5</v>
      </c>
      <c r="CU292" s="43">
        <v>0.1</v>
      </c>
      <c r="CV292" s="44">
        <v>0.39</v>
      </c>
      <c r="CW292" s="43">
        <v>2.1000000000000001E-2</v>
      </c>
      <c r="CX292" s="44">
        <v>0.15</v>
      </c>
    </row>
    <row r="293" spans="1:102" x14ac:dyDescent="0.25">
      <c r="A293" s="31">
        <v>279</v>
      </c>
      <c r="B293" s="83" t="s">
        <v>254</v>
      </c>
      <c r="C293" s="31">
        <v>60</v>
      </c>
      <c r="D293" s="31" t="s">
        <v>36</v>
      </c>
      <c r="E293" s="31" t="s">
        <v>6</v>
      </c>
      <c r="F293" s="31" t="s">
        <v>12</v>
      </c>
      <c r="G293" s="31" t="str">
        <f t="shared" si="253"/>
        <v>Kommunal 60 Y 4S A</v>
      </c>
      <c r="H293" s="48">
        <f t="shared" si="220"/>
        <v>0.11091683921382015</v>
      </c>
      <c r="I293" s="40">
        <f t="shared" si="221"/>
        <v>0.1237586239928912</v>
      </c>
      <c r="J293" s="99">
        <f t="shared" si="222"/>
        <v>1.7370387936137557E-3</v>
      </c>
      <c r="K293" s="48">
        <f t="shared" si="223"/>
        <v>2.6387747840438708E-2</v>
      </c>
      <c r="L293" s="48">
        <f t="shared" si="224"/>
        <v>9.5633837358838736E-2</v>
      </c>
      <c r="M293" s="48">
        <f t="shared" si="254"/>
        <v>0.17632646093550736</v>
      </c>
      <c r="N293" s="99">
        <f t="shared" si="225"/>
        <v>3.8749039500615792E-3</v>
      </c>
      <c r="O293" s="48">
        <f t="shared" si="226"/>
        <v>2.1004751728742749E-2</v>
      </c>
      <c r="P293" s="48">
        <f t="shared" si="227"/>
        <v>3.9581621760658062E-2</v>
      </c>
      <c r="Q293" s="48">
        <f t="shared" si="228"/>
        <v>0.1434507560382581</v>
      </c>
      <c r="R293" s="40">
        <f t="shared" si="255"/>
        <v>1.2342852265485516</v>
      </c>
      <c r="S293" s="99">
        <f t="shared" si="229"/>
        <v>5.812355925092369E-3</v>
      </c>
      <c r="T293" s="48">
        <f t="shared" si="230"/>
        <v>3.1507127593114123E-2</v>
      </c>
      <c r="U293" s="40">
        <v>5.6108448000000015</v>
      </c>
      <c r="V293" s="40">
        <v>1.25</v>
      </c>
      <c r="W293" s="40">
        <v>0.45</v>
      </c>
      <c r="X293" s="40">
        <v>1.1517392499522423</v>
      </c>
      <c r="Y293" s="42">
        <v>0.71473328447716378</v>
      </c>
      <c r="Z293" s="42">
        <v>20.848159913629427</v>
      </c>
      <c r="AA293" s="42">
        <v>78.437106801893407</v>
      </c>
      <c r="AB293" s="42">
        <v>1.8089887640449442</v>
      </c>
      <c r="AC293" s="125">
        <v>1.1000000000000001</v>
      </c>
      <c r="AD293" s="94">
        <f t="shared" si="256"/>
        <v>8.4630606669749753E-2</v>
      </c>
      <c r="AE293" s="94">
        <f t="shared" si="210"/>
        <v>9.7472391448820819E-2</v>
      </c>
      <c r="AF293" s="96">
        <f t="shared" si="211"/>
        <v>6.9666762486059522E-4</v>
      </c>
      <c r="AG293" s="95">
        <f t="shared" si="218"/>
        <v>2.0321200040889019E-2</v>
      </c>
      <c r="AH293" s="94">
        <f t="shared" si="219"/>
        <v>7.6454523783071202E-2</v>
      </c>
      <c r="AI293" s="94">
        <f t="shared" si="213"/>
        <v>0.17632646093550736</v>
      </c>
      <c r="AJ293" s="96">
        <f t="shared" si="231"/>
        <v>2.8189866309984019E-3</v>
      </c>
      <c r="AK293" s="95">
        <f t="shared" si="232"/>
        <v>1.5629024103248183E-2</v>
      </c>
      <c r="AL293" s="95">
        <f t="shared" si="233"/>
        <v>3.0481800061333528E-2</v>
      </c>
      <c r="AM293" s="94">
        <f t="shared" si="234"/>
        <v>0.1146817856746068</v>
      </c>
      <c r="AN293" s="93">
        <f t="shared" si="235"/>
        <v>1.2342852265485516</v>
      </c>
      <c r="AO293" s="96">
        <f t="shared" si="236"/>
        <v>4.2284799464976028E-3</v>
      </c>
      <c r="AP293" s="95">
        <f t="shared" si="237"/>
        <v>2.3443536154872272E-2</v>
      </c>
      <c r="AQ293" s="93">
        <f t="shared" si="238"/>
        <v>0.21562893198106589</v>
      </c>
      <c r="AR293" s="31">
        <v>1.5</v>
      </c>
      <c r="AS293" s="31">
        <v>1.5</v>
      </c>
      <c r="AT293" s="31">
        <v>7</v>
      </c>
      <c r="AU293" s="43">
        <v>7.0999999999999994E-2</v>
      </c>
      <c r="AV293" s="44">
        <v>0.28000000000000003</v>
      </c>
      <c r="AW293" s="43">
        <v>1.7999999999999999E-2</v>
      </c>
      <c r="AX293" s="44">
        <v>0.13</v>
      </c>
      <c r="AY293" s="40">
        <v>5.8652742893442671</v>
      </c>
      <c r="AZ293" s="41">
        <v>0.5</v>
      </c>
      <c r="BA293" s="40">
        <v>0.72</v>
      </c>
      <c r="BB293" s="45">
        <v>1</v>
      </c>
      <c r="BC293" s="41">
        <v>10.469021924497721</v>
      </c>
      <c r="BD293" s="41">
        <v>46.248782587366165</v>
      </c>
      <c r="BE293" s="41">
        <v>43.282195488136097</v>
      </c>
      <c r="BF293" s="125">
        <v>1.1000000000000001</v>
      </c>
      <c r="BG293" s="48">
        <f t="shared" si="257"/>
        <v>3.7413545456001216E-3</v>
      </c>
      <c r="BH293" s="48">
        <f t="shared" si="214"/>
        <v>3.7413545456001216E-3</v>
      </c>
      <c r="BI293" s="99">
        <f t="shared" si="215"/>
        <v>3.9168322765206884E-4</v>
      </c>
      <c r="BJ293" s="99">
        <f t="shared" si="258"/>
        <v>1.7303309296171415E-3</v>
      </c>
      <c r="BK293" s="48">
        <f t="shared" si="216"/>
        <v>1.6193403883309108E-3</v>
      </c>
      <c r="BL293" s="99">
        <f t="shared" si="239"/>
        <v>2.5353619513375362E-4</v>
      </c>
      <c r="BM293" s="48">
        <f t="shared" si="240"/>
        <v>1.0506070681053816E-3</v>
      </c>
      <c r="BN293" s="48">
        <f t="shared" si="241"/>
        <v>2.5954963944257122E-3</v>
      </c>
      <c r="BO293" s="48">
        <f t="shared" si="242"/>
        <v>2.4290105824963659E-3</v>
      </c>
      <c r="BP293" s="99">
        <f t="shared" si="243"/>
        <v>3.8030429270063043E-4</v>
      </c>
      <c r="BQ293" s="48">
        <f t="shared" si="244"/>
        <v>1.5759106021580721E-3</v>
      </c>
      <c r="BR293" s="40">
        <f t="shared" si="245"/>
        <v>0.5671780451186389</v>
      </c>
      <c r="BS293" s="31">
        <v>1.5</v>
      </c>
      <c r="BT293" s="31">
        <v>1.5</v>
      </c>
      <c r="BU293" s="43">
        <v>0.125</v>
      </c>
      <c r="BV293" s="44">
        <v>0.42</v>
      </c>
      <c r="BW293" s="43">
        <v>2.3E-2</v>
      </c>
      <c r="BX293" s="44">
        <v>0.2</v>
      </c>
      <c r="BY293" s="40">
        <v>15.602524598139274</v>
      </c>
      <c r="BZ293" s="40">
        <v>0.52</v>
      </c>
      <c r="CA293" s="40">
        <v>0.65</v>
      </c>
      <c r="CB293" s="45">
        <v>1</v>
      </c>
      <c r="CC293" s="41">
        <v>2.8773184806992838</v>
      </c>
      <c r="CD293" s="41">
        <v>19.233711844556318</v>
      </c>
      <c r="CE293" s="41">
        <v>77.888969674744388</v>
      </c>
      <c r="CF293" s="125">
        <v>1.1000000000000001</v>
      </c>
      <c r="CG293" s="40">
        <f t="shared" si="259"/>
        <v>2.2544877998470263E-2</v>
      </c>
      <c r="CH293" s="40">
        <f t="shared" si="217"/>
        <v>2.2544877998470263E-2</v>
      </c>
      <c r="CI293" s="99">
        <f t="shared" si="260"/>
        <v>6.486879411010917E-4</v>
      </c>
      <c r="CJ293" s="100">
        <f t="shared" si="261"/>
        <v>4.3362168699325456E-3</v>
      </c>
      <c r="CK293" s="100">
        <f t="shared" si="262"/>
        <v>1.7559973187436621E-2</v>
      </c>
      <c r="CL293" s="101">
        <f t="shared" si="246"/>
        <v>8.023811239294236E-4</v>
      </c>
      <c r="CM293" s="100">
        <f t="shared" si="247"/>
        <v>4.325120557389186E-3</v>
      </c>
      <c r="CN293" s="100">
        <f t="shared" si="248"/>
        <v>6.504325304898818E-3</v>
      </c>
      <c r="CO293" s="100">
        <f t="shared" si="249"/>
        <v>2.6339959781154932E-2</v>
      </c>
      <c r="CP293" s="101">
        <f t="shared" si="250"/>
        <v>1.2035716858941354E-3</v>
      </c>
      <c r="CQ293" s="100">
        <f t="shared" si="251"/>
        <v>6.4876808360837795E-3</v>
      </c>
      <c r="CR293" s="99">
        <f t="shared" si="252"/>
        <v>0.22111030325255598</v>
      </c>
      <c r="CS293" s="31">
        <v>1.5</v>
      </c>
      <c r="CT293" s="31">
        <v>1.5</v>
      </c>
      <c r="CU293" s="43">
        <v>0.1</v>
      </c>
      <c r="CV293" s="44">
        <v>0.39</v>
      </c>
      <c r="CW293" s="43">
        <v>2.1000000000000001E-2</v>
      </c>
      <c r="CX293" s="44">
        <v>0.15</v>
      </c>
    </row>
    <row r="294" spans="1:102" x14ac:dyDescent="0.25">
      <c r="A294" s="31">
        <v>280</v>
      </c>
      <c r="B294" s="83" t="s">
        <v>254</v>
      </c>
      <c r="C294" s="31">
        <v>60</v>
      </c>
      <c r="D294" s="31" t="s">
        <v>36</v>
      </c>
      <c r="E294" s="31" t="s">
        <v>6</v>
      </c>
      <c r="F294" s="31" t="s">
        <v>13</v>
      </c>
      <c r="G294" s="31" t="str">
        <f t="shared" si="253"/>
        <v>Kommunal 60 Y 4S B</v>
      </c>
      <c r="H294" s="48">
        <f t="shared" si="220"/>
        <v>0.11091683921382015</v>
      </c>
      <c r="I294" s="40">
        <f t="shared" si="221"/>
        <v>0.1237586239928912</v>
      </c>
      <c r="J294" s="99">
        <f t="shared" si="222"/>
        <v>1.7370387936137557E-3</v>
      </c>
      <c r="K294" s="48">
        <f t="shared" si="223"/>
        <v>2.6387747840438708E-2</v>
      </c>
      <c r="L294" s="48">
        <f t="shared" si="224"/>
        <v>9.5633837358838736E-2</v>
      </c>
      <c r="M294" s="48">
        <f t="shared" si="254"/>
        <v>0.17632646093550736</v>
      </c>
      <c r="N294" s="99">
        <f t="shared" si="225"/>
        <v>3.8749039500615792E-3</v>
      </c>
      <c r="O294" s="48">
        <f t="shared" si="226"/>
        <v>2.1004751728742749E-2</v>
      </c>
      <c r="P294" s="48">
        <f t="shared" si="227"/>
        <v>3.9581621760658062E-2</v>
      </c>
      <c r="Q294" s="48">
        <f t="shared" si="228"/>
        <v>0.1434507560382581</v>
      </c>
      <c r="R294" s="40">
        <f t="shared" si="255"/>
        <v>1.2342852265485516</v>
      </c>
      <c r="S294" s="99">
        <f t="shared" si="229"/>
        <v>5.812355925092369E-3</v>
      </c>
      <c r="T294" s="48">
        <f t="shared" si="230"/>
        <v>3.1507127593114123E-2</v>
      </c>
      <c r="U294" s="40">
        <v>5.6108448000000015</v>
      </c>
      <c r="V294" s="40">
        <v>1.25</v>
      </c>
      <c r="W294" s="40">
        <v>0.45</v>
      </c>
      <c r="X294" s="40">
        <v>1.1517392499522423</v>
      </c>
      <c r="Y294" s="42">
        <v>0.71473328447716378</v>
      </c>
      <c r="Z294" s="42">
        <v>20.848159913629427</v>
      </c>
      <c r="AA294" s="42">
        <v>78.437106801893407</v>
      </c>
      <c r="AB294" s="42">
        <v>1.8089887640449442</v>
      </c>
      <c r="AC294" s="125">
        <v>1.1000000000000001</v>
      </c>
      <c r="AD294" s="94">
        <f t="shared" si="256"/>
        <v>8.4630606669749753E-2</v>
      </c>
      <c r="AE294" s="94">
        <f t="shared" si="210"/>
        <v>9.7472391448820819E-2</v>
      </c>
      <c r="AF294" s="96">
        <f t="shared" si="211"/>
        <v>6.9666762486059522E-4</v>
      </c>
      <c r="AG294" s="95">
        <f t="shared" si="218"/>
        <v>2.0321200040889019E-2</v>
      </c>
      <c r="AH294" s="94">
        <f t="shared" si="219"/>
        <v>7.6454523783071202E-2</v>
      </c>
      <c r="AI294" s="94">
        <f t="shared" si="213"/>
        <v>0.17632646093550736</v>
      </c>
      <c r="AJ294" s="96">
        <f t="shared" si="231"/>
        <v>2.8189866309984019E-3</v>
      </c>
      <c r="AK294" s="95">
        <f t="shared" si="232"/>
        <v>1.5629024103248183E-2</v>
      </c>
      <c r="AL294" s="95">
        <f t="shared" si="233"/>
        <v>3.0481800061333528E-2</v>
      </c>
      <c r="AM294" s="94">
        <f t="shared" si="234"/>
        <v>0.1146817856746068</v>
      </c>
      <c r="AN294" s="93">
        <f t="shared" si="235"/>
        <v>1.2342852265485516</v>
      </c>
      <c r="AO294" s="96">
        <f t="shared" si="236"/>
        <v>4.2284799464976028E-3</v>
      </c>
      <c r="AP294" s="95">
        <f t="shared" si="237"/>
        <v>2.3443536154872272E-2</v>
      </c>
      <c r="AQ294" s="93">
        <f t="shared" si="238"/>
        <v>0.21562893198106589</v>
      </c>
      <c r="AR294" s="31">
        <v>1.5</v>
      </c>
      <c r="AS294" s="31">
        <v>1.5</v>
      </c>
      <c r="AT294" s="31">
        <v>7</v>
      </c>
      <c r="AU294" s="43">
        <v>7.0999999999999994E-2</v>
      </c>
      <c r="AV294" s="44">
        <v>0.28000000000000003</v>
      </c>
      <c r="AW294" s="43">
        <v>1.7999999999999999E-2</v>
      </c>
      <c r="AX294" s="44">
        <v>0.13</v>
      </c>
      <c r="AY294" s="40">
        <v>5.8652742893442671</v>
      </c>
      <c r="AZ294" s="41">
        <v>0.5</v>
      </c>
      <c r="BA294" s="40">
        <v>0.72</v>
      </c>
      <c r="BB294" s="45">
        <v>1</v>
      </c>
      <c r="BC294" s="41">
        <v>10.469021924497721</v>
      </c>
      <c r="BD294" s="41">
        <v>46.248782587366165</v>
      </c>
      <c r="BE294" s="41">
        <v>43.282195488136097</v>
      </c>
      <c r="BF294" s="125">
        <v>1.1000000000000001</v>
      </c>
      <c r="BG294" s="48">
        <f t="shared" si="257"/>
        <v>3.7413545456001216E-3</v>
      </c>
      <c r="BH294" s="48">
        <f t="shared" si="214"/>
        <v>3.7413545456001216E-3</v>
      </c>
      <c r="BI294" s="99">
        <f t="shared" si="215"/>
        <v>3.9168322765206884E-4</v>
      </c>
      <c r="BJ294" s="99">
        <f t="shared" si="258"/>
        <v>1.7303309296171415E-3</v>
      </c>
      <c r="BK294" s="48">
        <f t="shared" si="216"/>
        <v>1.6193403883309108E-3</v>
      </c>
      <c r="BL294" s="99">
        <f t="shared" si="239"/>
        <v>2.5353619513375362E-4</v>
      </c>
      <c r="BM294" s="48">
        <f t="shared" si="240"/>
        <v>1.0506070681053816E-3</v>
      </c>
      <c r="BN294" s="48">
        <f t="shared" si="241"/>
        <v>2.5954963944257122E-3</v>
      </c>
      <c r="BO294" s="48">
        <f t="shared" si="242"/>
        <v>2.4290105824963659E-3</v>
      </c>
      <c r="BP294" s="99">
        <f t="shared" si="243"/>
        <v>3.8030429270063043E-4</v>
      </c>
      <c r="BQ294" s="48">
        <f t="shared" si="244"/>
        <v>1.5759106021580721E-3</v>
      </c>
      <c r="BR294" s="40">
        <f t="shared" si="245"/>
        <v>0.5671780451186389</v>
      </c>
      <c r="BS294" s="31">
        <v>1.5</v>
      </c>
      <c r="BT294" s="31">
        <v>1.5</v>
      </c>
      <c r="BU294" s="43">
        <v>0.125</v>
      </c>
      <c r="BV294" s="44">
        <v>0.42</v>
      </c>
      <c r="BW294" s="43">
        <v>2.3E-2</v>
      </c>
      <c r="BX294" s="44">
        <v>0.2</v>
      </c>
      <c r="BY294" s="40">
        <v>15.602524598139274</v>
      </c>
      <c r="BZ294" s="40">
        <v>0.52</v>
      </c>
      <c r="CA294" s="40">
        <v>0.65</v>
      </c>
      <c r="CB294" s="45">
        <v>1</v>
      </c>
      <c r="CC294" s="41">
        <v>2.8773184806992838</v>
      </c>
      <c r="CD294" s="41">
        <v>19.233711844556318</v>
      </c>
      <c r="CE294" s="41">
        <v>77.888969674744388</v>
      </c>
      <c r="CF294" s="125">
        <v>1.1000000000000001</v>
      </c>
      <c r="CG294" s="40">
        <f t="shared" si="259"/>
        <v>2.2544877998470263E-2</v>
      </c>
      <c r="CH294" s="40">
        <f t="shared" si="217"/>
        <v>2.2544877998470263E-2</v>
      </c>
      <c r="CI294" s="99">
        <f t="shared" si="260"/>
        <v>6.486879411010917E-4</v>
      </c>
      <c r="CJ294" s="100">
        <f t="shared" si="261"/>
        <v>4.3362168699325456E-3</v>
      </c>
      <c r="CK294" s="100">
        <f t="shared" si="262"/>
        <v>1.7559973187436621E-2</v>
      </c>
      <c r="CL294" s="101">
        <f t="shared" si="246"/>
        <v>8.023811239294236E-4</v>
      </c>
      <c r="CM294" s="100">
        <f t="shared" si="247"/>
        <v>4.325120557389186E-3</v>
      </c>
      <c r="CN294" s="100">
        <f t="shared" si="248"/>
        <v>6.504325304898818E-3</v>
      </c>
      <c r="CO294" s="100">
        <f t="shared" si="249"/>
        <v>2.6339959781154932E-2</v>
      </c>
      <c r="CP294" s="101">
        <f t="shared" si="250"/>
        <v>1.2035716858941354E-3</v>
      </c>
      <c r="CQ294" s="100">
        <f t="shared" si="251"/>
        <v>6.4876808360837795E-3</v>
      </c>
      <c r="CR294" s="99">
        <f t="shared" si="252"/>
        <v>0.22111030325255598</v>
      </c>
      <c r="CS294" s="31">
        <v>1.5</v>
      </c>
      <c r="CT294" s="31">
        <v>1.5</v>
      </c>
      <c r="CU294" s="43">
        <v>0.1</v>
      </c>
      <c r="CV294" s="44">
        <v>0.39</v>
      </c>
      <c r="CW294" s="43">
        <v>2.1000000000000001E-2</v>
      </c>
      <c r="CX294" s="44">
        <v>0.15</v>
      </c>
    </row>
    <row r="295" spans="1:102" x14ac:dyDescent="0.25">
      <c r="A295" s="31">
        <v>281</v>
      </c>
      <c r="B295" s="83" t="s">
        <v>254</v>
      </c>
      <c r="C295" s="31">
        <v>60</v>
      </c>
      <c r="D295" s="31" t="s">
        <v>36</v>
      </c>
      <c r="E295" s="31" t="s">
        <v>6</v>
      </c>
      <c r="F295" s="31" t="s">
        <v>70</v>
      </c>
      <c r="G295" s="31" t="str">
        <f t="shared" si="253"/>
        <v>Kommunal 60 Y 4S Ck</v>
      </c>
      <c r="H295" s="48">
        <f t="shared" si="220"/>
        <v>0.10245377854684512</v>
      </c>
      <c r="I295" s="40">
        <f t="shared" si="221"/>
        <v>0.11401138484800907</v>
      </c>
      <c r="J295" s="99">
        <f t="shared" si="222"/>
        <v>1.6673720311276962E-3</v>
      </c>
      <c r="K295" s="48">
        <f t="shared" si="223"/>
        <v>2.4355627836349793E-2</v>
      </c>
      <c r="L295" s="48">
        <f t="shared" si="224"/>
        <v>8.7988384980531575E-2</v>
      </c>
      <c r="M295" s="48">
        <f t="shared" si="254"/>
        <v>0.15869381484195652</v>
      </c>
      <c r="N295" s="99">
        <f t="shared" si="225"/>
        <v>3.5930052869617376E-3</v>
      </c>
      <c r="O295" s="48">
        <f t="shared" si="226"/>
        <v>1.9441849318417921E-2</v>
      </c>
      <c r="P295" s="48">
        <f t="shared" si="227"/>
        <v>3.6533441754524686E-2</v>
      </c>
      <c r="Q295" s="48">
        <f t="shared" si="228"/>
        <v>0.13198257747079736</v>
      </c>
      <c r="R295" s="40">
        <f t="shared" si="255"/>
        <v>1.1108567038936956</v>
      </c>
      <c r="S295" s="99">
        <f t="shared" si="229"/>
        <v>5.3895079304426058E-3</v>
      </c>
      <c r="T295" s="48">
        <f t="shared" si="230"/>
        <v>2.9162773977626885E-2</v>
      </c>
      <c r="U295" s="40">
        <v>5.0497603199999999</v>
      </c>
      <c r="V295" s="40">
        <v>1.25</v>
      </c>
      <c r="W295" s="40">
        <v>0.45</v>
      </c>
      <c r="X295" s="40">
        <v>1.1517392499522423</v>
      </c>
      <c r="Y295" s="42">
        <v>0.71473328447716389</v>
      </c>
      <c r="Z295" s="42">
        <v>20.848159913629424</v>
      </c>
      <c r="AA295" s="42">
        <v>78.437106801893407</v>
      </c>
      <c r="AB295" s="42">
        <v>1.808988764044944</v>
      </c>
      <c r="AC295" s="125">
        <v>1.1000000000000001</v>
      </c>
      <c r="AD295" s="94">
        <f t="shared" si="256"/>
        <v>7.6167546002774741E-2</v>
      </c>
      <c r="AE295" s="94">
        <f t="shared" si="210"/>
        <v>8.7725152303938694E-2</v>
      </c>
      <c r="AF295" s="96">
        <f t="shared" si="211"/>
        <v>6.2700086237453545E-4</v>
      </c>
      <c r="AG295" s="95">
        <f t="shared" si="218"/>
        <v>1.8289080036800104E-2</v>
      </c>
      <c r="AH295" s="94">
        <f t="shared" si="219"/>
        <v>6.8809071404764041E-2</v>
      </c>
      <c r="AI295" s="94">
        <f t="shared" si="213"/>
        <v>0.15869381484195652</v>
      </c>
      <c r="AJ295" s="96">
        <f t="shared" si="231"/>
        <v>2.5370879678985603E-3</v>
      </c>
      <c r="AK295" s="95">
        <f t="shared" si="232"/>
        <v>1.4066121692923355E-2</v>
      </c>
      <c r="AL295" s="95">
        <f t="shared" si="233"/>
        <v>2.7433620055200156E-2</v>
      </c>
      <c r="AM295" s="94">
        <f t="shared" si="234"/>
        <v>0.10321360710714605</v>
      </c>
      <c r="AN295" s="93">
        <f t="shared" si="235"/>
        <v>1.1108567038936956</v>
      </c>
      <c r="AO295" s="96">
        <f t="shared" si="236"/>
        <v>3.8056319518478396E-3</v>
      </c>
      <c r="AP295" s="95">
        <f t="shared" si="237"/>
        <v>2.1099182539385031E-2</v>
      </c>
      <c r="AQ295" s="93">
        <f t="shared" si="238"/>
        <v>0.21562893198106586</v>
      </c>
      <c r="AR295" s="31">
        <v>1.5</v>
      </c>
      <c r="AS295" s="31">
        <v>1.5</v>
      </c>
      <c r="AT295" s="31">
        <v>7</v>
      </c>
      <c r="AU295" s="43">
        <v>7.0999999999999994E-2</v>
      </c>
      <c r="AV295" s="44">
        <v>0.28000000000000003</v>
      </c>
      <c r="AW295" s="43">
        <v>1.7999999999999999E-2</v>
      </c>
      <c r="AX295" s="44">
        <v>0.13</v>
      </c>
      <c r="AY295" s="40">
        <v>5.8652742893442671</v>
      </c>
      <c r="AZ295" s="41">
        <v>0.5</v>
      </c>
      <c r="BA295" s="40">
        <v>0.72</v>
      </c>
      <c r="BB295" s="45">
        <v>1</v>
      </c>
      <c r="BC295" s="41">
        <v>10.469021924497721</v>
      </c>
      <c r="BD295" s="41">
        <v>46.248782587366165</v>
      </c>
      <c r="BE295" s="41">
        <v>43.282195488136097</v>
      </c>
      <c r="BF295" s="125">
        <v>1.1000000000000001</v>
      </c>
      <c r="BG295" s="48">
        <f t="shared" si="257"/>
        <v>3.7413545456001216E-3</v>
      </c>
      <c r="BH295" s="48">
        <f t="shared" si="214"/>
        <v>3.7413545456001216E-3</v>
      </c>
      <c r="BI295" s="99">
        <f t="shared" si="215"/>
        <v>3.9168322765206884E-4</v>
      </c>
      <c r="BJ295" s="99">
        <f t="shared" si="258"/>
        <v>1.7303309296171415E-3</v>
      </c>
      <c r="BK295" s="48">
        <f t="shared" si="216"/>
        <v>1.6193403883309108E-3</v>
      </c>
      <c r="BL295" s="99">
        <f t="shared" si="239"/>
        <v>2.5353619513375362E-4</v>
      </c>
      <c r="BM295" s="48">
        <f t="shared" si="240"/>
        <v>1.0506070681053816E-3</v>
      </c>
      <c r="BN295" s="48">
        <f t="shared" si="241"/>
        <v>2.5954963944257122E-3</v>
      </c>
      <c r="BO295" s="48">
        <f t="shared" si="242"/>
        <v>2.4290105824963659E-3</v>
      </c>
      <c r="BP295" s="99">
        <f t="shared" si="243"/>
        <v>3.8030429270063043E-4</v>
      </c>
      <c r="BQ295" s="48">
        <f t="shared" si="244"/>
        <v>1.5759106021580721E-3</v>
      </c>
      <c r="BR295" s="40">
        <f t="shared" si="245"/>
        <v>0.5671780451186389</v>
      </c>
      <c r="BS295" s="31">
        <v>1.5</v>
      </c>
      <c r="BT295" s="31">
        <v>1.5</v>
      </c>
      <c r="BU295" s="43">
        <v>0.125</v>
      </c>
      <c r="BV295" s="44">
        <v>0.42</v>
      </c>
      <c r="BW295" s="43">
        <v>2.3E-2</v>
      </c>
      <c r="BX295" s="44">
        <v>0.2</v>
      </c>
      <c r="BY295" s="40">
        <v>15.602524598139274</v>
      </c>
      <c r="BZ295" s="40">
        <v>0.52</v>
      </c>
      <c r="CA295" s="40">
        <v>0.65</v>
      </c>
      <c r="CB295" s="45">
        <v>1</v>
      </c>
      <c r="CC295" s="41">
        <v>2.8773184806992838</v>
      </c>
      <c r="CD295" s="41">
        <v>19.233711844556318</v>
      </c>
      <c r="CE295" s="41">
        <v>77.888969674744388</v>
      </c>
      <c r="CF295" s="125">
        <v>1.1000000000000001</v>
      </c>
      <c r="CG295" s="40">
        <f t="shared" si="259"/>
        <v>2.2544877998470263E-2</v>
      </c>
      <c r="CH295" s="40">
        <f t="shared" si="217"/>
        <v>2.2544877998470263E-2</v>
      </c>
      <c r="CI295" s="99">
        <f t="shared" si="260"/>
        <v>6.486879411010917E-4</v>
      </c>
      <c r="CJ295" s="100">
        <f t="shared" si="261"/>
        <v>4.3362168699325456E-3</v>
      </c>
      <c r="CK295" s="100">
        <f t="shared" si="262"/>
        <v>1.7559973187436621E-2</v>
      </c>
      <c r="CL295" s="101">
        <f t="shared" si="246"/>
        <v>8.023811239294236E-4</v>
      </c>
      <c r="CM295" s="100">
        <f t="shared" si="247"/>
        <v>4.325120557389186E-3</v>
      </c>
      <c r="CN295" s="100">
        <f t="shared" si="248"/>
        <v>6.504325304898818E-3</v>
      </c>
      <c r="CO295" s="100">
        <f t="shared" si="249"/>
        <v>2.6339959781154932E-2</v>
      </c>
      <c r="CP295" s="101">
        <f t="shared" si="250"/>
        <v>1.2035716858941354E-3</v>
      </c>
      <c r="CQ295" s="100">
        <f t="shared" si="251"/>
        <v>6.4876808360837795E-3</v>
      </c>
      <c r="CR295" s="99">
        <f t="shared" si="252"/>
        <v>0.22111030325255598</v>
      </c>
      <c r="CS295" s="31">
        <v>1.5</v>
      </c>
      <c r="CT295" s="31">
        <v>1.5</v>
      </c>
      <c r="CU295" s="43">
        <v>0.1</v>
      </c>
      <c r="CV295" s="44">
        <v>0.39</v>
      </c>
      <c r="CW295" s="43">
        <v>2.1000000000000001E-2</v>
      </c>
      <c r="CX295" s="44">
        <v>0.15</v>
      </c>
    </row>
    <row r="296" spans="1:102" x14ac:dyDescent="0.25">
      <c r="A296" s="31">
        <v>282</v>
      </c>
      <c r="B296" s="83" t="s">
        <v>254</v>
      </c>
      <c r="C296" s="31">
        <v>60</v>
      </c>
      <c r="D296" s="31" t="s">
        <v>36</v>
      </c>
      <c r="E296" s="31" t="s">
        <v>6</v>
      </c>
      <c r="F296" s="31" t="s">
        <v>71</v>
      </c>
      <c r="G296" s="31" t="str">
        <f t="shared" si="253"/>
        <v>Kommunal 60 Y 4S Cm</v>
      </c>
      <c r="H296" s="48">
        <f t="shared" si="220"/>
        <v>0.10245377854684512</v>
      </c>
      <c r="I296" s="40">
        <f t="shared" si="221"/>
        <v>0.11401138484800907</v>
      </c>
      <c r="J296" s="99">
        <f t="shared" si="222"/>
        <v>1.6673720311276962E-3</v>
      </c>
      <c r="K296" s="48">
        <f t="shared" si="223"/>
        <v>2.4355627836349793E-2</v>
      </c>
      <c r="L296" s="48">
        <f t="shared" si="224"/>
        <v>8.7988384980531575E-2</v>
      </c>
      <c r="M296" s="48">
        <f t="shared" si="254"/>
        <v>0.15869381484195652</v>
      </c>
      <c r="N296" s="99">
        <f t="shared" si="225"/>
        <v>3.5930052869617376E-3</v>
      </c>
      <c r="O296" s="48">
        <f t="shared" si="226"/>
        <v>1.9441849318417921E-2</v>
      </c>
      <c r="P296" s="48">
        <f t="shared" si="227"/>
        <v>3.6533441754524686E-2</v>
      </c>
      <c r="Q296" s="48">
        <f t="shared" si="228"/>
        <v>0.13198257747079736</v>
      </c>
      <c r="R296" s="40">
        <f t="shared" si="255"/>
        <v>1.1108567038936956</v>
      </c>
      <c r="S296" s="99">
        <f t="shared" si="229"/>
        <v>5.3895079304426058E-3</v>
      </c>
      <c r="T296" s="48">
        <f t="shared" si="230"/>
        <v>2.9162773977626885E-2</v>
      </c>
      <c r="U296" s="40">
        <v>5.0497603199999999</v>
      </c>
      <c r="V296" s="40">
        <v>1.25</v>
      </c>
      <c r="W296" s="40">
        <v>0.45</v>
      </c>
      <c r="X296" s="40">
        <v>1.1517392499522423</v>
      </c>
      <c r="Y296" s="42">
        <v>0.71473328447716389</v>
      </c>
      <c r="Z296" s="42">
        <v>20.848159913629424</v>
      </c>
      <c r="AA296" s="42">
        <v>78.437106801893407</v>
      </c>
      <c r="AB296" s="42">
        <v>1.808988764044944</v>
      </c>
      <c r="AC296" s="125">
        <v>1.1000000000000001</v>
      </c>
      <c r="AD296" s="94">
        <f t="shared" si="256"/>
        <v>7.6167546002774741E-2</v>
      </c>
      <c r="AE296" s="94">
        <f t="shared" si="210"/>
        <v>8.7725152303938694E-2</v>
      </c>
      <c r="AF296" s="96">
        <f t="shared" si="211"/>
        <v>6.2700086237453545E-4</v>
      </c>
      <c r="AG296" s="95">
        <f t="shared" si="218"/>
        <v>1.8289080036800104E-2</v>
      </c>
      <c r="AH296" s="94">
        <f t="shared" si="219"/>
        <v>6.8809071404764041E-2</v>
      </c>
      <c r="AI296" s="94">
        <f t="shared" si="213"/>
        <v>0.15869381484195652</v>
      </c>
      <c r="AJ296" s="96">
        <f t="shared" si="231"/>
        <v>2.5370879678985603E-3</v>
      </c>
      <c r="AK296" s="95">
        <f t="shared" si="232"/>
        <v>1.4066121692923355E-2</v>
      </c>
      <c r="AL296" s="95">
        <f t="shared" si="233"/>
        <v>2.7433620055200156E-2</v>
      </c>
      <c r="AM296" s="94">
        <f t="shared" si="234"/>
        <v>0.10321360710714605</v>
      </c>
      <c r="AN296" s="93">
        <f t="shared" si="235"/>
        <v>1.1108567038936956</v>
      </c>
      <c r="AO296" s="96">
        <f t="shared" si="236"/>
        <v>3.8056319518478396E-3</v>
      </c>
      <c r="AP296" s="95">
        <f t="shared" si="237"/>
        <v>2.1099182539385031E-2</v>
      </c>
      <c r="AQ296" s="93">
        <f t="shared" si="238"/>
        <v>0.21562893198106586</v>
      </c>
      <c r="AR296" s="31">
        <v>1.5</v>
      </c>
      <c r="AS296" s="31">
        <v>1.5</v>
      </c>
      <c r="AT296" s="31">
        <v>7</v>
      </c>
      <c r="AU296" s="43">
        <v>7.0999999999999994E-2</v>
      </c>
      <c r="AV296" s="44">
        <v>0.28000000000000003</v>
      </c>
      <c r="AW296" s="43">
        <v>1.7999999999999999E-2</v>
      </c>
      <c r="AX296" s="44">
        <v>0.13</v>
      </c>
      <c r="AY296" s="40">
        <v>5.8652742893442671</v>
      </c>
      <c r="AZ296" s="41">
        <v>0.5</v>
      </c>
      <c r="BA296" s="40">
        <v>0.72</v>
      </c>
      <c r="BB296" s="45">
        <v>1</v>
      </c>
      <c r="BC296" s="41">
        <v>10.469021924497721</v>
      </c>
      <c r="BD296" s="41">
        <v>46.248782587366165</v>
      </c>
      <c r="BE296" s="41">
        <v>43.282195488136097</v>
      </c>
      <c r="BF296" s="125">
        <v>1.1000000000000001</v>
      </c>
      <c r="BG296" s="48">
        <f t="shared" si="257"/>
        <v>3.7413545456001216E-3</v>
      </c>
      <c r="BH296" s="48">
        <f t="shared" si="214"/>
        <v>3.7413545456001216E-3</v>
      </c>
      <c r="BI296" s="99">
        <f t="shared" si="215"/>
        <v>3.9168322765206884E-4</v>
      </c>
      <c r="BJ296" s="99">
        <f t="shared" si="258"/>
        <v>1.7303309296171415E-3</v>
      </c>
      <c r="BK296" s="48">
        <f t="shared" si="216"/>
        <v>1.6193403883309108E-3</v>
      </c>
      <c r="BL296" s="99">
        <f t="shared" si="239"/>
        <v>2.5353619513375362E-4</v>
      </c>
      <c r="BM296" s="48">
        <f t="shared" si="240"/>
        <v>1.0506070681053816E-3</v>
      </c>
      <c r="BN296" s="48">
        <f t="shared" si="241"/>
        <v>2.5954963944257122E-3</v>
      </c>
      <c r="BO296" s="48">
        <f t="shared" si="242"/>
        <v>2.4290105824963659E-3</v>
      </c>
      <c r="BP296" s="99">
        <f t="shared" si="243"/>
        <v>3.8030429270063043E-4</v>
      </c>
      <c r="BQ296" s="48">
        <f t="shared" si="244"/>
        <v>1.5759106021580721E-3</v>
      </c>
      <c r="BR296" s="40">
        <f t="shared" si="245"/>
        <v>0.5671780451186389</v>
      </c>
      <c r="BS296" s="31">
        <v>1.5</v>
      </c>
      <c r="BT296" s="31">
        <v>1.5</v>
      </c>
      <c r="BU296" s="43">
        <v>0.125</v>
      </c>
      <c r="BV296" s="44">
        <v>0.42</v>
      </c>
      <c r="BW296" s="43">
        <v>2.3E-2</v>
      </c>
      <c r="BX296" s="44">
        <v>0.2</v>
      </c>
      <c r="BY296" s="40">
        <v>15.602524598139274</v>
      </c>
      <c r="BZ296" s="40">
        <v>0.52</v>
      </c>
      <c r="CA296" s="40">
        <v>0.65</v>
      </c>
      <c r="CB296" s="45">
        <v>1</v>
      </c>
      <c r="CC296" s="41">
        <v>2.8773184806992838</v>
      </c>
      <c r="CD296" s="41">
        <v>19.233711844556318</v>
      </c>
      <c r="CE296" s="41">
        <v>77.888969674744388</v>
      </c>
      <c r="CF296" s="125">
        <v>1.1000000000000001</v>
      </c>
      <c r="CG296" s="40">
        <f t="shared" si="259"/>
        <v>2.2544877998470263E-2</v>
      </c>
      <c r="CH296" s="40">
        <f t="shared" si="217"/>
        <v>2.2544877998470263E-2</v>
      </c>
      <c r="CI296" s="99">
        <f t="shared" si="260"/>
        <v>6.486879411010917E-4</v>
      </c>
      <c r="CJ296" s="100">
        <f t="shared" si="261"/>
        <v>4.3362168699325456E-3</v>
      </c>
      <c r="CK296" s="100">
        <f t="shared" si="262"/>
        <v>1.7559973187436621E-2</v>
      </c>
      <c r="CL296" s="101">
        <f t="shared" si="246"/>
        <v>8.023811239294236E-4</v>
      </c>
      <c r="CM296" s="100">
        <f t="shared" si="247"/>
        <v>4.325120557389186E-3</v>
      </c>
      <c r="CN296" s="100">
        <f t="shared" si="248"/>
        <v>6.504325304898818E-3</v>
      </c>
      <c r="CO296" s="100">
        <f t="shared" si="249"/>
        <v>2.6339959781154932E-2</v>
      </c>
      <c r="CP296" s="101">
        <f t="shared" si="250"/>
        <v>1.2035716858941354E-3</v>
      </c>
      <c r="CQ296" s="100">
        <f t="shared" si="251"/>
        <v>6.4876808360837795E-3</v>
      </c>
      <c r="CR296" s="99">
        <f t="shared" si="252"/>
        <v>0.22111030325255598</v>
      </c>
      <c r="CS296" s="31">
        <v>1.5</v>
      </c>
      <c r="CT296" s="31">
        <v>1.5</v>
      </c>
      <c r="CU296" s="43">
        <v>0.1</v>
      </c>
      <c r="CV296" s="44">
        <v>0.39</v>
      </c>
      <c r="CW296" s="43">
        <v>2.1000000000000001E-2</v>
      </c>
      <c r="CX296" s="44">
        <v>0.15</v>
      </c>
    </row>
    <row r="297" spans="1:102" x14ac:dyDescent="0.25">
      <c r="A297" s="31">
        <v>283</v>
      </c>
      <c r="B297" s="83" t="s">
        <v>254</v>
      </c>
      <c r="C297" s="31">
        <v>60</v>
      </c>
      <c r="D297" s="31" t="s">
        <v>36</v>
      </c>
      <c r="E297" s="31" t="s">
        <v>6</v>
      </c>
      <c r="F297" s="31" t="s">
        <v>0</v>
      </c>
      <c r="G297" s="31" t="str">
        <f t="shared" si="253"/>
        <v>Kommunal 60 Y 4S D</v>
      </c>
      <c r="H297" s="48">
        <f t="shared" si="220"/>
        <v>6.1653941890467086E-2</v>
      </c>
      <c r="I297" s="40">
        <f t="shared" si="221"/>
        <v>8.781535427259593E-2</v>
      </c>
      <c r="J297" s="99">
        <f t="shared" si="222"/>
        <v>1.0403711687531605E-3</v>
      </c>
      <c r="K297" s="48">
        <f t="shared" si="223"/>
        <v>1.3932397884353482E-2</v>
      </c>
      <c r="L297" s="48">
        <f t="shared" si="224"/>
        <v>7.2842585219489275E-2</v>
      </c>
      <c r="M297" s="48">
        <f t="shared" si="254"/>
        <v>0.27286827896998272</v>
      </c>
      <c r="N297" s="99">
        <f t="shared" si="225"/>
        <v>2.5803315646712381E-3</v>
      </c>
      <c r="O297" s="48">
        <f t="shared" si="226"/>
        <v>1.4554390962923457E-2</v>
      </c>
      <c r="P297" s="48">
        <f t="shared" si="227"/>
        <v>2.0898596826530218E-2</v>
      </c>
      <c r="Q297" s="48">
        <f t="shared" si="228"/>
        <v>0.10926387782923391</v>
      </c>
      <c r="R297" s="40">
        <f t="shared" si="255"/>
        <v>1.910077952789879</v>
      </c>
      <c r="S297" s="99">
        <f t="shared" si="229"/>
        <v>3.8704973470068565E-3</v>
      </c>
      <c r="T297" s="48">
        <f t="shared" si="230"/>
        <v>2.1831586444385185E-2</v>
      </c>
      <c r="U297" s="40">
        <v>1.3284928800000004</v>
      </c>
      <c r="V297" s="40">
        <v>1.2</v>
      </c>
      <c r="W297" s="45">
        <v>0</v>
      </c>
      <c r="X297" s="40">
        <v>1.7396976752409947</v>
      </c>
      <c r="Y297" s="42">
        <v>0</v>
      </c>
      <c r="Z297" s="42">
        <v>12.783946631822477</v>
      </c>
      <c r="AA297" s="42">
        <v>87.216053368177526</v>
      </c>
      <c r="AB297" s="42">
        <v>4.4347826086956506</v>
      </c>
      <c r="AC297" s="125">
        <v>1.1000000000000001</v>
      </c>
      <c r="AD297" s="94">
        <f t="shared" si="256"/>
        <v>3.53677093463967E-2</v>
      </c>
      <c r="AE297" s="94">
        <f t="shared" si="210"/>
        <v>6.1529121728525538E-2</v>
      </c>
      <c r="AF297" s="96">
        <f t="shared" si="211"/>
        <v>0</v>
      </c>
      <c r="AG297" s="95">
        <f t="shared" si="218"/>
        <v>7.8658500848037931E-3</v>
      </c>
      <c r="AH297" s="94">
        <f t="shared" si="219"/>
        <v>5.3663271643721748E-2</v>
      </c>
      <c r="AI297" s="94">
        <f t="shared" si="213"/>
        <v>0.27286827896998272</v>
      </c>
      <c r="AJ297" s="96">
        <f t="shared" si="231"/>
        <v>1.5244142456080608E-3</v>
      </c>
      <c r="AK297" s="95">
        <f t="shared" si="232"/>
        <v>9.1786633374288905E-3</v>
      </c>
      <c r="AL297" s="95">
        <f t="shared" si="233"/>
        <v>1.179877512720569E-2</v>
      </c>
      <c r="AM297" s="94">
        <f t="shared" si="234"/>
        <v>8.0494907465582619E-2</v>
      </c>
      <c r="AN297" s="93">
        <f t="shared" si="235"/>
        <v>1.910077952789879</v>
      </c>
      <c r="AO297" s="96">
        <f t="shared" si="236"/>
        <v>2.2866213684120907E-3</v>
      </c>
      <c r="AP297" s="95">
        <f t="shared" si="237"/>
        <v>1.3767995006143334E-2</v>
      </c>
      <c r="AQ297" s="93">
        <f t="shared" si="238"/>
        <v>0.12783946631822479</v>
      </c>
      <c r="AR297" s="31">
        <v>1.5</v>
      </c>
      <c r="AS297" s="31">
        <v>1.5</v>
      </c>
      <c r="AT297" s="31">
        <v>7</v>
      </c>
      <c r="AU297" s="43">
        <v>7.0999999999999994E-2</v>
      </c>
      <c r="AV297" s="44">
        <v>0.28000000000000003</v>
      </c>
      <c r="AW297" s="43">
        <v>1.7999999999999999E-2</v>
      </c>
      <c r="AX297" s="44">
        <v>0.13</v>
      </c>
      <c r="AY297" s="40">
        <v>5.8652742893442671</v>
      </c>
      <c r="AZ297" s="41">
        <v>0.5</v>
      </c>
      <c r="BA297" s="40">
        <v>0.72</v>
      </c>
      <c r="BB297" s="45">
        <v>1</v>
      </c>
      <c r="BC297" s="41">
        <v>10.469021924497721</v>
      </c>
      <c r="BD297" s="41">
        <v>46.248782587366165</v>
      </c>
      <c r="BE297" s="41">
        <v>43.282195488136097</v>
      </c>
      <c r="BF297" s="125">
        <v>1.1000000000000001</v>
      </c>
      <c r="BG297" s="48">
        <f t="shared" si="257"/>
        <v>3.7413545456001216E-3</v>
      </c>
      <c r="BH297" s="48">
        <f t="shared" si="214"/>
        <v>3.7413545456001216E-3</v>
      </c>
      <c r="BI297" s="99">
        <f t="shared" si="215"/>
        <v>3.9168322765206884E-4</v>
      </c>
      <c r="BJ297" s="99">
        <f t="shared" si="258"/>
        <v>1.7303309296171415E-3</v>
      </c>
      <c r="BK297" s="48">
        <f t="shared" si="216"/>
        <v>1.6193403883309108E-3</v>
      </c>
      <c r="BL297" s="99">
        <f t="shared" si="239"/>
        <v>2.5353619513375362E-4</v>
      </c>
      <c r="BM297" s="48">
        <f t="shared" si="240"/>
        <v>1.0506070681053816E-3</v>
      </c>
      <c r="BN297" s="48">
        <f t="shared" si="241"/>
        <v>2.5954963944257122E-3</v>
      </c>
      <c r="BO297" s="48">
        <f t="shared" si="242"/>
        <v>2.4290105824963659E-3</v>
      </c>
      <c r="BP297" s="99">
        <f t="shared" si="243"/>
        <v>3.8030429270063043E-4</v>
      </c>
      <c r="BQ297" s="48">
        <f t="shared" si="244"/>
        <v>1.5759106021580721E-3</v>
      </c>
      <c r="BR297" s="40">
        <f t="shared" si="245"/>
        <v>0.5671780451186389</v>
      </c>
      <c r="BS297" s="31">
        <v>1.5</v>
      </c>
      <c r="BT297" s="31">
        <v>1.5</v>
      </c>
      <c r="BU297" s="43">
        <v>0.125</v>
      </c>
      <c r="BV297" s="44">
        <v>0.42</v>
      </c>
      <c r="BW297" s="43">
        <v>2.3E-2</v>
      </c>
      <c r="BX297" s="44">
        <v>0.2</v>
      </c>
      <c r="BY297" s="40">
        <v>15.602524598139274</v>
      </c>
      <c r="BZ297" s="40">
        <v>0.52</v>
      </c>
      <c r="CA297" s="40">
        <v>0.65</v>
      </c>
      <c r="CB297" s="45">
        <v>1</v>
      </c>
      <c r="CC297" s="41">
        <v>2.8773184806992838</v>
      </c>
      <c r="CD297" s="41">
        <v>19.233711844556318</v>
      </c>
      <c r="CE297" s="41">
        <v>77.888969674744388</v>
      </c>
      <c r="CF297" s="125">
        <v>1.1000000000000001</v>
      </c>
      <c r="CG297" s="40">
        <f t="shared" si="259"/>
        <v>2.2544877998470263E-2</v>
      </c>
      <c r="CH297" s="40">
        <f t="shared" si="217"/>
        <v>2.2544877998470263E-2</v>
      </c>
      <c r="CI297" s="99">
        <f t="shared" si="260"/>
        <v>6.486879411010917E-4</v>
      </c>
      <c r="CJ297" s="100">
        <f t="shared" si="261"/>
        <v>4.3362168699325456E-3</v>
      </c>
      <c r="CK297" s="100">
        <f t="shared" si="262"/>
        <v>1.7559973187436621E-2</v>
      </c>
      <c r="CL297" s="101">
        <f t="shared" si="246"/>
        <v>8.023811239294236E-4</v>
      </c>
      <c r="CM297" s="100">
        <f t="shared" si="247"/>
        <v>4.325120557389186E-3</v>
      </c>
      <c r="CN297" s="100">
        <f t="shared" si="248"/>
        <v>6.504325304898818E-3</v>
      </c>
      <c r="CO297" s="100">
        <f t="shared" si="249"/>
        <v>2.6339959781154932E-2</v>
      </c>
      <c r="CP297" s="101">
        <f t="shared" si="250"/>
        <v>1.2035716858941354E-3</v>
      </c>
      <c r="CQ297" s="100">
        <f t="shared" si="251"/>
        <v>6.4876808360837795E-3</v>
      </c>
      <c r="CR297" s="99">
        <f t="shared" si="252"/>
        <v>0.22111030325255598</v>
      </c>
      <c r="CS297" s="31">
        <v>1.5</v>
      </c>
      <c r="CT297" s="31">
        <v>1.5</v>
      </c>
      <c r="CU297" s="43">
        <v>0.1</v>
      </c>
      <c r="CV297" s="44">
        <v>0.39</v>
      </c>
      <c r="CW297" s="43">
        <v>2.1000000000000001E-2</v>
      </c>
      <c r="CX297" s="44">
        <v>0.15</v>
      </c>
    </row>
    <row r="298" spans="1:102" x14ac:dyDescent="0.25">
      <c r="A298" s="31">
        <v>284</v>
      </c>
      <c r="B298" s="83" t="s">
        <v>254</v>
      </c>
      <c r="C298" s="31">
        <v>60</v>
      </c>
      <c r="D298" s="31" t="s">
        <v>36</v>
      </c>
      <c r="E298" s="31" t="s">
        <v>6</v>
      </c>
      <c r="F298" s="31" t="s">
        <v>62</v>
      </c>
      <c r="G298" s="31" t="str">
        <f t="shared" si="253"/>
        <v>Kommunal 60 Y 4S EE</v>
      </c>
      <c r="H298" s="48">
        <f t="shared" si="220"/>
        <v>0.15704125034186764</v>
      </c>
      <c r="I298" s="40">
        <f t="shared" si="221"/>
        <v>0.17688191866999745</v>
      </c>
      <c r="J298" s="99">
        <f t="shared" si="222"/>
        <v>2.1167286624819196E-3</v>
      </c>
      <c r="K298" s="48">
        <f t="shared" si="223"/>
        <v>3.7462977266110406E-2</v>
      </c>
      <c r="L298" s="48">
        <f t="shared" si="224"/>
        <v>0.13730221274140514</v>
      </c>
      <c r="M298" s="48">
        <f t="shared" si="254"/>
        <v>0.27242590411544104</v>
      </c>
      <c r="N298" s="99">
        <f t="shared" si="225"/>
        <v>5.4112759961704639E-3</v>
      </c>
      <c r="O298" s="48">
        <f t="shared" si="226"/>
        <v>2.9522704767664457E-2</v>
      </c>
      <c r="P298" s="48">
        <f t="shared" si="227"/>
        <v>5.6194465899165609E-2</v>
      </c>
      <c r="Q298" s="48">
        <f t="shared" si="228"/>
        <v>0.20595331911210771</v>
      </c>
      <c r="R298" s="40">
        <f t="shared" si="255"/>
        <v>1.9069813288080872</v>
      </c>
      <c r="S298" s="99">
        <f t="shared" si="229"/>
        <v>8.1169139942556985E-3</v>
      </c>
      <c r="T298" s="48">
        <f t="shared" si="230"/>
        <v>4.4284057151496692E-2</v>
      </c>
      <c r="U298" s="40">
        <v>6.1183584000000009</v>
      </c>
      <c r="V298" s="40">
        <v>1.2</v>
      </c>
      <c r="W298" s="41">
        <v>0.1</v>
      </c>
      <c r="X298" s="40">
        <v>1.1517392499522421</v>
      </c>
      <c r="Y298" s="42">
        <v>0.71473328447716378</v>
      </c>
      <c r="Z298" s="42">
        <v>20.848159913629431</v>
      </c>
      <c r="AA298" s="42">
        <v>78.437106801893421</v>
      </c>
      <c r="AB298" s="42">
        <v>1.8089887640449436</v>
      </c>
      <c r="AC298" s="125">
        <v>1.1000000000000001</v>
      </c>
      <c r="AD298" s="94">
        <f t="shared" si="256"/>
        <v>0.13075501779779725</v>
      </c>
      <c r="AE298" s="94">
        <f t="shared" si="210"/>
        <v>0.15059568612592705</v>
      </c>
      <c r="AF298" s="96">
        <f t="shared" si="211"/>
        <v>1.0763574937287588E-3</v>
      </c>
      <c r="AG298" s="95">
        <f t="shared" si="218"/>
        <v>3.1396429466560717E-2</v>
      </c>
      <c r="AH298" s="94">
        <f t="shared" si="219"/>
        <v>0.1181228991656376</v>
      </c>
      <c r="AI298" s="94">
        <f t="shared" si="213"/>
        <v>0.27242590411544104</v>
      </c>
      <c r="AJ298" s="96">
        <f t="shared" si="231"/>
        <v>4.3553586771072871E-3</v>
      </c>
      <c r="AK298" s="95">
        <f t="shared" si="232"/>
        <v>2.414697714216989E-2</v>
      </c>
      <c r="AL298" s="95">
        <f t="shared" si="233"/>
        <v>4.7094644199841079E-2</v>
      </c>
      <c r="AM298" s="94">
        <f t="shared" si="234"/>
        <v>0.1771843487484564</v>
      </c>
      <c r="AN298" s="93">
        <f t="shared" si="235"/>
        <v>1.9069813288080872</v>
      </c>
      <c r="AO298" s="96">
        <f t="shared" si="236"/>
        <v>6.5330380156609314E-3</v>
      </c>
      <c r="AP298" s="95">
        <f t="shared" si="237"/>
        <v>3.6220465713254837E-2</v>
      </c>
      <c r="AQ298" s="93">
        <f t="shared" si="238"/>
        <v>0.21562893198106592</v>
      </c>
      <c r="AR298" s="31">
        <v>1.5</v>
      </c>
      <c r="AS298" s="31">
        <v>1.5</v>
      </c>
      <c r="AT298" s="31">
        <v>7</v>
      </c>
      <c r="AU298" s="43">
        <v>7.0999999999999994E-2</v>
      </c>
      <c r="AV298" s="44">
        <v>0.28000000000000003</v>
      </c>
      <c r="AW298" s="43">
        <v>1.7999999999999999E-2</v>
      </c>
      <c r="AX298" s="44">
        <v>0.13</v>
      </c>
      <c r="AY298" s="40">
        <v>5.8652742893442671</v>
      </c>
      <c r="AZ298" s="41">
        <v>0.5</v>
      </c>
      <c r="BA298" s="40">
        <v>0.72</v>
      </c>
      <c r="BB298" s="45">
        <v>1</v>
      </c>
      <c r="BC298" s="41">
        <v>10.469021924497721</v>
      </c>
      <c r="BD298" s="41">
        <v>46.248782587366165</v>
      </c>
      <c r="BE298" s="41">
        <v>43.282195488136097</v>
      </c>
      <c r="BF298" s="125">
        <v>1.1000000000000001</v>
      </c>
      <c r="BG298" s="48">
        <f t="shared" si="257"/>
        <v>3.7413545456001216E-3</v>
      </c>
      <c r="BH298" s="48">
        <f t="shared" si="214"/>
        <v>3.7413545456001216E-3</v>
      </c>
      <c r="BI298" s="99">
        <f t="shared" si="215"/>
        <v>3.9168322765206884E-4</v>
      </c>
      <c r="BJ298" s="99">
        <f t="shared" si="258"/>
        <v>1.7303309296171415E-3</v>
      </c>
      <c r="BK298" s="48">
        <f t="shared" si="216"/>
        <v>1.6193403883309108E-3</v>
      </c>
      <c r="BL298" s="99">
        <f t="shared" si="239"/>
        <v>2.5353619513375362E-4</v>
      </c>
      <c r="BM298" s="48">
        <f t="shared" si="240"/>
        <v>1.0506070681053816E-3</v>
      </c>
      <c r="BN298" s="48">
        <f t="shared" si="241"/>
        <v>2.5954963944257122E-3</v>
      </c>
      <c r="BO298" s="48">
        <f t="shared" si="242"/>
        <v>2.4290105824963659E-3</v>
      </c>
      <c r="BP298" s="99">
        <f t="shared" si="243"/>
        <v>3.8030429270063043E-4</v>
      </c>
      <c r="BQ298" s="48">
        <f t="shared" si="244"/>
        <v>1.5759106021580721E-3</v>
      </c>
      <c r="BR298" s="40">
        <f t="shared" si="245"/>
        <v>0.5671780451186389</v>
      </c>
      <c r="BS298" s="31">
        <v>1.5</v>
      </c>
      <c r="BT298" s="31">
        <v>1.5</v>
      </c>
      <c r="BU298" s="43">
        <v>0.125</v>
      </c>
      <c r="BV298" s="44">
        <v>0.42</v>
      </c>
      <c r="BW298" s="43">
        <v>2.3E-2</v>
      </c>
      <c r="BX298" s="44">
        <v>0.2</v>
      </c>
      <c r="BY298" s="40">
        <v>15.602524598139274</v>
      </c>
      <c r="BZ298" s="40">
        <v>0.52</v>
      </c>
      <c r="CA298" s="40">
        <v>0.65</v>
      </c>
      <c r="CB298" s="45">
        <v>1</v>
      </c>
      <c r="CC298" s="41">
        <v>2.8773184806992838</v>
      </c>
      <c r="CD298" s="41">
        <v>19.233711844556318</v>
      </c>
      <c r="CE298" s="41">
        <v>77.888969674744388</v>
      </c>
      <c r="CF298" s="125">
        <v>1.1000000000000001</v>
      </c>
      <c r="CG298" s="40">
        <f t="shared" si="259"/>
        <v>2.2544877998470263E-2</v>
      </c>
      <c r="CH298" s="40">
        <f t="shared" si="217"/>
        <v>2.2544877998470263E-2</v>
      </c>
      <c r="CI298" s="99">
        <f t="shared" si="260"/>
        <v>6.486879411010917E-4</v>
      </c>
      <c r="CJ298" s="100">
        <f t="shared" si="261"/>
        <v>4.3362168699325456E-3</v>
      </c>
      <c r="CK298" s="100">
        <f t="shared" si="262"/>
        <v>1.7559973187436621E-2</v>
      </c>
      <c r="CL298" s="101">
        <f t="shared" si="246"/>
        <v>8.023811239294236E-4</v>
      </c>
      <c r="CM298" s="100">
        <f t="shared" si="247"/>
        <v>4.325120557389186E-3</v>
      </c>
      <c r="CN298" s="100">
        <f t="shared" si="248"/>
        <v>6.504325304898818E-3</v>
      </c>
      <c r="CO298" s="100">
        <f t="shared" si="249"/>
        <v>2.6339959781154932E-2</v>
      </c>
      <c r="CP298" s="101">
        <f t="shared" si="250"/>
        <v>1.2035716858941354E-3</v>
      </c>
      <c r="CQ298" s="100">
        <f t="shared" si="251"/>
        <v>6.4876808360837795E-3</v>
      </c>
      <c r="CR298" s="99">
        <f t="shared" si="252"/>
        <v>0.22111030325255598</v>
      </c>
      <c r="CS298" s="31">
        <v>1.5</v>
      </c>
      <c r="CT298" s="31">
        <v>1.5</v>
      </c>
      <c r="CU298" s="43">
        <v>0.1</v>
      </c>
      <c r="CV298" s="44">
        <v>0.39</v>
      </c>
      <c r="CW298" s="43">
        <v>2.1000000000000001E-2</v>
      </c>
      <c r="CX298" s="44">
        <v>0.15</v>
      </c>
    </row>
    <row r="299" spans="1:102" x14ac:dyDescent="0.25">
      <c r="A299" s="31">
        <v>285</v>
      </c>
      <c r="B299" s="83" t="s">
        <v>254</v>
      </c>
      <c r="C299" s="31">
        <v>60</v>
      </c>
      <c r="D299" s="31" t="s">
        <v>36</v>
      </c>
      <c r="E299" s="31" t="s">
        <v>6</v>
      </c>
      <c r="F299" s="31" t="s">
        <v>63</v>
      </c>
      <c r="G299" s="31" t="str">
        <f t="shared" si="253"/>
        <v>Kommunal 60 Y 4S ES</v>
      </c>
      <c r="H299" s="48">
        <f t="shared" si="220"/>
        <v>0.11391098363649471</v>
      </c>
      <c r="I299" s="40">
        <f t="shared" si="221"/>
        <v>0.12666868018561628</v>
      </c>
      <c r="J299" s="99">
        <f t="shared" si="222"/>
        <v>1.745348917366565E-3</v>
      </c>
      <c r="K299" s="48">
        <f t="shared" si="223"/>
        <v>1.8061980700294689E-2</v>
      </c>
      <c r="L299" s="48">
        <f t="shared" si="224"/>
        <v>0.10686135056795504</v>
      </c>
      <c r="M299" s="48">
        <f t="shared" si="254"/>
        <v>0.22343189958924731</v>
      </c>
      <c r="N299" s="99">
        <f t="shared" si="225"/>
        <v>3.4858697208754474E-3</v>
      </c>
      <c r="O299" s="48">
        <f t="shared" si="226"/>
        <v>2.0133113646687541E-2</v>
      </c>
      <c r="P299" s="48">
        <f t="shared" si="227"/>
        <v>2.7092971050442033E-2</v>
      </c>
      <c r="Q299" s="48">
        <f t="shared" si="228"/>
        <v>0.16029202585193256</v>
      </c>
      <c r="R299" s="40">
        <f t="shared" si="255"/>
        <v>1.5640232971247312</v>
      </c>
      <c r="S299" s="99">
        <f t="shared" si="229"/>
        <v>5.2288045813131704E-3</v>
      </c>
      <c r="T299" s="48">
        <f t="shared" si="230"/>
        <v>3.0199670470031317E-2</v>
      </c>
      <c r="U299" s="40">
        <v>4.1001840000000014</v>
      </c>
      <c r="V299" s="40">
        <v>1.2</v>
      </c>
      <c r="W299" s="41">
        <v>0.1</v>
      </c>
      <c r="X299" s="40">
        <v>1.1455946680597711</v>
      </c>
      <c r="Y299" s="42">
        <v>0.70229184999632421</v>
      </c>
      <c r="Z299" s="42">
        <v>11.949731434701913</v>
      </c>
      <c r="AA299" s="42">
        <v>87.347976715301769</v>
      </c>
      <c r="AB299" s="42">
        <v>2.225806451612903</v>
      </c>
      <c r="AC299" s="125">
        <v>1.1000000000000001</v>
      </c>
      <c r="AD299" s="94">
        <f t="shared" si="256"/>
        <v>8.7624751092424319E-2</v>
      </c>
      <c r="AE299" s="94">
        <f t="shared" si="210"/>
        <v>0.1003824476415459</v>
      </c>
      <c r="AF299" s="96">
        <f t="shared" si="211"/>
        <v>7.0497774861340431E-4</v>
      </c>
      <c r="AG299" s="95">
        <f t="shared" si="218"/>
        <v>1.1995432900745E-2</v>
      </c>
      <c r="AH299" s="94">
        <f t="shared" si="219"/>
        <v>8.7682036992187504E-2</v>
      </c>
      <c r="AI299" s="94">
        <f t="shared" si="213"/>
        <v>0.22343189958924731</v>
      </c>
      <c r="AJ299" s="96">
        <f t="shared" si="231"/>
        <v>2.4299524018122701E-3</v>
      </c>
      <c r="AK299" s="95">
        <f t="shared" si="232"/>
        <v>1.4757386021192975E-2</v>
      </c>
      <c r="AL299" s="95">
        <f t="shared" si="233"/>
        <v>1.79931493511175E-2</v>
      </c>
      <c r="AM299" s="94">
        <f t="shared" si="234"/>
        <v>0.13152305548828125</v>
      </c>
      <c r="AN299" s="93">
        <f t="shared" si="235"/>
        <v>1.5640232971247312</v>
      </c>
      <c r="AO299" s="96">
        <f t="shared" si="236"/>
        <v>3.6449286027184047E-3</v>
      </c>
      <c r="AP299" s="95">
        <f t="shared" si="237"/>
        <v>2.2136079031789463E-2</v>
      </c>
      <c r="AQ299" s="93">
        <f t="shared" si="238"/>
        <v>0.12652023284698238</v>
      </c>
      <c r="AR299" s="31">
        <v>1.5</v>
      </c>
      <c r="AS299" s="31">
        <v>1.5</v>
      </c>
      <c r="AT299" s="31">
        <v>7</v>
      </c>
      <c r="AU299" s="43">
        <v>7.0999999999999994E-2</v>
      </c>
      <c r="AV299" s="44">
        <v>0.28000000000000003</v>
      </c>
      <c r="AW299" s="43">
        <v>1.7999999999999999E-2</v>
      </c>
      <c r="AX299" s="44">
        <v>0.13</v>
      </c>
      <c r="AY299" s="40">
        <v>5.8652742893442671</v>
      </c>
      <c r="AZ299" s="41">
        <v>0.5</v>
      </c>
      <c r="BA299" s="40">
        <v>0.72</v>
      </c>
      <c r="BB299" s="45">
        <v>1</v>
      </c>
      <c r="BC299" s="41">
        <v>10.469021924497723</v>
      </c>
      <c r="BD299" s="41">
        <v>46.248782587366179</v>
      </c>
      <c r="BE299" s="41">
        <v>43.282195488136111</v>
      </c>
      <c r="BF299" s="125">
        <v>1.1000000000000001</v>
      </c>
      <c r="BG299" s="48">
        <f t="shared" si="257"/>
        <v>3.7413545456001216E-3</v>
      </c>
      <c r="BH299" s="48">
        <f t="shared" si="214"/>
        <v>3.7413545456001216E-3</v>
      </c>
      <c r="BI299" s="99">
        <f t="shared" si="215"/>
        <v>3.9168322765206889E-4</v>
      </c>
      <c r="BJ299" s="99">
        <f t="shared" si="258"/>
        <v>1.7303309296171421E-3</v>
      </c>
      <c r="BK299" s="48">
        <f t="shared" si="216"/>
        <v>1.6193403883309112E-3</v>
      </c>
      <c r="BL299" s="99">
        <f t="shared" si="239"/>
        <v>2.5353619513375373E-4</v>
      </c>
      <c r="BM299" s="48">
        <f t="shared" si="240"/>
        <v>1.0506070681053819E-3</v>
      </c>
      <c r="BN299" s="48">
        <f t="shared" si="241"/>
        <v>2.5954963944257131E-3</v>
      </c>
      <c r="BO299" s="48">
        <f t="shared" si="242"/>
        <v>2.4290105824963668E-3</v>
      </c>
      <c r="BP299" s="99">
        <f t="shared" si="243"/>
        <v>3.8030429270063059E-4</v>
      </c>
      <c r="BQ299" s="48">
        <f t="shared" si="244"/>
        <v>1.5759106021580728E-3</v>
      </c>
      <c r="BR299" s="40">
        <f t="shared" si="245"/>
        <v>0.56717804511863901</v>
      </c>
      <c r="BS299" s="31">
        <v>1.5</v>
      </c>
      <c r="BT299" s="31">
        <v>1.5</v>
      </c>
      <c r="BU299" s="43">
        <v>0.125</v>
      </c>
      <c r="BV299" s="44">
        <v>0.42</v>
      </c>
      <c r="BW299" s="43">
        <v>2.3E-2</v>
      </c>
      <c r="BX299" s="44">
        <v>0.2</v>
      </c>
      <c r="BY299" s="40">
        <v>15.602524598139274</v>
      </c>
      <c r="BZ299" s="40">
        <v>0.52</v>
      </c>
      <c r="CA299" s="40">
        <v>0.65</v>
      </c>
      <c r="CB299" s="45">
        <v>1</v>
      </c>
      <c r="CC299" s="41">
        <v>2.8773184806992838</v>
      </c>
      <c r="CD299" s="41">
        <v>19.233711844556318</v>
      </c>
      <c r="CE299" s="41">
        <v>77.888969674744388</v>
      </c>
      <c r="CF299" s="125">
        <v>1.1000000000000001</v>
      </c>
      <c r="CG299" s="40">
        <f t="shared" si="259"/>
        <v>2.2544877998470263E-2</v>
      </c>
      <c r="CH299" s="40">
        <f t="shared" si="217"/>
        <v>2.2544877998470263E-2</v>
      </c>
      <c r="CI299" s="99">
        <f t="shared" si="260"/>
        <v>6.486879411010917E-4</v>
      </c>
      <c r="CJ299" s="100">
        <f t="shared" si="261"/>
        <v>4.3362168699325456E-3</v>
      </c>
      <c r="CK299" s="100">
        <f t="shared" si="262"/>
        <v>1.7559973187436621E-2</v>
      </c>
      <c r="CL299" s="101">
        <f t="shared" si="246"/>
        <v>8.023811239294236E-4</v>
      </c>
      <c r="CM299" s="100">
        <f t="shared" si="247"/>
        <v>4.325120557389186E-3</v>
      </c>
      <c r="CN299" s="100">
        <f t="shared" si="248"/>
        <v>6.504325304898818E-3</v>
      </c>
      <c r="CO299" s="100">
        <f t="shared" si="249"/>
        <v>2.6339959781154932E-2</v>
      </c>
      <c r="CP299" s="101">
        <f t="shared" si="250"/>
        <v>1.2035716858941354E-3</v>
      </c>
      <c r="CQ299" s="100">
        <f t="shared" si="251"/>
        <v>6.4876808360837795E-3</v>
      </c>
      <c r="CR299" s="99">
        <f t="shared" si="252"/>
        <v>0.22111030325255598</v>
      </c>
      <c r="CS299" s="31">
        <v>1.5</v>
      </c>
      <c r="CT299" s="31">
        <v>1.5</v>
      </c>
      <c r="CU299" s="43">
        <v>0.1</v>
      </c>
      <c r="CV299" s="44">
        <v>0.39</v>
      </c>
      <c r="CW299" s="43">
        <v>2.1000000000000001E-2</v>
      </c>
      <c r="CX299" s="44">
        <v>0.15</v>
      </c>
    </row>
    <row r="300" spans="1:102" x14ac:dyDescent="0.25">
      <c r="A300" s="31">
        <v>286</v>
      </c>
      <c r="B300" s="83" t="s">
        <v>254</v>
      </c>
      <c r="C300" s="31">
        <v>60</v>
      </c>
      <c r="D300" s="31" t="s">
        <v>36</v>
      </c>
      <c r="E300" s="31" t="s">
        <v>6</v>
      </c>
      <c r="F300" s="31" t="s">
        <v>64</v>
      </c>
      <c r="G300" s="31" t="str">
        <f t="shared" si="253"/>
        <v>Kommunal 60 Y 4S F</v>
      </c>
      <c r="H300" s="48">
        <f t="shared" si="220"/>
        <v>5.7666120410382077E-2</v>
      </c>
      <c r="I300" s="40">
        <f t="shared" si="221"/>
        <v>5.8716116236989364E-2</v>
      </c>
      <c r="J300" s="99">
        <f t="shared" si="222"/>
        <v>1.2579561837591012E-3</v>
      </c>
      <c r="K300" s="48">
        <f t="shared" si="223"/>
        <v>1.1380290665143887E-2</v>
      </c>
      <c r="L300" s="48">
        <f t="shared" si="224"/>
        <v>4.6077869388086369E-2</v>
      </c>
      <c r="M300" s="48">
        <f t="shared" si="254"/>
        <v>9.041058484086506E-2</v>
      </c>
      <c r="N300" s="99">
        <f t="shared" si="225"/>
        <v>1.9178322628643392E-3</v>
      </c>
      <c r="O300" s="48">
        <f t="shared" si="226"/>
        <v>1.0361817236291197E-2</v>
      </c>
      <c r="P300" s="48">
        <f t="shared" si="227"/>
        <v>1.7070435997715828E-2</v>
      </c>
      <c r="Q300" s="48">
        <f t="shared" si="228"/>
        <v>6.9116804082129557E-2</v>
      </c>
      <c r="R300" s="40">
        <f t="shared" si="255"/>
        <v>0.63287409388605542</v>
      </c>
      <c r="S300" s="99">
        <f t="shared" si="229"/>
        <v>2.8767483942965088E-3</v>
      </c>
      <c r="T300" s="48">
        <f t="shared" si="230"/>
        <v>1.5542725854436796E-2</v>
      </c>
      <c r="U300" s="40">
        <v>2.0804255999999999</v>
      </c>
      <c r="V300" s="40">
        <v>1.25</v>
      </c>
      <c r="W300" s="40">
        <v>0.45</v>
      </c>
      <c r="X300" s="40">
        <v>1.0334607896331753</v>
      </c>
      <c r="Y300" s="42">
        <v>0.70845794954218955</v>
      </c>
      <c r="Z300" s="42">
        <v>16.359881718202693</v>
      </c>
      <c r="AA300" s="42">
        <v>82.93166033225512</v>
      </c>
      <c r="AB300" s="42">
        <v>2.787878787878789</v>
      </c>
      <c r="AC300" s="125">
        <v>1.1000000000000001</v>
      </c>
      <c r="AD300" s="94">
        <f t="shared" si="256"/>
        <v>3.1379887866311691E-2</v>
      </c>
      <c r="AE300" s="94">
        <f t="shared" si="210"/>
        <v>3.2429883692918979E-2</v>
      </c>
      <c r="AF300" s="96">
        <f t="shared" si="211"/>
        <v>2.2975208904977068E-4</v>
      </c>
      <c r="AG300" s="95">
        <f t="shared" si="218"/>
        <v>5.3054906135122483E-3</v>
      </c>
      <c r="AH300" s="94">
        <f t="shared" si="219"/>
        <v>2.6894640990356961E-2</v>
      </c>
      <c r="AI300" s="94">
        <f t="shared" si="213"/>
        <v>9.041058484086506E-2</v>
      </c>
      <c r="AJ300" s="96">
        <f t="shared" si="231"/>
        <v>8.6079337138579484E-4</v>
      </c>
      <c r="AK300" s="95">
        <f t="shared" si="232"/>
        <v>4.9818407005298351E-3</v>
      </c>
      <c r="AL300" s="95">
        <f t="shared" si="233"/>
        <v>7.9582359202683729E-3</v>
      </c>
      <c r="AM300" s="94">
        <f t="shared" si="234"/>
        <v>4.0341961485535441E-2</v>
      </c>
      <c r="AN300" s="93">
        <f t="shared" si="235"/>
        <v>0.63287409388605542</v>
      </c>
      <c r="AO300" s="96">
        <f t="shared" si="236"/>
        <v>1.2911900570786923E-3</v>
      </c>
      <c r="AP300" s="95">
        <f t="shared" si="237"/>
        <v>7.4727610507947517E-3</v>
      </c>
      <c r="AQ300" s="93">
        <f t="shared" si="238"/>
        <v>0.17068339667744883</v>
      </c>
      <c r="AR300" s="31">
        <v>1.5</v>
      </c>
      <c r="AS300" s="31">
        <v>1.5</v>
      </c>
      <c r="AT300" s="31">
        <v>7</v>
      </c>
      <c r="AU300" s="43">
        <v>7.0999999999999994E-2</v>
      </c>
      <c r="AV300" s="44">
        <v>0.28000000000000003</v>
      </c>
      <c r="AW300" s="43">
        <v>1.7999999999999999E-2</v>
      </c>
      <c r="AX300" s="44">
        <v>0.13</v>
      </c>
      <c r="AY300" s="40">
        <v>5.8652742893442662</v>
      </c>
      <c r="AZ300" s="41">
        <v>0.5</v>
      </c>
      <c r="BA300" s="40">
        <v>0.72</v>
      </c>
      <c r="BB300" s="45">
        <v>1</v>
      </c>
      <c r="BC300" s="41">
        <v>10.143816871206576</v>
      </c>
      <c r="BD300" s="41">
        <v>46.469351153680122</v>
      </c>
      <c r="BE300" s="41">
        <v>43.386831975113296</v>
      </c>
      <c r="BF300" s="125">
        <v>1.1000000000000001</v>
      </c>
      <c r="BG300" s="48">
        <f t="shared" si="257"/>
        <v>3.7413545456001212E-3</v>
      </c>
      <c r="BH300" s="48">
        <f t="shared" si="214"/>
        <v>3.7413545456001212E-3</v>
      </c>
      <c r="BI300" s="99">
        <f t="shared" si="215"/>
        <v>3.7951615360823918E-4</v>
      </c>
      <c r="BJ300" s="99">
        <f t="shared" si="258"/>
        <v>1.7385831816990934E-3</v>
      </c>
      <c r="BK300" s="48">
        <f t="shared" si="216"/>
        <v>1.6232552102927881E-3</v>
      </c>
      <c r="BL300" s="99">
        <f t="shared" si="239"/>
        <v>2.5465776754912082E-4</v>
      </c>
      <c r="BM300" s="48">
        <f t="shared" si="240"/>
        <v>1.0548559783721768E-3</v>
      </c>
      <c r="BN300" s="48">
        <f t="shared" si="241"/>
        <v>2.6078747725486401E-3</v>
      </c>
      <c r="BO300" s="48">
        <f t="shared" si="242"/>
        <v>2.4348828154391821E-3</v>
      </c>
      <c r="BP300" s="99">
        <f t="shared" si="243"/>
        <v>3.819866513236812E-4</v>
      </c>
      <c r="BQ300" s="48">
        <f t="shared" si="244"/>
        <v>1.5822839675582651E-3</v>
      </c>
      <c r="BR300" s="40">
        <f t="shared" si="245"/>
        <v>0.56613168024886695</v>
      </c>
      <c r="BS300" s="31">
        <v>1.5</v>
      </c>
      <c r="BT300" s="31">
        <v>1.5</v>
      </c>
      <c r="BU300" s="43">
        <v>0.125</v>
      </c>
      <c r="BV300" s="44">
        <v>0.42</v>
      </c>
      <c r="BW300" s="43">
        <v>2.3E-2</v>
      </c>
      <c r="BX300" s="44">
        <v>0.2</v>
      </c>
      <c r="BY300" s="40">
        <v>15.602524598139276</v>
      </c>
      <c r="BZ300" s="40">
        <v>0.52</v>
      </c>
      <c r="CA300" s="40">
        <v>0.65</v>
      </c>
      <c r="CB300" s="45">
        <v>1</v>
      </c>
      <c r="CC300" s="41">
        <v>2.8773184806992829</v>
      </c>
      <c r="CD300" s="41">
        <v>19.233711844556318</v>
      </c>
      <c r="CE300" s="41">
        <v>77.888969674744388</v>
      </c>
      <c r="CF300" s="125">
        <v>1.1000000000000001</v>
      </c>
      <c r="CG300" s="40">
        <f t="shared" si="259"/>
        <v>2.2544877998470263E-2</v>
      </c>
      <c r="CH300" s="40">
        <f t="shared" si="217"/>
        <v>2.2544877998470263E-2</v>
      </c>
      <c r="CI300" s="99">
        <f t="shared" si="260"/>
        <v>6.4868794110109138E-4</v>
      </c>
      <c r="CJ300" s="100">
        <f t="shared" si="261"/>
        <v>4.3362168699325456E-3</v>
      </c>
      <c r="CK300" s="100">
        <f t="shared" si="262"/>
        <v>1.7559973187436621E-2</v>
      </c>
      <c r="CL300" s="101">
        <f t="shared" si="246"/>
        <v>8.023811239294236E-4</v>
      </c>
      <c r="CM300" s="100">
        <f t="shared" si="247"/>
        <v>4.325120557389186E-3</v>
      </c>
      <c r="CN300" s="100">
        <f t="shared" si="248"/>
        <v>6.504325304898818E-3</v>
      </c>
      <c r="CO300" s="100">
        <f t="shared" si="249"/>
        <v>2.6339959781154932E-2</v>
      </c>
      <c r="CP300" s="101">
        <f t="shared" si="250"/>
        <v>1.2035716858941354E-3</v>
      </c>
      <c r="CQ300" s="100">
        <f t="shared" si="251"/>
        <v>6.4876808360837795E-3</v>
      </c>
      <c r="CR300" s="99">
        <f t="shared" si="252"/>
        <v>0.22111030325255598</v>
      </c>
      <c r="CS300" s="31">
        <v>1.5</v>
      </c>
      <c r="CT300" s="31">
        <v>1.5</v>
      </c>
      <c r="CU300" s="43">
        <v>0.1</v>
      </c>
      <c r="CV300" s="44">
        <v>0.39</v>
      </c>
      <c r="CW300" s="43">
        <v>2.1000000000000001E-2</v>
      </c>
      <c r="CX300" s="44">
        <v>0.15</v>
      </c>
    </row>
    <row r="301" spans="1:102" x14ac:dyDescent="0.25">
      <c r="A301" s="31">
        <v>287</v>
      </c>
      <c r="B301" s="83" t="s">
        <v>254</v>
      </c>
      <c r="C301" s="31">
        <v>60</v>
      </c>
      <c r="D301" s="31" t="s">
        <v>26</v>
      </c>
      <c r="E301" s="31" t="s">
        <v>99</v>
      </c>
      <c r="F301" s="31" t="s">
        <v>12</v>
      </c>
      <c r="G301" s="31" t="str">
        <f t="shared" si="253"/>
        <v>Statlig 60 - 4S A</v>
      </c>
      <c r="H301" s="48">
        <f t="shared" si="220"/>
        <v>0.13725241241293634</v>
      </c>
      <c r="I301" s="40">
        <f t="shared" si="221"/>
        <v>0.17779377970809715</v>
      </c>
      <c r="J301" s="99">
        <f t="shared" si="222"/>
        <v>3.3152539900955327E-3</v>
      </c>
      <c r="K301" s="48">
        <f t="shared" si="223"/>
        <v>3.6334699600085243E-2</v>
      </c>
      <c r="L301" s="48">
        <f t="shared" si="224"/>
        <v>0.1381438261179164</v>
      </c>
      <c r="M301" s="48">
        <f t="shared" si="254"/>
        <v>0.30872923759440907</v>
      </c>
      <c r="N301" s="99">
        <f t="shared" si="225"/>
        <v>5.5269765208775922E-3</v>
      </c>
      <c r="O301" s="48">
        <f t="shared" si="226"/>
        <v>3.1214100928940808E-2</v>
      </c>
      <c r="P301" s="48">
        <f t="shared" si="227"/>
        <v>6.1768989320144907E-2</v>
      </c>
      <c r="Q301" s="48">
        <f t="shared" si="228"/>
        <v>0.23484450440045784</v>
      </c>
      <c r="R301" s="40">
        <f t="shared" si="255"/>
        <v>2.1611046631608635</v>
      </c>
      <c r="S301" s="99">
        <f t="shared" si="229"/>
        <v>9.3958600854919059E-3</v>
      </c>
      <c r="T301" s="48">
        <f t="shared" si="230"/>
        <v>5.306397157919937E-2</v>
      </c>
      <c r="U301" s="40">
        <v>7.3025919999999998</v>
      </c>
      <c r="V301" s="40">
        <v>1.25</v>
      </c>
      <c r="W301" s="40">
        <v>0.45</v>
      </c>
      <c r="X301" s="40">
        <v>1.3680629955786825</v>
      </c>
      <c r="Y301" s="42">
        <v>1.4811020578762146</v>
      </c>
      <c r="Z301" s="42">
        <v>19.962930459308431</v>
      </c>
      <c r="AA301" s="42">
        <v>78.555967482815348</v>
      </c>
      <c r="AB301" s="42">
        <v>2.0487804878048781</v>
      </c>
      <c r="AC301" s="125">
        <v>1.1000000000000001</v>
      </c>
      <c r="AD301" s="94">
        <f t="shared" si="256"/>
        <v>0.1101479034354436</v>
      </c>
      <c r="AE301" s="94">
        <f t="shared" si="210"/>
        <v>0.15068927073060442</v>
      </c>
      <c r="AF301" s="96">
        <f t="shared" si="211"/>
        <v>2.2318618897896425E-3</v>
      </c>
      <c r="AG301" s="95">
        <f t="shared" si="218"/>
        <v>3.0081994325589573E-2</v>
      </c>
      <c r="AH301" s="94">
        <f t="shared" si="219"/>
        <v>0.11837541451522519</v>
      </c>
      <c r="AI301" s="94">
        <f t="shared" si="213"/>
        <v>0.30872923759440907</v>
      </c>
      <c r="AJ301" s="96">
        <f t="shared" si="231"/>
        <v>4.7197615360618905E-3</v>
      </c>
      <c r="AK301" s="95">
        <f t="shared" si="232"/>
        <v>2.5917501900935627E-2</v>
      </c>
      <c r="AL301" s="95">
        <f t="shared" si="233"/>
        <v>5.1139390353502276E-2</v>
      </c>
      <c r="AM301" s="94">
        <f t="shared" si="234"/>
        <v>0.20123820467588283</v>
      </c>
      <c r="AN301" s="93">
        <f t="shared" si="235"/>
        <v>2.1611046631608635</v>
      </c>
      <c r="AO301" s="96">
        <f t="shared" si="236"/>
        <v>8.0235946113052133E-3</v>
      </c>
      <c r="AP301" s="95">
        <f t="shared" si="237"/>
        <v>4.4059753231590566E-2</v>
      </c>
      <c r="AQ301" s="93">
        <f t="shared" si="238"/>
        <v>0.21444032517184644</v>
      </c>
      <c r="AR301" s="31">
        <v>1.7</v>
      </c>
      <c r="AS301" s="31">
        <v>1.7</v>
      </c>
      <c r="AT301" s="31">
        <v>7</v>
      </c>
      <c r="AU301" s="43">
        <v>0.09</v>
      </c>
      <c r="AV301" s="44">
        <v>0.35</v>
      </c>
      <c r="AW301" s="19">
        <v>1.7000000000000001E-2</v>
      </c>
      <c r="AX301" s="44">
        <v>0.13</v>
      </c>
      <c r="AY301" s="40">
        <v>6.0575670213371309</v>
      </c>
      <c r="AZ301" s="41">
        <v>0.5</v>
      </c>
      <c r="BA301" s="40">
        <v>0.72</v>
      </c>
      <c r="BB301" s="45">
        <v>1</v>
      </c>
      <c r="BC301" s="41">
        <v>10.143816871206576</v>
      </c>
      <c r="BD301" s="41">
        <v>46.469351153680122</v>
      </c>
      <c r="BE301" s="41">
        <v>43.386831975113296</v>
      </c>
      <c r="BF301" s="125">
        <v>1.1000000000000001</v>
      </c>
      <c r="BG301" s="48">
        <f t="shared" si="257"/>
        <v>3.8640146722091029E-3</v>
      </c>
      <c r="BH301" s="48">
        <f t="shared" si="214"/>
        <v>3.8640146722091029E-3</v>
      </c>
      <c r="BI301" s="99">
        <f t="shared" si="215"/>
        <v>3.9195857222544447E-4</v>
      </c>
      <c r="BJ301" s="99">
        <f t="shared" si="258"/>
        <v>1.7955825466585698E-3</v>
      </c>
      <c r="BK301" s="48">
        <f t="shared" si="216"/>
        <v>1.6764735533250882E-3</v>
      </c>
      <c r="BL301" s="99">
        <f t="shared" si="239"/>
        <v>2.4899937666553011E-4</v>
      </c>
      <c r="BM301" s="48">
        <f t="shared" si="240"/>
        <v>1.0594831789951195E-3</v>
      </c>
      <c r="BN301" s="48">
        <f t="shared" si="241"/>
        <v>3.0524903293195683E-3</v>
      </c>
      <c r="BO301" s="48">
        <f t="shared" si="242"/>
        <v>2.8500050406526497E-3</v>
      </c>
      <c r="BP301" s="99">
        <f t="shared" si="243"/>
        <v>4.2329894033140114E-4</v>
      </c>
      <c r="BQ301" s="48">
        <f t="shared" si="244"/>
        <v>1.8011214042917031E-3</v>
      </c>
      <c r="BR301" s="40">
        <f t="shared" si="245"/>
        <v>0.56613168024886684</v>
      </c>
      <c r="BS301" s="31">
        <v>1.7</v>
      </c>
      <c r="BT301" s="31">
        <v>1.7</v>
      </c>
      <c r="BU301" s="43">
        <v>0.12</v>
      </c>
      <c r="BV301" s="44">
        <v>0.45</v>
      </c>
      <c r="BW301" s="19">
        <v>0.02</v>
      </c>
      <c r="BX301" s="44">
        <v>0.15</v>
      </c>
      <c r="BY301" s="40">
        <v>16.083936408780207</v>
      </c>
      <c r="BZ301" s="40">
        <v>0.52</v>
      </c>
      <c r="CA301" s="40">
        <v>0.65</v>
      </c>
      <c r="CB301" s="45">
        <v>1</v>
      </c>
      <c r="CC301" s="41">
        <v>2.975124018439018</v>
      </c>
      <c r="CD301" s="41">
        <v>19.178261311007411</v>
      </c>
      <c r="CE301" s="41">
        <v>77.846614670553578</v>
      </c>
      <c r="CF301" s="125">
        <v>1.1000000000000001</v>
      </c>
      <c r="CG301" s="40">
        <f t="shared" si="259"/>
        <v>2.3240494305283643E-2</v>
      </c>
      <c r="CH301" s="40">
        <f t="shared" si="217"/>
        <v>2.3240494305283643E-2</v>
      </c>
      <c r="CI301" s="99">
        <f t="shared" si="260"/>
        <v>6.9143352808044578E-4</v>
      </c>
      <c r="CJ301" s="100">
        <f t="shared" si="261"/>
        <v>4.4571227278370935E-3</v>
      </c>
      <c r="CK301" s="100">
        <f t="shared" si="262"/>
        <v>1.8091938049366107E-2</v>
      </c>
      <c r="CL301" s="101">
        <f t="shared" si="246"/>
        <v>5.5821560815017207E-4</v>
      </c>
      <c r="CM301" s="100">
        <f t="shared" si="247"/>
        <v>4.2371158490100598E-3</v>
      </c>
      <c r="CN301" s="100">
        <f t="shared" si="248"/>
        <v>7.5771086373230588E-3</v>
      </c>
      <c r="CO301" s="100">
        <f t="shared" si="249"/>
        <v>3.0756294683922381E-2</v>
      </c>
      <c r="CP301" s="101">
        <f t="shared" si="250"/>
        <v>9.4896653385529242E-4</v>
      </c>
      <c r="CQ301" s="100">
        <f t="shared" si="251"/>
        <v>7.2030969433171015E-3</v>
      </c>
      <c r="CR301" s="99">
        <f t="shared" si="252"/>
        <v>0.22153385329446429</v>
      </c>
      <c r="CS301" s="31">
        <v>1.7</v>
      </c>
      <c r="CT301" s="31">
        <v>1.7</v>
      </c>
      <c r="CU301" s="43">
        <v>0.04</v>
      </c>
      <c r="CV301" s="44">
        <v>0.22</v>
      </c>
      <c r="CW301" s="19">
        <v>2.1000000000000001E-2</v>
      </c>
      <c r="CX301" s="44">
        <v>0.18</v>
      </c>
    </row>
    <row r="302" spans="1:102" x14ac:dyDescent="0.25">
      <c r="A302" s="31">
        <v>288</v>
      </c>
      <c r="B302" s="83" t="s">
        <v>254</v>
      </c>
      <c r="C302" s="31">
        <v>60</v>
      </c>
      <c r="D302" s="31" t="s">
        <v>26</v>
      </c>
      <c r="E302" s="31" t="s">
        <v>99</v>
      </c>
      <c r="F302" s="31" t="s">
        <v>13</v>
      </c>
      <c r="G302" s="31" t="str">
        <f t="shared" si="253"/>
        <v>Statlig 60 - 4S B</v>
      </c>
      <c r="H302" s="48">
        <f t="shared" si="220"/>
        <v>0.13725241241293634</v>
      </c>
      <c r="I302" s="40">
        <f t="shared" si="221"/>
        <v>0.17779377970809715</v>
      </c>
      <c r="J302" s="99">
        <f t="shared" si="222"/>
        <v>3.3152539900955327E-3</v>
      </c>
      <c r="K302" s="48">
        <f t="shared" si="223"/>
        <v>3.6334699600085243E-2</v>
      </c>
      <c r="L302" s="48">
        <f t="shared" si="224"/>
        <v>0.1381438261179164</v>
      </c>
      <c r="M302" s="48">
        <f t="shared" si="254"/>
        <v>0.30872923759440907</v>
      </c>
      <c r="N302" s="99">
        <f t="shared" si="225"/>
        <v>5.5269765208775922E-3</v>
      </c>
      <c r="O302" s="48">
        <f t="shared" si="226"/>
        <v>3.1214100928940808E-2</v>
      </c>
      <c r="P302" s="48">
        <f t="shared" si="227"/>
        <v>6.1768989320144907E-2</v>
      </c>
      <c r="Q302" s="48">
        <f t="shared" si="228"/>
        <v>0.23484450440045784</v>
      </c>
      <c r="R302" s="40">
        <f t="shared" si="255"/>
        <v>2.1611046631608635</v>
      </c>
      <c r="S302" s="99">
        <f t="shared" si="229"/>
        <v>9.3958600854919059E-3</v>
      </c>
      <c r="T302" s="48">
        <f t="shared" si="230"/>
        <v>5.306397157919937E-2</v>
      </c>
      <c r="U302" s="40">
        <v>7.3025919999999998</v>
      </c>
      <c r="V302" s="40">
        <v>1.25</v>
      </c>
      <c r="W302" s="40">
        <v>0.45</v>
      </c>
      <c r="X302" s="40">
        <v>1.3680629955786825</v>
      </c>
      <c r="Y302" s="42">
        <v>1.4811020578762146</v>
      </c>
      <c r="Z302" s="42">
        <v>19.962930459308431</v>
      </c>
      <c r="AA302" s="42">
        <v>78.555967482815348</v>
      </c>
      <c r="AB302" s="42">
        <v>2.0487804878048781</v>
      </c>
      <c r="AC302" s="125">
        <v>1.1000000000000001</v>
      </c>
      <c r="AD302" s="94">
        <f t="shared" si="256"/>
        <v>0.1101479034354436</v>
      </c>
      <c r="AE302" s="94">
        <f t="shared" si="210"/>
        <v>0.15068927073060442</v>
      </c>
      <c r="AF302" s="96">
        <f t="shared" si="211"/>
        <v>2.2318618897896425E-3</v>
      </c>
      <c r="AG302" s="95">
        <f t="shared" si="218"/>
        <v>3.0081994325589573E-2</v>
      </c>
      <c r="AH302" s="94">
        <f t="shared" si="219"/>
        <v>0.11837541451522519</v>
      </c>
      <c r="AI302" s="94">
        <f t="shared" si="213"/>
        <v>0.30872923759440907</v>
      </c>
      <c r="AJ302" s="96">
        <f t="shared" si="231"/>
        <v>4.7197615360618905E-3</v>
      </c>
      <c r="AK302" s="95">
        <f t="shared" si="232"/>
        <v>2.5917501900935627E-2</v>
      </c>
      <c r="AL302" s="95">
        <f t="shared" si="233"/>
        <v>5.1139390353502276E-2</v>
      </c>
      <c r="AM302" s="94">
        <f t="shared" si="234"/>
        <v>0.20123820467588283</v>
      </c>
      <c r="AN302" s="93">
        <f t="shared" si="235"/>
        <v>2.1611046631608635</v>
      </c>
      <c r="AO302" s="96">
        <f t="shared" si="236"/>
        <v>8.0235946113052133E-3</v>
      </c>
      <c r="AP302" s="95">
        <f t="shared" si="237"/>
        <v>4.4059753231590566E-2</v>
      </c>
      <c r="AQ302" s="93">
        <f t="shared" si="238"/>
        <v>0.21444032517184644</v>
      </c>
      <c r="AR302" s="31">
        <v>1.7</v>
      </c>
      <c r="AS302" s="31">
        <v>1.7</v>
      </c>
      <c r="AT302" s="31">
        <v>7</v>
      </c>
      <c r="AU302" s="43">
        <v>0.09</v>
      </c>
      <c r="AV302" s="44">
        <v>0.35</v>
      </c>
      <c r="AW302" s="19">
        <v>1.7000000000000001E-2</v>
      </c>
      <c r="AX302" s="44">
        <v>0.13</v>
      </c>
      <c r="AY302" s="40">
        <v>6.0575670213371309</v>
      </c>
      <c r="AZ302" s="41">
        <v>0.5</v>
      </c>
      <c r="BA302" s="40">
        <v>0.72</v>
      </c>
      <c r="BB302" s="45">
        <v>1</v>
      </c>
      <c r="BC302" s="41">
        <v>10.143816871206576</v>
      </c>
      <c r="BD302" s="41">
        <v>46.469351153680122</v>
      </c>
      <c r="BE302" s="41">
        <v>43.386831975113296</v>
      </c>
      <c r="BF302" s="125">
        <v>1.1000000000000001</v>
      </c>
      <c r="BG302" s="48">
        <f t="shared" si="257"/>
        <v>3.8640146722091029E-3</v>
      </c>
      <c r="BH302" s="48">
        <f t="shared" si="214"/>
        <v>3.8640146722091029E-3</v>
      </c>
      <c r="BI302" s="99">
        <f t="shared" si="215"/>
        <v>3.9195857222544447E-4</v>
      </c>
      <c r="BJ302" s="99">
        <f t="shared" si="258"/>
        <v>1.7955825466585698E-3</v>
      </c>
      <c r="BK302" s="48">
        <f t="shared" si="216"/>
        <v>1.6764735533250882E-3</v>
      </c>
      <c r="BL302" s="99">
        <f t="shared" si="239"/>
        <v>2.4899937666553011E-4</v>
      </c>
      <c r="BM302" s="48">
        <f t="shared" si="240"/>
        <v>1.0594831789951195E-3</v>
      </c>
      <c r="BN302" s="48">
        <f t="shared" si="241"/>
        <v>3.0524903293195683E-3</v>
      </c>
      <c r="BO302" s="48">
        <f t="shared" si="242"/>
        <v>2.8500050406526497E-3</v>
      </c>
      <c r="BP302" s="99">
        <f t="shared" si="243"/>
        <v>4.2329894033140114E-4</v>
      </c>
      <c r="BQ302" s="48">
        <f t="shared" si="244"/>
        <v>1.8011214042917031E-3</v>
      </c>
      <c r="BR302" s="40">
        <f t="shared" si="245"/>
        <v>0.56613168024886684</v>
      </c>
      <c r="BS302" s="31">
        <v>1.7</v>
      </c>
      <c r="BT302" s="31">
        <v>1.7</v>
      </c>
      <c r="BU302" s="43">
        <v>0.12</v>
      </c>
      <c r="BV302" s="44">
        <v>0.45</v>
      </c>
      <c r="BW302" s="19">
        <v>0.02</v>
      </c>
      <c r="BX302" s="44">
        <v>0.15</v>
      </c>
      <c r="BY302" s="40">
        <v>16.083936408780207</v>
      </c>
      <c r="BZ302" s="40">
        <v>0.52</v>
      </c>
      <c r="CA302" s="40">
        <v>0.65</v>
      </c>
      <c r="CB302" s="45">
        <v>1</v>
      </c>
      <c r="CC302" s="41">
        <v>2.975124018439018</v>
      </c>
      <c r="CD302" s="41">
        <v>19.178261311007411</v>
      </c>
      <c r="CE302" s="41">
        <v>77.846614670553578</v>
      </c>
      <c r="CF302" s="125">
        <v>1.1000000000000001</v>
      </c>
      <c r="CG302" s="40">
        <f t="shared" si="259"/>
        <v>2.3240494305283643E-2</v>
      </c>
      <c r="CH302" s="40">
        <f t="shared" si="217"/>
        <v>2.3240494305283643E-2</v>
      </c>
      <c r="CI302" s="99">
        <f t="shared" si="260"/>
        <v>6.9143352808044578E-4</v>
      </c>
      <c r="CJ302" s="100">
        <f t="shared" si="261"/>
        <v>4.4571227278370935E-3</v>
      </c>
      <c r="CK302" s="100">
        <f t="shared" si="262"/>
        <v>1.8091938049366107E-2</v>
      </c>
      <c r="CL302" s="101">
        <f t="shared" si="246"/>
        <v>5.5821560815017207E-4</v>
      </c>
      <c r="CM302" s="100">
        <f t="shared" si="247"/>
        <v>4.2371158490100598E-3</v>
      </c>
      <c r="CN302" s="100">
        <f t="shared" si="248"/>
        <v>7.5771086373230588E-3</v>
      </c>
      <c r="CO302" s="100">
        <f t="shared" si="249"/>
        <v>3.0756294683922381E-2</v>
      </c>
      <c r="CP302" s="101">
        <f t="shared" si="250"/>
        <v>9.4896653385529242E-4</v>
      </c>
      <c r="CQ302" s="100">
        <f t="shared" si="251"/>
        <v>7.2030969433171015E-3</v>
      </c>
      <c r="CR302" s="99">
        <f t="shared" si="252"/>
        <v>0.22153385329446429</v>
      </c>
      <c r="CS302" s="31">
        <v>1.7</v>
      </c>
      <c r="CT302" s="31">
        <v>1.7</v>
      </c>
      <c r="CU302" s="43">
        <v>0.04</v>
      </c>
      <c r="CV302" s="44">
        <v>0.22</v>
      </c>
      <c r="CW302" s="19">
        <v>2.1000000000000001E-2</v>
      </c>
      <c r="CX302" s="44">
        <v>0.18</v>
      </c>
    </row>
    <row r="303" spans="1:102" x14ac:dyDescent="0.25">
      <c r="A303" s="31">
        <v>289</v>
      </c>
      <c r="B303" s="83" t="s">
        <v>254</v>
      </c>
      <c r="C303" s="31">
        <v>60</v>
      </c>
      <c r="D303" s="31" t="s">
        <v>26</v>
      </c>
      <c r="E303" s="31" t="s">
        <v>99</v>
      </c>
      <c r="F303" s="31" t="s">
        <v>70</v>
      </c>
      <c r="G303" s="31" t="str">
        <f t="shared" si="253"/>
        <v>Statlig 60 - 4S Ck</v>
      </c>
      <c r="H303" s="48">
        <f t="shared" si="220"/>
        <v>0.13725241241293634</v>
      </c>
      <c r="I303" s="40">
        <f t="shared" si="221"/>
        <v>0.17779377970809715</v>
      </c>
      <c r="J303" s="99">
        <f t="shared" si="222"/>
        <v>3.3152539900955327E-3</v>
      </c>
      <c r="K303" s="48">
        <f t="shared" si="223"/>
        <v>3.6334699600085243E-2</v>
      </c>
      <c r="L303" s="48">
        <f t="shared" si="224"/>
        <v>0.1381438261179164</v>
      </c>
      <c r="M303" s="48">
        <f t="shared" si="254"/>
        <v>0.30872923759440907</v>
      </c>
      <c r="N303" s="99">
        <f t="shared" si="225"/>
        <v>5.5269765208775922E-3</v>
      </c>
      <c r="O303" s="48">
        <f t="shared" si="226"/>
        <v>3.1214100928940808E-2</v>
      </c>
      <c r="P303" s="48">
        <f t="shared" si="227"/>
        <v>6.1768989320144907E-2</v>
      </c>
      <c r="Q303" s="48">
        <f t="shared" si="228"/>
        <v>0.23484450440045784</v>
      </c>
      <c r="R303" s="40">
        <f t="shared" si="255"/>
        <v>2.1611046631608635</v>
      </c>
      <c r="S303" s="99">
        <f t="shared" si="229"/>
        <v>9.3958600854919059E-3</v>
      </c>
      <c r="T303" s="48">
        <f t="shared" si="230"/>
        <v>5.306397157919937E-2</v>
      </c>
      <c r="U303" s="40">
        <v>7.3025919999999998</v>
      </c>
      <c r="V303" s="40">
        <v>1.25</v>
      </c>
      <c r="W303" s="40">
        <v>0.45</v>
      </c>
      <c r="X303" s="40">
        <v>1.3680629955786825</v>
      </c>
      <c r="Y303" s="42">
        <v>1.4811020578762146</v>
      </c>
      <c r="Z303" s="42">
        <v>19.962930459308431</v>
      </c>
      <c r="AA303" s="42">
        <v>78.555967482815348</v>
      </c>
      <c r="AB303" s="42">
        <v>2.0487804878048781</v>
      </c>
      <c r="AC303" s="125">
        <v>1.1000000000000001</v>
      </c>
      <c r="AD303" s="94">
        <f t="shared" si="256"/>
        <v>0.1101479034354436</v>
      </c>
      <c r="AE303" s="94">
        <f t="shared" si="210"/>
        <v>0.15068927073060442</v>
      </c>
      <c r="AF303" s="96">
        <f t="shared" si="211"/>
        <v>2.2318618897896425E-3</v>
      </c>
      <c r="AG303" s="95">
        <f t="shared" si="218"/>
        <v>3.0081994325589573E-2</v>
      </c>
      <c r="AH303" s="94">
        <f t="shared" si="219"/>
        <v>0.11837541451522519</v>
      </c>
      <c r="AI303" s="94">
        <f t="shared" si="213"/>
        <v>0.30872923759440907</v>
      </c>
      <c r="AJ303" s="96">
        <f t="shared" si="231"/>
        <v>4.7197615360618905E-3</v>
      </c>
      <c r="AK303" s="95">
        <f t="shared" si="232"/>
        <v>2.5917501900935627E-2</v>
      </c>
      <c r="AL303" s="95">
        <f t="shared" si="233"/>
        <v>5.1139390353502276E-2</v>
      </c>
      <c r="AM303" s="94">
        <f t="shared" si="234"/>
        <v>0.20123820467588283</v>
      </c>
      <c r="AN303" s="93">
        <f t="shared" si="235"/>
        <v>2.1611046631608635</v>
      </c>
      <c r="AO303" s="96">
        <f t="shared" si="236"/>
        <v>8.0235946113052133E-3</v>
      </c>
      <c r="AP303" s="95">
        <f t="shared" si="237"/>
        <v>4.4059753231590566E-2</v>
      </c>
      <c r="AQ303" s="93">
        <f t="shared" si="238"/>
        <v>0.21444032517184644</v>
      </c>
      <c r="AR303" s="31">
        <v>1.7</v>
      </c>
      <c r="AS303" s="31">
        <v>1.7</v>
      </c>
      <c r="AT303" s="31">
        <v>7</v>
      </c>
      <c r="AU303" s="43">
        <v>0.09</v>
      </c>
      <c r="AV303" s="44">
        <v>0.35</v>
      </c>
      <c r="AW303" s="19">
        <v>1.7000000000000001E-2</v>
      </c>
      <c r="AX303" s="44">
        <v>0.13</v>
      </c>
      <c r="AY303" s="40">
        <v>6.0575670213371309</v>
      </c>
      <c r="AZ303" s="41">
        <v>0.5</v>
      </c>
      <c r="BA303" s="40">
        <v>0.72</v>
      </c>
      <c r="BB303" s="45">
        <v>1</v>
      </c>
      <c r="BC303" s="41">
        <v>10.143816871206576</v>
      </c>
      <c r="BD303" s="41">
        <v>46.469351153680122</v>
      </c>
      <c r="BE303" s="41">
        <v>43.386831975113296</v>
      </c>
      <c r="BF303" s="125">
        <v>1.1000000000000001</v>
      </c>
      <c r="BG303" s="48">
        <f t="shared" si="257"/>
        <v>3.8640146722091029E-3</v>
      </c>
      <c r="BH303" s="48">
        <f t="shared" si="214"/>
        <v>3.8640146722091029E-3</v>
      </c>
      <c r="BI303" s="99">
        <f t="shared" si="215"/>
        <v>3.9195857222544447E-4</v>
      </c>
      <c r="BJ303" s="99">
        <f t="shared" si="258"/>
        <v>1.7955825466585698E-3</v>
      </c>
      <c r="BK303" s="48">
        <f t="shared" si="216"/>
        <v>1.6764735533250882E-3</v>
      </c>
      <c r="BL303" s="99">
        <f t="shared" si="239"/>
        <v>2.4899937666553011E-4</v>
      </c>
      <c r="BM303" s="48">
        <f t="shared" si="240"/>
        <v>1.0594831789951195E-3</v>
      </c>
      <c r="BN303" s="48">
        <f t="shared" si="241"/>
        <v>3.0524903293195683E-3</v>
      </c>
      <c r="BO303" s="48">
        <f t="shared" si="242"/>
        <v>2.8500050406526497E-3</v>
      </c>
      <c r="BP303" s="99">
        <f t="shared" si="243"/>
        <v>4.2329894033140114E-4</v>
      </c>
      <c r="BQ303" s="48">
        <f t="shared" si="244"/>
        <v>1.8011214042917031E-3</v>
      </c>
      <c r="BR303" s="40">
        <f t="shared" si="245"/>
        <v>0.56613168024886684</v>
      </c>
      <c r="BS303" s="31">
        <v>1.7</v>
      </c>
      <c r="BT303" s="31">
        <v>1.7</v>
      </c>
      <c r="BU303" s="43">
        <v>0.12</v>
      </c>
      <c r="BV303" s="44">
        <v>0.45</v>
      </c>
      <c r="BW303" s="19">
        <v>0.02</v>
      </c>
      <c r="BX303" s="44">
        <v>0.15</v>
      </c>
      <c r="BY303" s="40">
        <v>16.083936408780207</v>
      </c>
      <c r="BZ303" s="40">
        <v>0.52</v>
      </c>
      <c r="CA303" s="40">
        <v>0.65</v>
      </c>
      <c r="CB303" s="45">
        <v>1</v>
      </c>
      <c r="CC303" s="41">
        <v>2.975124018439018</v>
      </c>
      <c r="CD303" s="41">
        <v>19.178261311007411</v>
      </c>
      <c r="CE303" s="41">
        <v>77.846614670553578</v>
      </c>
      <c r="CF303" s="125">
        <v>1.1000000000000001</v>
      </c>
      <c r="CG303" s="40">
        <f t="shared" si="259"/>
        <v>2.3240494305283643E-2</v>
      </c>
      <c r="CH303" s="40">
        <f t="shared" si="217"/>
        <v>2.3240494305283643E-2</v>
      </c>
      <c r="CI303" s="99">
        <f t="shared" si="260"/>
        <v>6.9143352808044578E-4</v>
      </c>
      <c r="CJ303" s="100">
        <f t="shared" si="261"/>
        <v>4.4571227278370935E-3</v>
      </c>
      <c r="CK303" s="100">
        <f t="shared" si="262"/>
        <v>1.8091938049366107E-2</v>
      </c>
      <c r="CL303" s="101">
        <f t="shared" si="246"/>
        <v>5.5821560815017207E-4</v>
      </c>
      <c r="CM303" s="100">
        <f t="shared" si="247"/>
        <v>4.2371158490100598E-3</v>
      </c>
      <c r="CN303" s="100">
        <f t="shared" si="248"/>
        <v>7.5771086373230588E-3</v>
      </c>
      <c r="CO303" s="100">
        <f t="shared" si="249"/>
        <v>3.0756294683922381E-2</v>
      </c>
      <c r="CP303" s="101">
        <f t="shared" si="250"/>
        <v>9.4896653385529242E-4</v>
      </c>
      <c r="CQ303" s="100">
        <f t="shared" si="251"/>
        <v>7.2030969433171015E-3</v>
      </c>
      <c r="CR303" s="99">
        <f t="shared" si="252"/>
        <v>0.22153385329446429</v>
      </c>
      <c r="CS303" s="31">
        <v>1.7</v>
      </c>
      <c r="CT303" s="31">
        <v>1.7</v>
      </c>
      <c r="CU303" s="43">
        <v>0.04</v>
      </c>
      <c r="CV303" s="44">
        <v>0.22</v>
      </c>
      <c r="CW303" s="19">
        <v>2.1000000000000001E-2</v>
      </c>
      <c r="CX303" s="44">
        <v>0.18</v>
      </c>
    </row>
    <row r="304" spans="1:102" x14ac:dyDescent="0.25">
      <c r="A304" s="31">
        <v>290</v>
      </c>
      <c r="B304" s="83" t="s">
        <v>254</v>
      </c>
      <c r="C304" s="31">
        <v>60</v>
      </c>
      <c r="D304" s="31" t="s">
        <v>26</v>
      </c>
      <c r="E304" s="31" t="s">
        <v>99</v>
      </c>
      <c r="F304" s="31" t="s">
        <v>71</v>
      </c>
      <c r="G304" s="31" t="str">
        <f t="shared" si="253"/>
        <v>Statlig 60 - 4S Cm</v>
      </c>
      <c r="H304" s="48">
        <f t="shared" si="220"/>
        <v>0.12073022689761982</v>
      </c>
      <c r="I304" s="40">
        <f t="shared" si="221"/>
        <v>0.15519038909850652</v>
      </c>
      <c r="J304" s="99">
        <f t="shared" si="222"/>
        <v>2.9804747066270866E-3</v>
      </c>
      <c r="K304" s="48">
        <f t="shared" si="223"/>
        <v>3.1822400451246811E-2</v>
      </c>
      <c r="L304" s="48">
        <f t="shared" si="224"/>
        <v>0.12038751394063266</v>
      </c>
      <c r="M304" s="48">
        <f t="shared" si="254"/>
        <v>0.26241985195524786</v>
      </c>
      <c r="N304" s="99">
        <f t="shared" si="225"/>
        <v>4.8190122904683101E-3</v>
      </c>
      <c r="O304" s="48">
        <f t="shared" si="226"/>
        <v>2.7326475643800474E-2</v>
      </c>
      <c r="P304" s="48">
        <f t="shared" si="227"/>
        <v>5.4098080767119583E-2</v>
      </c>
      <c r="Q304" s="48">
        <f t="shared" si="228"/>
        <v>0.20465877369907548</v>
      </c>
      <c r="R304" s="40">
        <f t="shared" si="255"/>
        <v>1.836938963686735</v>
      </c>
      <c r="S304" s="99">
        <f t="shared" si="229"/>
        <v>8.1923208937961286E-3</v>
      </c>
      <c r="T304" s="48">
        <f t="shared" si="230"/>
        <v>4.6455008594460799E-2</v>
      </c>
      <c r="U304" s="40">
        <v>6.2072031999999995</v>
      </c>
      <c r="V304" s="40">
        <v>1.25</v>
      </c>
      <c r="W304" s="40">
        <v>0.45</v>
      </c>
      <c r="X304" s="40">
        <v>1.3680629955786827</v>
      </c>
      <c r="Y304" s="42">
        <v>1.4811020578762146</v>
      </c>
      <c r="Z304" s="42">
        <v>19.962930459308431</v>
      </c>
      <c r="AA304" s="42">
        <v>78.555967482815362</v>
      </c>
      <c r="AB304" s="42">
        <v>2.0487804878048785</v>
      </c>
      <c r="AC304" s="125">
        <v>1.1000000000000001</v>
      </c>
      <c r="AD304" s="94">
        <f t="shared" si="256"/>
        <v>9.3625717920127069E-2</v>
      </c>
      <c r="AE304" s="94">
        <f t="shared" ref="AE304:AE350" si="263">X304*AD304</f>
        <v>0.1280858801210138</v>
      </c>
      <c r="AF304" s="96">
        <f t="shared" ref="AF304:AF350" si="264">$AE304*Y304/100</f>
        <v>1.8970826063211966E-3</v>
      </c>
      <c r="AG304" s="95">
        <f t="shared" si="218"/>
        <v>2.5569695176751148E-2</v>
      </c>
      <c r="AH304" s="94">
        <f t="shared" si="219"/>
        <v>0.10061910233794145</v>
      </c>
      <c r="AI304" s="94">
        <f t="shared" ref="AI304:AI350" si="265">$AE304*AB304</f>
        <v>0.26241985195524786</v>
      </c>
      <c r="AJ304" s="96">
        <f t="shared" si="231"/>
        <v>4.0117973056526084E-3</v>
      </c>
      <c r="AK304" s="95">
        <f t="shared" si="232"/>
        <v>2.2029876615795294E-2</v>
      </c>
      <c r="AL304" s="95">
        <f t="shared" si="233"/>
        <v>4.3468481800476952E-2</v>
      </c>
      <c r="AM304" s="94">
        <f t="shared" si="234"/>
        <v>0.17105247397450046</v>
      </c>
      <c r="AN304" s="93">
        <f t="shared" si="235"/>
        <v>1.836938963686735</v>
      </c>
      <c r="AO304" s="96">
        <f t="shared" si="236"/>
        <v>6.8200554196094342E-3</v>
      </c>
      <c r="AP304" s="95">
        <f t="shared" si="237"/>
        <v>3.7450790246851995E-2</v>
      </c>
      <c r="AQ304" s="93">
        <f t="shared" si="238"/>
        <v>0.21444032517184647</v>
      </c>
      <c r="AR304" s="31">
        <v>1.7</v>
      </c>
      <c r="AS304" s="31">
        <v>1.7</v>
      </c>
      <c r="AT304" s="31">
        <v>7</v>
      </c>
      <c r="AU304" s="43">
        <v>0.09</v>
      </c>
      <c r="AV304" s="44">
        <v>0.35</v>
      </c>
      <c r="AW304" s="19">
        <v>1.7000000000000001E-2</v>
      </c>
      <c r="AX304" s="44">
        <v>0.13</v>
      </c>
      <c r="AY304" s="40">
        <v>6.0575670213371309</v>
      </c>
      <c r="AZ304" s="41">
        <v>0.5</v>
      </c>
      <c r="BA304" s="40">
        <v>0.72</v>
      </c>
      <c r="BB304" s="45">
        <v>1</v>
      </c>
      <c r="BC304" s="41">
        <v>10.143816871206576</v>
      </c>
      <c r="BD304" s="41">
        <v>46.469351153680122</v>
      </c>
      <c r="BE304" s="41">
        <v>43.386831975113296</v>
      </c>
      <c r="BF304" s="125">
        <v>1.1000000000000001</v>
      </c>
      <c r="BG304" s="48">
        <f t="shared" si="257"/>
        <v>3.8640146722091029E-3</v>
      </c>
      <c r="BH304" s="48">
        <f t="shared" ref="BH304:BH350" si="266">BB304*BG304</f>
        <v>3.8640146722091029E-3</v>
      </c>
      <c r="BI304" s="99">
        <f t="shared" ref="BI304:BI350" si="267">$BH304*BC304/100</f>
        <v>3.9195857222544447E-4</v>
      </c>
      <c r="BJ304" s="99">
        <f t="shared" si="258"/>
        <v>1.7955825466585698E-3</v>
      </c>
      <c r="BK304" s="48">
        <f t="shared" ref="BK304:BK350" si="268">$BH304*BE304/100</f>
        <v>1.6764735533250882E-3</v>
      </c>
      <c r="BL304" s="99">
        <f t="shared" si="239"/>
        <v>2.4899937666553011E-4</v>
      </c>
      <c r="BM304" s="48">
        <f t="shared" si="240"/>
        <v>1.0594831789951195E-3</v>
      </c>
      <c r="BN304" s="48">
        <f t="shared" si="241"/>
        <v>3.0524903293195683E-3</v>
      </c>
      <c r="BO304" s="48">
        <f t="shared" si="242"/>
        <v>2.8500050406526497E-3</v>
      </c>
      <c r="BP304" s="99">
        <f t="shared" si="243"/>
        <v>4.2329894033140114E-4</v>
      </c>
      <c r="BQ304" s="48">
        <f t="shared" si="244"/>
        <v>1.8011214042917031E-3</v>
      </c>
      <c r="BR304" s="40">
        <f t="shared" si="245"/>
        <v>0.56613168024886684</v>
      </c>
      <c r="BS304" s="31">
        <v>1.7</v>
      </c>
      <c r="BT304" s="31">
        <v>1.7</v>
      </c>
      <c r="BU304" s="43">
        <v>0.12</v>
      </c>
      <c r="BV304" s="44">
        <v>0.45</v>
      </c>
      <c r="BW304" s="19">
        <v>0.02</v>
      </c>
      <c r="BX304" s="44">
        <v>0.15</v>
      </c>
      <c r="BY304" s="40">
        <v>16.083936408780207</v>
      </c>
      <c r="BZ304" s="40">
        <v>0.52</v>
      </c>
      <c r="CA304" s="40">
        <v>0.65</v>
      </c>
      <c r="CB304" s="45">
        <v>1</v>
      </c>
      <c r="CC304" s="41">
        <v>2.975124018439018</v>
      </c>
      <c r="CD304" s="41">
        <v>19.178261311007411</v>
      </c>
      <c r="CE304" s="41">
        <v>77.846614670553578</v>
      </c>
      <c r="CF304" s="125">
        <v>1.1000000000000001</v>
      </c>
      <c r="CG304" s="40">
        <f t="shared" si="259"/>
        <v>2.3240494305283643E-2</v>
      </c>
      <c r="CH304" s="40">
        <f t="shared" ref="CH304:CH350" si="269">CB304*CG304</f>
        <v>2.3240494305283643E-2</v>
      </c>
      <c r="CI304" s="99">
        <f t="shared" si="260"/>
        <v>6.9143352808044578E-4</v>
      </c>
      <c r="CJ304" s="100">
        <f t="shared" si="261"/>
        <v>4.4571227278370935E-3</v>
      </c>
      <c r="CK304" s="100">
        <f t="shared" si="262"/>
        <v>1.8091938049366107E-2</v>
      </c>
      <c r="CL304" s="101">
        <f t="shared" si="246"/>
        <v>5.5821560815017207E-4</v>
      </c>
      <c r="CM304" s="100">
        <f t="shared" si="247"/>
        <v>4.2371158490100598E-3</v>
      </c>
      <c r="CN304" s="100">
        <f t="shared" si="248"/>
        <v>7.5771086373230588E-3</v>
      </c>
      <c r="CO304" s="100">
        <f t="shared" si="249"/>
        <v>3.0756294683922381E-2</v>
      </c>
      <c r="CP304" s="101">
        <f t="shared" si="250"/>
        <v>9.4896653385529242E-4</v>
      </c>
      <c r="CQ304" s="100">
        <f t="shared" si="251"/>
        <v>7.2030969433171015E-3</v>
      </c>
      <c r="CR304" s="99">
        <f t="shared" si="252"/>
        <v>0.22153385329446429</v>
      </c>
      <c r="CS304" s="31">
        <v>1.7</v>
      </c>
      <c r="CT304" s="31">
        <v>1.7</v>
      </c>
      <c r="CU304" s="43">
        <v>0.04</v>
      </c>
      <c r="CV304" s="44">
        <v>0.22</v>
      </c>
      <c r="CW304" s="19">
        <v>2.1000000000000001E-2</v>
      </c>
      <c r="CX304" s="44">
        <v>0.18</v>
      </c>
    </row>
    <row r="305" spans="1:102" x14ac:dyDescent="0.25">
      <c r="A305" s="31">
        <v>291</v>
      </c>
      <c r="B305" s="83" t="s">
        <v>254</v>
      </c>
      <c r="C305" s="31">
        <v>60</v>
      </c>
      <c r="D305" s="31" t="s">
        <v>26</v>
      </c>
      <c r="E305" s="31" t="s">
        <v>99</v>
      </c>
      <c r="F305" s="31" t="s">
        <v>0</v>
      </c>
      <c r="G305" s="31" t="str">
        <f t="shared" si="253"/>
        <v>Statlig 60 - 4S D</v>
      </c>
      <c r="H305" s="48">
        <f t="shared" si="220"/>
        <v>6.6162761907861259E-2</v>
      </c>
      <c r="I305" s="40">
        <f t="shared" si="221"/>
        <v>9.6901057706688748E-2</v>
      </c>
      <c r="J305" s="99">
        <f t="shared" si="222"/>
        <v>1.0833921003058902E-3</v>
      </c>
      <c r="K305" s="48">
        <f t="shared" si="223"/>
        <v>1.8230737854799693E-2</v>
      </c>
      <c r="L305" s="48">
        <f t="shared" si="224"/>
        <v>7.7586927751583157E-2</v>
      </c>
      <c r="M305" s="48">
        <f t="shared" si="254"/>
        <v>0.27369040367826458</v>
      </c>
      <c r="N305" s="99">
        <f t="shared" si="225"/>
        <v>2.8681526915742281E-3</v>
      </c>
      <c r="O305" s="48">
        <f t="shared" si="226"/>
        <v>1.7005317530467544E-2</v>
      </c>
      <c r="P305" s="48">
        <f t="shared" si="227"/>
        <v>3.0992254353159474E-2</v>
      </c>
      <c r="Q305" s="48">
        <f t="shared" si="228"/>
        <v>0.13189777717769136</v>
      </c>
      <c r="R305" s="40">
        <f t="shared" si="255"/>
        <v>1.9158328257478521</v>
      </c>
      <c r="S305" s="99">
        <f t="shared" si="229"/>
        <v>4.875859575676187E-3</v>
      </c>
      <c r="T305" s="48">
        <f t="shared" si="230"/>
        <v>2.8909039801794822E-2</v>
      </c>
      <c r="U305" s="40">
        <v>1.4671182240000002</v>
      </c>
      <c r="V305" s="40">
        <v>1.2</v>
      </c>
      <c r="W305" s="45">
        <v>0</v>
      </c>
      <c r="X305" s="40">
        <v>1.7869859374823158</v>
      </c>
      <c r="Y305" s="42">
        <v>0</v>
      </c>
      <c r="Z305" s="42">
        <v>17.161353674918313</v>
      </c>
      <c r="AA305" s="42">
        <v>82.838646325081683</v>
      </c>
      <c r="AB305" s="42">
        <v>3.9212598425196843</v>
      </c>
      <c r="AC305" s="125">
        <v>1.1000000000000001</v>
      </c>
      <c r="AD305" s="94">
        <f t="shared" si="256"/>
        <v>3.905825293036852E-2</v>
      </c>
      <c r="AE305" s="94">
        <f t="shared" si="263"/>
        <v>6.9796548729195995E-2</v>
      </c>
      <c r="AF305" s="96">
        <f t="shared" si="264"/>
        <v>0</v>
      </c>
      <c r="AG305" s="95">
        <f t="shared" si="218"/>
        <v>1.1978032580304028E-2</v>
      </c>
      <c r="AH305" s="94">
        <f t="shared" si="219"/>
        <v>5.7818516148891962E-2</v>
      </c>
      <c r="AI305" s="94">
        <f t="shared" si="265"/>
        <v>0.27369040367826458</v>
      </c>
      <c r="AJ305" s="96">
        <f t="shared" si="231"/>
        <v>2.0609377067585259E-3</v>
      </c>
      <c r="AK305" s="95">
        <f t="shared" si="232"/>
        <v>1.1708718502462365E-2</v>
      </c>
      <c r="AL305" s="95">
        <f t="shared" si="233"/>
        <v>2.0362655386516847E-2</v>
      </c>
      <c r="AM305" s="94">
        <f t="shared" si="234"/>
        <v>9.8291477453116338E-2</v>
      </c>
      <c r="AN305" s="93">
        <f t="shared" si="235"/>
        <v>1.9158328257478521</v>
      </c>
      <c r="AO305" s="96">
        <f t="shared" si="236"/>
        <v>3.503594101489494E-3</v>
      </c>
      <c r="AP305" s="95">
        <f t="shared" si="237"/>
        <v>1.9904821454186018E-2</v>
      </c>
      <c r="AQ305" s="93">
        <f t="shared" si="238"/>
        <v>0.17161353674918314</v>
      </c>
      <c r="AR305" s="31">
        <v>1.7</v>
      </c>
      <c r="AS305" s="31">
        <v>1.7</v>
      </c>
      <c r="AT305" s="31">
        <v>7</v>
      </c>
      <c r="AU305" s="43">
        <v>0.09</v>
      </c>
      <c r="AV305" s="44">
        <v>0.35</v>
      </c>
      <c r="AW305" s="19">
        <v>1.7000000000000001E-2</v>
      </c>
      <c r="AX305" s="44">
        <v>0.13</v>
      </c>
      <c r="AY305" s="40">
        <v>6.0575670213371309</v>
      </c>
      <c r="AZ305" s="41">
        <v>0.5</v>
      </c>
      <c r="BA305" s="40">
        <v>0.72</v>
      </c>
      <c r="BB305" s="45">
        <v>1</v>
      </c>
      <c r="BC305" s="41">
        <v>10.143816871206576</v>
      </c>
      <c r="BD305" s="41">
        <v>46.469351153680122</v>
      </c>
      <c r="BE305" s="41">
        <v>43.386831975113296</v>
      </c>
      <c r="BF305" s="125">
        <v>1.1000000000000001</v>
      </c>
      <c r="BG305" s="48">
        <f t="shared" si="257"/>
        <v>3.8640146722091029E-3</v>
      </c>
      <c r="BH305" s="48">
        <f t="shared" si="266"/>
        <v>3.8640146722091029E-3</v>
      </c>
      <c r="BI305" s="99">
        <f t="shared" si="267"/>
        <v>3.9195857222544447E-4</v>
      </c>
      <c r="BJ305" s="99">
        <f t="shared" si="258"/>
        <v>1.7955825466585698E-3</v>
      </c>
      <c r="BK305" s="48">
        <f t="shared" si="268"/>
        <v>1.6764735533250882E-3</v>
      </c>
      <c r="BL305" s="99">
        <f t="shared" si="239"/>
        <v>2.4899937666553011E-4</v>
      </c>
      <c r="BM305" s="48">
        <f t="shared" si="240"/>
        <v>1.0594831789951195E-3</v>
      </c>
      <c r="BN305" s="48">
        <f t="shared" si="241"/>
        <v>3.0524903293195683E-3</v>
      </c>
      <c r="BO305" s="48">
        <f t="shared" si="242"/>
        <v>2.8500050406526497E-3</v>
      </c>
      <c r="BP305" s="99">
        <f t="shared" si="243"/>
        <v>4.2329894033140114E-4</v>
      </c>
      <c r="BQ305" s="48">
        <f t="shared" si="244"/>
        <v>1.8011214042917031E-3</v>
      </c>
      <c r="BR305" s="40">
        <f t="shared" si="245"/>
        <v>0.56613168024886684</v>
      </c>
      <c r="BS305" s="31">
        <v>1.7</v>
      </c>
      <c r="BT305" s="31">
        <v>1.7</v>
      </c>
      <c r="BU305" s="43">
        <v>0.12</v>
      </c>
      <c r="BV305" s="44">
        <v>0.45</v>
      </c>
      <c r="BW305" s="19">
        <v>0.02</v>
      </c>
      <c r="BX305" s="44">
        <v>0.15</v>
      </c>
      <c r="BY305" s="40">
        <v>16.083936408780207</v>
      </c>
      <c r="BZ305" s="40">
        <v>0.52</v>
      </c>
      <c r="CA305" s="40">
        <v>0.65</v>
      </c>
      <c r="CB305" s="45">
        <v>1</v>
      </c>
      <c r="CC305" s="41">
        <v>2.975124018439018</v>
      </c>
      <c r="CD305" s="41">
        <v>19.178261311007411</v>
      </c>
      <c r="CE305" s="41">
        <v>77.846614670553578</v>
      </c>
      <c r="CF305" s="125">
        <v>1.1000000000000001</v>
      </c>
      <c r="CG305" s="40">
        <f t="shared" si="259"/>
        <v>2.3240494305283643E-2</v>
      </c>
      <c r="CH305" s="40">
        <f t="shared" si="269"/>
        <v>2.3240494305283643E-2</v>
      </c>
      <c r="CI305" s="99">
        <f t="shared" si="260"/>
        <v>6.9143352808044578E-4</v>
      </c>
      <c r="CJ305" s="100">
        <f t="shared" si="261"/>
        <v>4.4571227278370935E-3</v>
      </c>
      <c r="CK305" s="100">
        <f t="shared" si="262"/>
        <v>1.8091938049366107E-2</v>
      </c>
      <c r="CL305" s="101">
        <f t="shared" si="246"/>
        <v>5.5821560815017207E-4</v>
      </c>
      <c r="CM305" s="100">
        <f t="shared" si="247"/>
        <v>4.2371158490100598E-3</v>
      </c>
      <c r="CN305" s="100">
        <f t="shared" si="248"/>
        <v>7.5771086373230588E-3</v>
      </c>
      <c r="CO305" s="100">
        <f t="shared" si="249"/>
        <v>3.0756294683922381E-2</v>
      </c>
      <c r="CP305" s="101">
        <f t="shared" si="250"/>
        <v>9.4896653385529242E-4</v>
      </c>
      <c r="CQ305" s="100">
        <f t="shared" si="251"/>
        <v>7.2030969433171015E-3</v>
      </c>
      <c r="CR305" s="99">
        <f t="shared" si="252"/>
        <v>0.22153385329446429</v>
      </c>
      <c r="CS305" s="31">
        <v>1.7</v>
      </c>
      <c r="CT305" s="31">
        <v>1.7</v>
      </c>
      <c r="CU305" s="43">
        <v>0.04</v>
      </c>
      <c r="CV305" s="44">
        <v>0.22</v>
      </c>
      <c r="CW305" s="19">
        <v>2.1000000000000001E-2</v>
      </c>
      <c r="CX305" s="44">
        <v>0.18</v>
      </c>
    </row>
    <row r="306" spans="1:102" x14ac:dyDescent="0.25">
      <c r="A306" s="31">
        <v>292</v>
      </c>
      <c r="B306" s="83" t="s">
        <v>254</v>
      </c>
      <c r="C306" s="31">
        <v>60</v>
      </c>
      <c r="D306" s="31" t="s">
        <v>26</v>
      </c>
      <c r="E306" s="31" t="s">
        <v>99</v>
      </c>
      <c r="F306" s="31" t="s">
        <v>63</v>
      </c>
      <c r="G306" s="31" t="str">
        <f t="shared" si="253"/>
        <v>Statlig 60 - 4S ES</v>
      </c>
      <c r="H306" s="48">
        <f t="shared" si="220"/>
        <v>0.11981714884302558</v>
      </c>
      <c r="I306" s="40">
        <f t="shared" si="221"/>
        <v>0.16662491398218601</v>
      </c>
      <c r="J306" s="99">
        <f t="shared" si="222"/>
        <v>3.1498316899876318E-3</v>
      </c>
      <c r="K306" s="48">
        <f t="shared" si="223"/>
        <v>3.4105066702128067E-2</v>
      </c>
      <c r="L306" s="48">
        <f t="shared" si="224"/>
        <v>0.12937001559007036</v>
      </c>
      <c r="M306" s="48">
        <f t="shared" si="254"/>
        <v>0.28584668342424968</v>
      </c>
      <c r="N306" s="99">
        <f t="shared" si="225"/>
        <v>5.1771547810880638E-3</v>
      </c>
      <c r="O306" s="48">
        <f t="shared" si="226"/>
        <v>2.9293134046035813E-2</v>
      </c>
      <c r="P306" s="48">
        <f t="shared" si="227"/>
        <v>5.797861339361772E-2</v>
      </c>
      <c r="Q306" s="48">
        <f t="shared" si="228"/>
        <v>0.21992902650311957</v>
      </c>
      <c r="R306" s="40">
        <f t="shared" si="255"/>
        <v>2.0009267839697475</v>
      </c>
      <c r="S306" s="99">
        <f t="shared" si="229"/>
        <v>8.801163127849709E-3</v>
      </c>
      <c r="T306" s="48">
        <f t="shared" si="230"/>
        <v>4.9798327878260877E-2</v>
      </c>
      <c r="U306" s="40">
        <v>4.3382592000000004</v>
      </c>
      <c r="V306" s="40">
        <v>1.2</v>
      </c>
      <c r="W306" s="41">
        <v>0.1</v>
      </c>
      <c r="X306" s="40">
        <v>1.504869295136551</v>
      </c>
      <c r="Y306" s="42">
        <v>1.4811020578762146</v>
      </c>
      <c r="Z306" s="42">
        <v>19.962930459308435</v>
      </c>
      <c r="AA306" s="42">
        <v>78.555967482815362</v>
      </c>
      <c r="AB306" s="42">
        <v>2.0487804878048781</v>
      </c>
      <c r="AC306" s="125">
        <v>1.1000000000000001</v>
      </c>
      <c r="AD306" s="94">
        <f t="shared" si="256"/>
        <v>9.2712639865532825E-2</v>
      </c>
      <c r="AE306" s="94">
        <f t="shared" si="263"/>
        <v>0.13952040500469329</v>
      </c>
      <c r="AF306" s="96">
        <f t="shared" si="264"/>
        <v>2.0664395896817416E-3</v>
      </c>
      <c r="AG306" s="95">
        <f t="shared" si="218"/>
        <v>2.7852361427632408E-2</v>
      </c>
      <c r="AH306" s="94">
        <f t="shared" si="219"/>
        <v>0.10960160398737916</v>
      </c>
      <c r="AI306" s="94">
        <f t="shared" si="265"/>
        <v>0.28584668342424968</v>
      </c>
      <c r="AJ306" s="96">
        <f t="shared" si="231"/>
        <v>4.3699397962723621E-3</v>
      </c>
      <c r="AK306" s="95">
        <f t="shared" si="232"/>
        <v>2.3996535018030632E-2</v>
      </c>
      <c r="AL306" s="95">
        <f t="shared" si="233"/>
        <v>4.7349014426975089E-2</v>
      </c>
      <c r="AM306" s="94">
        <f t="shared" si="234"/>
        <v>0.18632272677854456</v>
      </c>
      <c r="AN306" s="93">
        <f t="shared" si="235"/>
        <v>2.0009267839697475</v>
      </c>
      <c r="AO306" s="96">
        <f t="shared" si="236"/>
        <v>7.4288976536630155E-3</v>
      </c>
      <c r="AP306" s="95">
        <f t="shared" si="237"/>
        <v>4.0794109530652073E-2</v>
      </c>
      <c r="AQ306" s="93">
        <f t="shared" si="238"/>
        <v>0.2144403251718465</v>
      </c>
      <c r="AR306" s="31">
        <v>1.7</v>
      </c>
      <c r="AS306" s="31">
        <v>1.7</v>
      </c>
      <c r="AT306" s="31">
        <v>7</v>
      </c>
      <c r="AU306" s="43">
        <v>0.09</v>
      </c>
      <c r="AV306" s="44">
        <v>0.35</v>
      </c>
      <c r="AW306" s="19">
        <v>1.7000000000000001E-2</v>
      </c>
      <c r="AX306" s="44">
        <v>0.13</v>
      </c>
      <c r="AY306" s="40">
        <v>6.0575670213371309</v>
      </c>
      <c r="AZ306" s="41">
        <v>0.5</v>
      </c>
      <c r="BA306" s="40">
        <v>0.72</v>
      </c>
      <c r="BB306" s="45">
        <v>1</v>
      </c>
      <c r="BC306" s="41">
        <v>10.143816871206576</v>
      </c>
      <c r="BD306" s="41">
        <v>46.469351153680122</v>
      </c>
      <c r="BE306" s="41">
        <v>43.386831975113296</v>
      </c>
      <c r="BF306" s="125">
        <v>1.1000000000000001</v>
      </c>
      <c r="BG306" s="48">
        <f t="shared" si="257"/>
        <v>3.8640146722091029E-3</v>
      </c>
      <c r="BH306" s="48">
        <f t="shared" si="266"/>
        <v>3.8640146722091029E-3</v>
      </c>
      <c r="BI306" s="99">
        <f t="shared" si="267"/>
        <v>3.9195857222544447E-4</v>
      </c>
      <c r="BJ306" s="99">
        <f t="shared" si="258"/>
        <v>1.7955825466585698E-3</v>
      </c>
      <c r="BK306" s="48">
        <f t="shared" si="268"/>
        <v>1.6764735533250882E-3</v>
      </c>
      <c r="BL306" s="99">
        <f t="shared" si="239"/>
        <v>2.4899937666553011E-4</v>
      </c>
      <c r="BM306" s="48">
        <f t="shared" si="240"/>
        <v>1.0594831789951195E-3</v>
      </c>
      <c r="BN306" s="48">
        <f t="shared" si="241"/>
        <v>3.0524903293195683E-3</v>
      </c>
      <c r="BO306" s="48">
        <f t="shared" si="242"/>
        <v>2.8500050406526497E-3</v>
      </c>
      <c r="BP306" s="99">
        <f t="shared" si="243"/>
        <v>4.2329894033140114E-4</v>
      </c>
      <c r="BQ306" s="48">
        <f t="shared" si="244"/>
        <v>1.8011214042917031E-3</v>
      </c>
      <c r="BR306" s="40">
        <f t="shared" si="245"/>
        <v>0.56613168024886684</v>
      </c>
      <c r="BS306" s="31">
        <v>1.7</v>
      </c>
      <c r="BT306" s="31">
        <v>1.7</v>
      </c>
      <c r="BU306" s="43">
        <v>0.12</v>
      </c>
      <c r="BV306" s="44">
        <v>0.45</v>
      </c>
      <c r="BW306" s="19">
        <v>0.02</v>
      </c>
      <c r="BX306" s="44">
        <v>0.15</v>
      </c>
      <c r="BY306" s="40">
        <v>16.083936408780207</v>
      </c>
      <c r="BZ306" s="40">
        <v>0.52</v>
      </c>
      <c r="CA306" s="40">
        <v>0.65</v>
      </c>
      <c r="CB306" s="45">
        <v>1</v>
      </c>
      <c r="CC306" s="41">
        <v>2.975124018439018</v>
      </c>
      <c r="CD306" s="41">
        <v>19.178261311007411</v>
      </c>
      <c r="CE306" s="41">
        <v>77.846614670553578</v>
      </c>
      <c r="CF306" s="125">
        <v>1.1000000000000001</v>
      </c>
      <c r="CG306" s="40">
        <f t="shared" si="259"/>
        <v>2.3240494305283643E-2</v>
      </c>
      <c r="CH306" s="40">
        <f t="shared" si="269"/>
        <v>2.3240494305283643E-2</v>
      </c>
      <c r="CI306" s="99">
        <f t="shared" si="260"/>
        <v>6.9143352808044578E-4</v>
      </c>
      <c r="CJ306" s="100">
        <f t="shared" si="261"/>
        <v>4.4571227278370935E-3</v>
      </c>
      <c r="CK306" s="100">
        <f t="shared" si="262"/>
        <v>1.8091938049366107E-2</v>
      </c>
      <c r="CL306" s="101">
        <f t="shared" si="246"/>
        <v>5.5821560815017207E-4</v>
      </c>
      <c r="CM306" s="100">
        <f t="shared" si="247"/>
        <v>4.2371158490100598E-3</v>
      </c>
      <c r="CN306" s="100">
        <f t="shared" si="248"/>
        <v>7.5771086373230588E-3</v>
      </c>
      <c r="CO306" s="100">
        <f t="shared" si="249"/>
        <v>3.0756294683922381E-2</v>
      </c>
      <c r="CP306" s="101">
        <f t="shared" si="250"/>
        <v>9.4896653385529242E-4</v>
      </c>
      <c r="CQ306" s="100">
        <f t="shared" si="251"/>
        <v>7.2030969433171015E-3</v>
      </c>
      <c r="CR306" s="99">
        <f t="shared" si="252"/>
        <v>0.22153385329446429</v>
      </c>
      <c r="CS306" s="31">
        <v>1.7</v>
      </c>
      <c r="CT306" s="31">
        <v>1.7</v>
      </c>
      <c r="CU306" s="43">
        <v>0.04</v>
      </c>
      <c r="CV306" s="44">
        <v>0.22</v>
      </c>
      <c r="CW306" s="19">
        <v>2.1000000000000001E-2</v>
      </c>
      <c r="CX306" s="44">
        <v>0.18</v>
      </c>
    </row>
    <row r="307" spans="1:102" x14ac:dyDescent="0.25">
      <c r="A307" s="31">
        <v>293</v>
      </c>
      <c r="B307" s="83" t="s">
        <v>254</v>
      </c>
      <c r="C307" s="31">
        <v>60</v>
      </c>
      <c r="D307" s="31" t="s">
        <v>26</v>
      </c>
      <c r="E307" s="31" t="s">
        <v>99</v>
      </c>
      <c r="F307" s="31" t="s">
        <v>64</v>
      </c>
      <c r="G307" s="31" t="str">
        <f t="shared" si="253"/>
        <v>Statlig 60 - 4S F</v>
      </c>
      <c r="H307" s="48">
        <f t="shared" si="220"/>
        <v>6.2163780680725395E-2</v>
      </c>
      <c r="I307" s="40">
        <f t="shared" si="221"/>
        <v>7.5058024590887396E-2</v>
      </c>
      <c r="J307" s="99">
        <f t="shared" si="222"/>
        <v>1.4349103479477589E-3</v>
      </c>
      <c r="K307" s="48">
        <f t="shared" si="223"/>
        <v>1.4080563363132778E-2</v>
      </c>
      <c r="L307" s="48">
        <f t="shared" si="224"/>
        <v>5.9542550879806866E-2</v>
      </c>
      <c r="M307" s="48">
        <f t="shared" si="254"/>
        <v>0.15874267237537543</v>
      </c>
      <c r="N307" s="99">
        <f t="shared" si="225"/>
        <v>2.1878825805040089E-3</v>
      </c>
      <c r="O307" s="48">
        <f t="shared" si="226"/>
        <v>1.3206987465053208E-2</v>
      </c>
      <c r="P307" s="48">
        <f t="shared" si="227"/>
        <v>2.3936957717325721E-2</v>
      </c>
      <c r="Q307" s="48">
        <f t="shared" si="228"/>
        <v>0.10122233649567167</v>
      </c>
      <c r="R307" s="40">
        <f t="shared" si="255"/>
        <v>1.1111987066276279</v>
      </c>
      <c r="S307" s="99">
        <f t="shared" si="229"/>
        <v>3.7194003868568151E-3</v>
      </c>
      <c r="T307" s="48">
        <f t="shared" si="230"/>
        <v>2.2451878690590451E-2</v>
      </c>
      <c r="U307" s="40">
        <v>2.3243615999999996</v>
      </c>
      <c r="V307" s="40">
        <v>1.25</v>
      </c>
      <c r="W307" s="40">
        <v>0.45</v>
      </c>
      <c r="X307" s="40">
        <v>1.3677841348020097</v>
      </c>
      <c r="Y307" s="42">
        <v>0.73303957623428273</v>
      </c>
      <c r="Z307" s="42">
        <v>16.323846100765532</v>
      </c>
      <c r="AA307" s="42">
        <v>82.943114323000174</v>
      </c>
      <c r="AB307" s="42">
        <v>3.3103448275862069</v>
      </c>
      <c r="AC307" s="125">
        <v>1.1000000000000001</v>
      </c>
      <c r="AD307" s="94">
        <f t="shared" si="256"/>
        <v>3.5059271703232656E-2</v>
      </c>
      <c r="AE307" s="94">
        <f t="shared" si="263"/>
        <v>4.7953515613394657E-2</v>
      </c>
      <c r="AF307" s="96">
        <f t="shared" si="264"/>
        <v>3.5151824764186881E-4</v>
      </c>
      <c r="AG307" s="95">
        <f t="shared" si="218"/>
        <v>7.8278580886371133E-3</v>
      </c>
      <c r="AH307" s="94">
        <f t="shared" si="219"/>
        <v>3.9774139277115671E-2</v>
      </c>
      <c r="AI307" s="94">
        <f t="shared" si="265"/>
        <v>0.15874267237537543</v>
      </c>
      <c r="AJ307" s="96">
        <f t="shared" si="231"/>
        <v>1.3806675956883068E-3</v>
      </c>
      <c r="AK307" s="95">
        <f t="shared" si="232"/>
        <v>7.9103884370480271E-3</v>
      </c>
      <c r="AL307" s="95">
        <f t="shared" si="233"/>
        <v>1.3307358750683092E-2</v>
      </c>
      <c r="AM307" s="94">
        <f t="shared" si="234"/>
        <v>6.7616036771096635E-2</v>
      </c>
      <c r="AN307" s="93">
        <f t="shared" si="235"/>
        <v>1.1111987066276279</v>
      </c>
      <c r="AO307" s="96">
        <f t="shared" si="236"/>
        <v>2.3471349126701212E-3</v>
      </c>
      <c r="AP307" s="95">
        <f t="shared" si="237"/>
        <v>1.3447660342981645E-2</v>
      </c>
      <c r="AQ307" s="93">
        <f t="shared" si="238"/>
        <v>0.17056885676999814</v>
      </c>
      <c r="AR307" s="31">
        <v>1.7</v>
      </c>
      <c r="AS307" s="31">
        <v>1.7</v>
      </c>
      <c r="AT307" s="31">
        <v>7</v>
      </c>
      <c r="AU307" s="43">
        <v>0.09</v>
      </c>
      <c r="AV307" s="44">
        <v>0.35</v>
      </c>
      <c r="AW307" s="19">
        <v>1.7000000000000001E-2</v>
      </c>
      <c r="AX307" s="44">
        <v>0.13</v>
      </c>
      <c r="AY307" s="40">
        <v>6.05756702133713</v>
      </c>
      <c r="AZ307" s="41">
        <v>0.5</v>
      </c>
      <c r="BA307" s="40">
        <v>0.72</v>
      </c>
      <c r="BB307" s="45">
        <v>1</v>
      </c>
      <c r="BC307" s="41">
        <v>10.143816871206575</v>
      </c>
      <c r="BD307" s="41">
        <v>46.46935115368013</v>
      </c>
      <c r="BE307" s="41">
        <v>43.38683197511331</v>
      </c>
      <c r="BF307" s="125">
        <v>1.1000000000000001</v>
      </c>
      <c r="BG307" s="48">
        <f t="shared" si="257"/>
        <v>3.8640146722091024E-3</v>
      </c>
      <c r="BH307" s="48">
        <f t="shared" si="266"/>
        <v>3.8640146722091024E-3</v>
      </c>
      <c r="BI307" s="99">
        <f t="shared" si="267"/>
        <v>3.9195857222544436E-4</v>
      </c>
      <c r="BJ307" s="99">
        <f t="shared" si="258"/>
        <v>1.7955825466585702E-3</v>
      </c>
      <c r="BK307" s="48">
        <f t="shared" si="268"/>
        <v>1.6764735533250886E-3</v>
      </c>
      <c r="BL307" s="99">
        <f t="shared" si="239"/>
        <v>2.4899937666553022E-4</v>
      </c>
      <c r="BM307" s="48">
        <f t="shared" si="240"/>
        <v>1.0594831789951199E-3</v>
      </c>
      <c r="BN307" s="48">
        <f t="shared" si="241"/>
        <v>3.0524903293195692E-3</v>
      </c>
      <c r="BO307" s="48">
        <f t="shared" si="242"/>
        <v>2.8500050406526506E-3</v>
      </c>
      <c r="BP307" s="99">
        <f t="shared" si="243"/>
        <v>4.232989403314013E-4</v>
      </c>
      <c r="BQ307" s="48">
        <f t="shared" si="244"/>
        <v>1.8011214042917038E-3</v>
      </c>
      <c r="BR307" s="40">
        <f t="shared" si="245"/>
        <v>0.56613168024886706</v>
      </c>
      <c r="BS307" s="31">
        <v>1.7</v>
      </c>
      <c r="BT307" s="31">
        <v>1.7</v>
      </c>
      <c r="BU307" s="43">
        <v>0.12</v>
      </c>
      <c r="BV307" s="44">
        <v>0.45</v>
      </c>
      <c r="BW307" s="19">
        <v>0.02</v>
      </c>
      <c r="BX307" s="44">
        <v>0.15</v>
      </c>
      <c r="BY307" s="40">
        <v>16.083936408780207</v>
      </c>
      <c r="BZ307" s="40">
        <v>0.52</v>
      </c>
      <c r="CA307" s="40">
        <v>0.65</v>
      </c>
      <c r="CB307" s="45">
        <v>1</v>
      </c>
      <c r="CC307" s="41">
        <v>2.9751240184390171</v>
      </c>
      <c r="CD307" s="41">
        <v>19.178261311007414</v>
      </c>
      <c r="CE307" s="41">
        <v>77.846614670553578</v>
      </c>
      <c r="CF307" s="125">
        <v>1.1000000000000001</v>
      </c>
      <c r="CG307" s="40">
        <f t="shared" si="259"/>
        <v>2.3240494305283643E-2</v>
      </c>
      <c r="CH307" s="40">
        <f t="shared" si="269"/>
        <v>2.3240494305283643E-2</v>
      </c>
      <c r="CI307" s="99">
        <f t="shared" si="260"/>
        <v>6.9143352808044567E-4</v>
      </c>
      <c r="CJ307" s="100">
        <f t="shared" si="261"/>
        <v>4.4571227278370944E-3</v>
      </c>
      <c r="CK307" s="100">
        <f t="shared" si="262"/>
        <v>1.8091938049366107E-2</v>
      </c>
      <c r="CL307" s="101">
        <f t="shared" si="246"/>
        <v>5.5821560815017207E-4</v>
      </c>
      <c r="CM307" s="100">
        <f t="shared" si="247"/>
        <v>4.2371158490100598E-3</v>
      </c>
      <c r="CN307" s="100">
        <f t="shared" si="248"/>
        <v>7.5771086373230606E-3</v>
      </c>
      <c r="CO307" s="100">
        <f t="shared" si="249"/>
        <v>3.0756294683922381E-2</v>
      </c>
      <c r="CP307" s="101">
        <f t="shared" si="250"/>
        <v>9.4896653385529253E-4</v>
      </c>
      <c r="CQ307" s="100">
        <f t="shared" si="251"/>
        <v>7.2030969433171024E-3</v>
      </c>
      <c r="CR307" s="99">
        <f t="shared" si="252"/>
        <v>0.22153385329446432</v>
      </c>
      <c r="CS307" s="31">
        <v>1.7</v>
      </c>
      <c r="CT307" s="31">
        <v>1.7</v>
      </c>
      <c r="CU307" s="43">
        <v>0.04</v>
      </c>
      <c r="CV307" s="44">
        <v>0.22</v>
      </c>
      <c r="CW307" s="19">
        <v>2.1000000000000001E-2</v>
      </c>
      <c r="CX307" s="44">
        <v>0.18</v>
      </c>
    </row>
    <row r="308" spans="1:102" x14ac:dyDescent="0.25">
      <c r="A308" s="31">
        <v>294</v>
      </c>
      <c r="B308" s="83" t="s">
        <v>254</v>
      </c>
      <c r="C308" s="31">
        <v>70</v>
      </c>
      <c r="D308" s="31" t="s">
        <v>36</v>
      </c>
      <c r="E308" s="31" t="s">
        <v>5</v>
      </c>
      <c r="F308" s="31" t="s">
        <v>12</v>
      </c>
      <c r="G308" s="31" t="str">
        <f t="shared" si="253"/>
        <v>Kommunal 70 M 4S A</v>
      </c>
      <c r="H308" s="48">
        <f t="shared" si="220"/>
        <v>0.10084150347850121</v>
      </c>
      <c r="I308" s="40">
        <f t="shared" si="221"/>
        <v>0.13822578845232891</v>
      </c>
      <c r="J308" s="99">
        <f t="shared" si="222"/>
        <v>2.215099911093951E-3</v>
      </c>
      <c r="K308" s="48">
        <f t="shared" si="223"/>
        <v>3.1186200487382642E-2</v>
      </c>
      <c r="L308" s="48">
        <f t="shared" si="224"/>
        <v>0.10482448805385233</v>
      </c>
      <c r="M308" s="48">
        <f t="shared" si="254"/>
        <v>0.25363849453300857</v>
      </c>
      <c r="N308" s="99">
        <f t="shared" si="225"/>
        <v>4.885957852662064E-3</v>
      </c>
      <c r="O308" s="48">
        <f t="shared" si="226"/>
        <v>2.5089310731911434E-2</v>
      </c>
      <c r="P308" s="48">
        <f t="shared" si="227"/>
        <v>4.6779300731073954E-2</v>
      </c>
      <c r="Q308" s="48">
        <f t="shared" si="228"/>
        <v>0.15723673208077849</v>
      </c>
      <c r="R308" s="40">
        <f t="shared" si="255"/>
        <v>1.77546946173106</v>
      </c>
      <c r="S308" s="99">
        <f t="shared" si="229"/>
        <v>7.3289367789930969E-3</v>
      </c>
      <c r="T308" s="48">
        <f t="shared" si="230"/>
        <v>3.7633966097867143E-2</v>
      </c>
      <c r="U308" s="40">
        <v>4.7282400000000022</v>
      </c>
      <c r="V308" s="40">
        <v>1.25</v>
      </c>
      <c r="W308" s="40">
        <v>0.45</v>
      </c>
      <c r="X308" s="40">
        <v>1.5241919747630239</v>
      </c>
      <c r="Y308" s="42">
        <v>0.82304534923805894</v>
      </c>
      <c r="Z308" s="42">
        <v>22.086927970711699</v>
      </c>
      <c r="AA308" s="42">
        <v>77.090026680050244</v>
      </c>
      <c r="AB308" s="42">
        <v>2.333333333333333</v>
      </c>
      <c r="AC308" s="125">
        <v>1.1000000000000001</v>
      </c>
      <c r="AD308" s="94">
        <f t="shared" si="256"/>
        <v>7.1317926968890263E-2</v>
      </c>
      <c r="AE308" s="94">
        <f t="shared" si="263"/>
        <v>0.10870221194271797</v>
      </c>
      <c r="AF308" s="96">
        <f t="shared" si="264"/>
        <v>8.9466849991343817E-4</v>
      </c>
      <c r="AG308" s="95">
        <f t="shared" ref="AG308:AG350" si="270">$AE308*Z308/100</f>
        <v>2.4008979254358489E-2</v>
      </c>
      <c r="AH308" s="94">
        <f t="shared" si="219"/>
        <v>8.3798564188446042E-2</v>
      </c>
      <c r="AI308" s="94">
        <f t="shared" si="265"/>
        <v>0.25363849453300857</v>
      </c>
      <c r="AJ308" s="96">
        <f t="shared" si="231"/>
        <v>3.5128910599291543E-3</v>
      </c>
      <c r="AK308" s="95">
        <f t="shared" si="232"/>
        <v>1.8934492762689995E-2</v>
      </c>
      <c r="AL308" s="95">
        <f t="shared" si="233"/>
        <v>3.6013468881537732E-2</v>
      </c>
      <c r="AM308" s="94">
        <f t="shared" si="234"/>
        <v>0.12569784628266906</v>
      </c>
      <c r="AN308" s="93">
        <f t="shared" si="235"/>
        <v>1.77546946173106</v>
      </c>
      <c r="AO308" s="96">
        <f t="shared" si="236"/>
        <v>5.2693365898937305E-3</v>
      </c>
      <c r="AP308" s="95">
        <f t="shared" si="237"/>
        <v>2.8401739144034988E-2</v>
      </c>
      <c r="AQ308" s="93">
        <f t="shared" si="238"/>
        <v>0.22909973319949758</v>
      </c>
      <c r="AR308" s="31">
        <v>1.5</v>
      </c>
      <c r="AS308" s="31">
        <v>1.5</v>
      </c>
      <c r="AT308" s="31">
        <v>7</v>
      </c>
      <c r="AU308" s="43">
        <v>0.08</v>
      </c>
      <c r="AV308" s="44">
        <v>0.3</v>
      </c>
      <c r="AW308" s="43">
        <v>1.9E-2</v>
      </c>
      <c r="AX308" s="44">
        <v>0.14000000000000001</v>
      </c>
      <c r="AY308" s="40">
        <v>6.7734314201523551</v>
      </c>
      <c r="AZ308" s="41">
        <v>0.5</v>
      </c>
      <c r="BA308" s="40">
        <v>0.72</v>
      </c>
      <c r="BB308" s="45">
        <v>1</v>
      </c>
      <c r="BC308" s="41">
        <v>11.280218363357537</v>
      </c>
      <c r="BD308" s="41">
        <v>47.541244098024215</v>
      </c>
      <c r="BE308" s="41">
        <v>41.178537538618244</v>
      </c>
      <c r="BF308" s="125">
        <v>1.1000000000000001</v>
      </c>
      <c r="BG308" s="48">
        <f t="shared" si="257"/>
        <v>4.3206518882053686E-3</v>
      </c>
      <c r="BH308" s="48">
        <f t="shared" si="266"/>
        <v>4.3206518882053686E-3</v>
      </c>
      <c r="BI308" s="99">
        <f t="shared" si="267"/>
        <v>4.873789677100962E-4</v>
      </c>
      <c r="BJ308" s="99">
        <f t="shared" si="258"/>
        <v>2.0540916607976068E-3</v>
      </c>
      <c r="BK308" s="48">
        <f t="shared" si="268"/>
        <v>1.7791812596976656E-3</v>
      </c>
      <c r="BL308" s="99">
        <f t="shared" si="239"/>
        <v>3.2849400148471126E-4</v>
      </c>
      <c r="BM308" s="48">
        <f t="shared" si="240"/>
        <v>1.218554749474528E-3</v>
      </c>
      <c r="BN308" s="48">
        <f t="shared" si="241"/>
        <v>3.0811374911964102E-3</v>
      </c>
      <c r="BO308" s="48">
        <f t="shared" si="242"/>
        <v>2.6687718895464984E-3</v>
      </c>
      <c r="BP308" s="99">
        <f t="shared" si="243"/>
        <v>4.9274100222706694E-4</v>
      </c>
      <c r="BQ308" s="48">
        <f t="shared" si="244"/>
        <v>1.827832124211792E-3</v>
      </c>
      <c r="BR308" s="40">
        <f t="shared" si="245"/>
        <v>0.58821462461381757</v>
      </c>
      <c r="BS308" s="31">
        <v>1.5</v>
      </c>
      <c r="BT308" s="31">
        <v>1.5</v>
      </c>
      <c r="BU308" s="43">
        <v>0.14000000000000001</v>
      </c>
      <c r="BV308" s="44">
        <v>0.42</v>
      </c>
      <c r="BW308" s="43">
        <v>2.3E-2</v>
      </c>
      <c r="BX308" s="44">
        <v>0.2</v>
      </c>
      <c r="BY308" s="40">
        <v>17.442066059404368</v>
      </c>
      <c r="BZ308" s="40">
        <v>0.52</v>
      </c>
      <c r="CA308" s="40">
        <v>0.65</v>
      </c>
      <c r="CB308" s="45">
        <v>1</v>
      </c>
      <c r="CC308" s="41">
        <v>3.3053800540389702</v>
      </c>
      <c r="CD308" s="41">
        <v>20.327520115960358</v>
      </c>
      <c r="CE308" s="41">
        <v>76.367099830000683</v>
      </c>
      <c r="CF308" s="125">
        <v>1.1000000000000001</v>
      </c>
      <c r="CG308" s="40">
        <f t="shared" si="259"/>
        <v>2.5202924621405578E-2</v>
      </c>
      <c r="CH308" s="40">
        <f t="shared" si="269"/>
        <v>2.5202924621405578E-2</v>
      </c>
      <c r="CI308" s="99">
        <f t="shared" si="260"/>
        <v>8.3305244347041656E-4</v>
      </c>
      <c r="CJ308" s="100">
        <f t="shared" si="261"/>
        <v>5.1231295722265445E-3</v>
      </c>
      <c r="CK308" s="100">
        <f t="shared" si="262"/>
        <v>1.9246742605708619E-2</v>
      </c>
      <c r="CL308" s="101">
        <f t="shared" si="246"/>
        <v>1.044572791248199E-3</v>
      </c>
      <c r="CM308" s="100">
        <f t="shared" si="247"/>
        <v>4.9362632197469105E-3</v>
      </c>
      <c r="CN308" s="100">
        <f t="shared" si="248"/>
        <v>7.6846943583398167E-3</v>
      </c>
      <c r="CO308" s="100">
        <f t="shared" si="249"/>
        <v>2.8870113908562929E-2</v>
      </c>
      <c r="CP308" s="101">
        <f t="shared" si="250"/>
        <v>1.5668591868722988E-3</v>
      </c>
      <c r="CQ308" s="100">
        <f t="shared" si="251"/>
        <v>7.4043948296203662E-3</v>
      </c>
      <c r="CR308" s="99">
        <f t="shared" si="252"/>
        <v>0.23632900169999327</v>
      </c>
      <c r="CS308" s="31">
        <v>1.5</v>
      </c>
      <c r="CT308" s="31">
        <v>1.5</v>
      </c>
      <c r="CU308" s="43">
        <v>0.125</v>
      </c>
      <c r="CV308" s="44">
        <v>0.4</v>
      </c>
      <c r="CW308" s="43">
        <v>2.1000000000000001E-2</v>
      </c>
      <c r="CX308" s="44">
        <v>0.15</v>
      </c>
    </row>
    <row r="309" spans="1:102" x14ac:dyDescent="0.25">
      <c r="A309" s="31">
        <v>295</v>
      </c>
      <c r="B309" s="83" t="s">
        <v>254</v>
      </c>
      <c r="C309" s="31">
        <v>70</v>
      </c>
      <c r="D309" s="31" t="s">
        <v>36</v>
      </c>
      <c r="E309" s="31" t="s">
        <v>5</v>
      </c>
      <c r="F309" s="31" t="s">
        <v>13</v>
      </c>
      <c r="G309" s="31" t="str">
        <f t="shared" si="253"/>
        <v>Kommunal 70 M 4S B</v>
      </c>
      <c r="H309" s="48">
        <f t="shared" si="220"/>
        <v>0.10084150347850121</v>
      </c>
      <c r="I309" s="40">
        <f t="shared" si="221"/>
        <v>0.13822578845232891</v>
      </c>
      <c r="J309" s="99">
        <f t="shared" si="222"/>
        <v>2.215099911093951E-3</v>
      </c>
      <c r="K309" s="48">
        <f t="shared" si="223"/>
        <v>3.1186200487382642E-2</v>
      </c>
      <c r="L309" s="48">
        <f t="shared" si="224"/>
        <v>0.10482448805385233</v>
      </c>
      <c r="M309" s="48">
        <f t="shared" si="254"/>
        <v>0.25363849453300857</v>
      </c>
      <c r="N309" s="99">
        <f t="shared" si="225"/>
        <v>4.885957852662064E-3</v>
      </c>
      <c r="O309" s="48">
        <f t="shared" si="226"/>
        <v>2.5089310731911434E-2</v>
      </c>
      <c r="P309" s="48">
        <f t="shared" si="227"/>
        <v>4.6779300731073954E-2</v>
      </c>
      <c r="Q309" s="48">
        <f t="shared" si="228"/>
        <v>0.15723673208077849</v>
      </c>
      <c r="R309" s="40">
        <f t="shared" si="255"/>
        <v>1.77546946173106</v>
      </c>
      <c r="S309" s="99">
        <f t="shared" si="229"/>
        <v>7.3289367789930969E-3</v>
      </c>
      <c r="T309" s="48">
        <f t="shared" si="230"/>
        <v>3.7633966097867143E-2</v>
      </c>
      <c r="U309" s="40">
        <v>4.7282400000000022</v>
      </c>
      <c r="V309" s="40">
        <v>1.25</v>
      </c>
      <c r="W309" s="40">
        <v>0.45</v>
      </c>
      <c r="X309" s="40">
        <v>1.5241919747630239</v>
      </c>
      <c r="Y309" s="42">
        <v>0.82304534923805894</v>
      </c>
      <c r="Z309" s="42">
        <v>22.086927970711699</v>
      </c>
      <c r="AA309" s="42">
        <v>77.090026680050244</v>
      </c>
      <c r="AB309" s="42">
        <v>2.333333333333333</v>
      </c>
      <c r="AC309" s="125">
        <v>1.1000000000000001</v>
      </c>
      <c r="AD309" s="94">
        <f t="shared" si="256"/>
        <v>7.1317926968890263E-2</v>
      </c>
      <c r="AE309" s="94">
        <f t="shared" si="263"/>
        <v>0.10870221194271797</v>
      </c>
      <c r="AF309" s="96">
        <f t="shared" si="264"/>
        <v>8.9466849991343817E-4</v>
      </c>
      <c r="AG309" s="95">
        <f t="shared" si="270"/>
        <v>2.4008979254358489E-2</v>
      </c>
      <c r="AH309" s="94">
        <f t="shared" ref="AH309:AH350" si="271">$AE309*AA309/100</f>
        <v>8.3798564188446042E-2</v>
      </c>
      <c r="AI309" s="94">
        <f t="shared" si="265"/>
        <v>0.25363849453300857</v>
      </c>
      <c r="AJ309" s="96">
        <f t="shared" si="231"/>
        <v>3.5128910599291543E-3</v>
      </c>
      <c r="AK309" s="95">
        <f t="shared" si="232"/>
        <v>1.8934492762689995E-2</v>
      </c>
      <c r="AL309" s="95">
        <f t="shared" si="233"/>
        <v>3.6013468881537732E-2</v>
      </c>
      <c r="AM309" s="94">
        <f t="shared" si="234"/>
        <v>0.12569784628266906</v>
      </c>
      <c r="AN309" s="93">
        <f t="shared" si="235"/>
        <v>1.77546946173106</v>
      </c>
      <c r="AO309" s="96">
        <f t="shared" si="236"/>
        <v>5.2693365898937305E-3</v>
      </c>
      <c r="AP309" s="95">
        <f t="shared" si="237"/>
        <v>2.8401739144034988E-2</v>
      </c>
      <c r="AQ309" s="93">
        <f t="shared" si="238"/>
        <v>0.22909973319949758</v>
      </c>
      <c r="AR309" s="31">
        <v>1.5</v>
      </c>
      <c r="AS309" s="31">
        <v>1.5</v>
      </c>
      <c r="AT309" s="31">
        <v>7</v>
      </c>
      <c r="AU309" s="43">
        <v>0.08</v>
      </c>
      <c r="AV309" s="44">
        <v>0.3</v>
      </c>
      <c r="AW309" s="43">
        <v>1.9E-2</v>
      </c>
      <c r="AX309" s="44">
        <v>0.14000000000000001</v>
      </c>
      <c r="AY309" s="40">
        <v>6.7734314201523551</v>
      </c>
      <c r="AZ309" s="41">
        <v>0.5</v>
      </c>
      <c r="BA309" s="40">
        <v>0.72</v>
      </c>
      <c r="BB309" s="45">
        <v>1</v>
      </c>
      <c r="BC309" s="41">
        <v>11.280218363357537</v>
      </c>
      <c r="BD309" s="41">
        <v>47.541244098024215</v>
      </c>
      <c r="BE309" s="41">
        <v>41.178537538618244</v>
      </c>
      <c r="BF309" s="125">
        <v>1.1000000000000001</v>
      </c>
      <c r="BG309" s="48">
        <f t="shared" si="257"/>
        <v>4.3206518882053686E-3</v>
      </c>
      <c r="BH309" s="48">
        <f t="shared" si="266"/>
        <v>4.3206518882053686E-3</v>
      </c>
      <c r="BI309" s="99">
        <f t="shared" si="267"/>
        <v>4.873789677100962E-4</v>
      </c>
      <c r="BJ309" s="99">
        <f t="shared" si="258"/>
        <v>2.0540916607976068E-3</v>
      </c>
      <c r="BK309" s="48">
        <f t="shared" si="268"/>
        <v>1.7791812596976656E-3</v>
      </c>
      <c r="BL309" s="99">
        <f t="shared" si="239"/>
        <v>3.2849400148471126E-4</v>
      </c>
      <c r="BM309" s="48">
        <f t="shared" si="240"/>
        <v>1.218554749474528E-3</v>
      </c>
      <c r="BN309" s="48">
        <f t="shared" si="241"/>
        <v>3.0811374911964102E-3</v>
      </c>
      <c r="BO309" s="48">
        <f t="shared" si="242"/>
        <v>2.6687718895464984E-3</v>
      </c>
      <c r="BP309" s="99">
        <f t="shared" si="243"/>
        <v>4.9274100222706694E-4</v>
      </c>
      <c r="BQ309" s="48">
        <f t="shared" si="244"/>
        <v>1.827832124211792E-3</v>
      </c>
      <c r="BR309" s="40">
        <f t="shared" si="245"/>
        <v>0.58821462461381757</v>
      </c>
      <c r="BS309" s="31">
        <v>1.5</v>
      </c>
      <c r="BT309" s="31">
        <v>1.5</v>
      </c>
      <c r="BU309" s="43">
        <v>0.14000000000000001</v>
      </c>
      <c r="BV309" s="44">
        <v>0.42</v>
      </c>
      <c r="BW309" s="43">
        <v>2.3E-2</v>
      </c>
      <c r="BX309" s="44">
        <v>0.2</v>
      </c>
      <c r="BY309" s="40">
        <v>17.442066059404368</v>
      </c>
      <c r="BZ309" s="40">
        <v>0.52</v>
      </c>
      <c r="CA309" s="40">
        <v>0.65</v>
      </c>
      <c r="CB309" s="45">
        <v>1</v>
      </c>
      <c r="CC309" s="41">
        <v>3.3053800540389702</v>
      </c>
      <c r="CD309" s="41">
        <v>20.327520115960358</v>
      </c>
      <c r="CE309" s="41">
        <v>76.367099830000683</v>
      </c>
      <c r="CF309" s="125">
        <v>1.1000000000000001</v>
      </c>
      <c r="CG309" s="40">
        <f t="shared" si="259"/>
        <v>2.5202924621405578E-2</v>
      </c>
      <c r="CH309" s="40">
        <f t="shared" si="269"/>
        <v>2.5202924621405578E-2</v>
      </c>
      <c r="CI309" s="99">
        <f t="shared" si="260"/>
        <v>8.3305244347041656E-4</v>
      </c>
      <c r="CJ309" s="100">
        <f t="shared" si="261"/>
        <v>5.1231295722265445E-3</v>
      </c>
      <c r="CK309" s="100">
        <f t="shared" si="262"/>
        <v>1.9246742605708619E-2</v>
      </c>
      <c r="CL309" s="101">
        <f t="shared" si="246"/>
        <v>1.044572791248199E-3</v>
      </c>
      <c r="CM309" s="100">
        <f t="shared" si="247"/>
        <v>4.9362632197469105E-3</v>
      </c>
      <c r="CN309" s="100">
        <f t="shared" si="248"/>
        <v>7.6846943583398167E-3</v>
      </c>
      <c r="CO309" s="100">
        <f t="shared" si="249"/>
        <v>2.8870113908562929E-2</v>
      </c>
      <c r="CP309" s="101">
        <f t="shared" si="250"/>
        <v>1.5668591868722988E-3</v>
      </c>
      <c r="CQ309" s="100">
        <f t="shared" si="251"/>
        <v>7.4043948296203662E-3</v>
      </c>
      <c r="CR309" s="99">
        <f t="shared" si="252"/>
        <v>0.23632900169999327</v>
      </c>
      <c r="CS309" s="31">
        <v>1.5</v>
      </c>
      <c r="CT309" s="31">
        <v>1.5</v>
      </c>
      <c r="CU309" s="43">
        <v>0.125</v>
      </c>
      <c r="CV309" s="44">
        <v>0.4</v>
      </c>
      <c r="CW309" s="43">
        <v>2.1000000000000001E-2</v>
      </c>
      <c r="CX309" s="44">
        <v>0.15</v>
      </c>
    </row>
    <row r="310" spans="1:102" x14ac:dyDescent="0.25">
      <c r="A310" s="31">
        <v>296</v>
      </c>
      <c r="B310" s="83" t="s">
        <v>254</v>
      </c>
      <c r="C310" s="31">
        <v>70</v>
      </c>
      <c r="D310" s="31" t="s">
        <v>36</v>
      </c>
      <c r="E310" s="31" t="s">
        <v>5</v>
      </c>
      <c r="F310" s="31" t="s">
        <v>70</v>
      </c>
      <c r="G310" s="31" t="str">
        <f t="shared" si="253"/>
        <v>Kommunal 70 M 4S Ck</v>
      </c>
      <c r="H310" s="48">
        <f t="shared" si="220"/>
        <v>9.3709710781612152E-2</v>
      </c>
      <c r="I310" s="40">
        <f t="shared" si="221"/>
        <v>0.12735556725805708</v>
      </c>
      <c r="J310" s="99">
        <f t="shared" si="222"/>
        <v>2.125633061102607E-3</v>
      </c>
      <c r="K310" s="48">
        <f t="shared" si="223"/>
        <v>2.8785302561946776E-2</v>
      </c>
      <c r="L310" s="48">
        <f t="shared" si="224"/>
        <v>9.6444631635007702E-2</v>
      </c>
      <c r="M310" s="48">
        <f t="shared" si="254"/>
        <v>0.2282746450797076</v>
      </c>
      <c r="N310" s="99">
        <f t="shared" si="225"/>
        <v>4.534668746669147E-3</v>
      </c>
      <c r="O310" s="48">
        <f t="shared" si="226"/>
        <v>2.3195861455642425E-2</v>
      </c>
      <c r="P310" s="48">
        <f t="shared" si="227"/>
        <v>4.3177953842920162E-2</v>
      </c>
      <c r="Q310" s="48">
        <f t="shared" si="228"/>
        <v>0.14466694745251155</v>
      </c>
      <c r="R310" s="40">
        <f t="shared" si="255"/>
        <v>1.5979225155579533</v>
      </c>
      <c r="S310" s="99">
        <f t="shared" si="229"/>
        <v>6.8020031200037214E-3</v>
      </c>
      <c r="T310" s="48">
        <f t="shared" si="230"/>
        <v>3.4793792183463637E-2</v>
      </c>
      <c r="U310" s="40">
        <v>4.2554160000000003</v>
      </c>
      <c r="V310" s="40">
        <v>1.25</v>
      </c>
      <c r="W310" s="40">
        <v>0.45</v>
      </c>
      <c r="X310" s="40">
        <v>1.5241919747630239</v>
      </c>
      <c r="Y310" s="42">
        <v>0.82304534923805894</v>
      </c>
      <c r="Z310" s="42">
        <v>22.086927970711695</v>
      </c>
      <c r="AA310" s="42">
        <v>77.090026680050244</v>
      </c>
      <c r="AB310" s="42">
        <v>2.333333333333333</v>
      </c>
      <c r="AC310" s="125">
        <v>1.1000000000000001</v>
      </c>
      <c r="AD310" s="94">
        <f t="shared" si="256"/>
        <v>6.4186134272001205E-2</v>
      </c>
      <c r="AE310" s="94">
        <f t="shared" si="263"/>
        <v>9.7831990748446132E-2</v>
      </c>
      <c r="AF310" s="96">
        <f t="shared" si="264"/>
        <v>8.0520164992209408E-4</v>
      </c>
      <c r="AG310" s="95">
        <f t="shared" si="270"/>
        <v>2.1608081328922626E-2</v>
      </c>
      <c r="AH310" s="94">
        <f t="shared" si="271"/>
        <v>7.5418707769601412E-2</v>
      </c>
      <c r="AI310" s="94">
        <f t="shared" si="265"/>
        <v>0.2282746450797076</v>
      </c>
      <c r="AJ310" s="96">
        <f t="shared" si="231"/>
        <v>3.1616019539362373E-3</v>
      </c>
      <c r="AK310" s="95">
        <f t="shared" si="232"/>
        <v>1.7041043486420986E-2</v>
      </c>
      <c r="AL310" s="95">
        <f t="shared" si="233"/>
        <v>3.241212199338394E-2</v>
      </c>
      <c r="AM310" s="94">
        <f t="shared" si="234"/>
        <v>0.11312806165440212</v>
      </c>
      <c r="AN310" s="93">
        <f t="shared" si="235"/>
        <v>1.5979225155579533</v>
      </c>
      <c r="AO310" s="96">
        <f t="shared" si="236"/>
        <v>4.7424029309043551E-3</v>
      </c>
      <c r="AP310" s="95">
        <f t="shared" si="237"/>
        <v>2.5561565229631482E-2</v>
      </c>
      <c r="AQ310" s="93">
        <f t="shared" si="238"/>
        <v>0.22909973319949753</v>
      </c>
      <c r="AR310" s="31">
        <v>1.5</v>
      </c>
      <c r="AS310" s="31">
        <v>1.5</v>
      </c>
      <c r="AT310" s="31">
        <v>7</v>
      </c>
      <c r="AU310" s="43">
        <v>0.08</v>
      </c>
      <c r="AV310" s="44">
        <v>0.3</v>
      </c>
      <c r="AW310" s="43">
        <v>1.9E-2</v>
      </c>
      <c r="AX310" s="44">
        <v>0.14000000000000001</v>
      </c>
      <c r="AY310" s="40">
        <v>6.7734314201523551</v>
      </c>
      <c r="AZ310" s="41">
        <v>0.5</v>
      </c>
      <c r="BA310" s="40">
        <v>0.72</v>
      </c>
      <c r="BB310" s="45">
        <v>1</v>
      </c>
      <c r="BC310" s="41">
        <v>11.280218363357537</v>
      </c>
      <c r="BD310" s="41">
        <v>47.541244098024215</v>
      </c>
      <c r="BE310" s="41">
        <v>41.178537538618244</v>
      </c>
      <c r="BF310" s="125">
        <v>1.1000000000000001</v>
      </c>
      <c r="BG310" s="48">
        <f t="shared" si="257"/>
        <v>4.3206518882053686E-3</v>
      </c>
      <c r="BH310" s="48">
        <f t="shared" si="266"/>
        <v>4.3206518882053686E-3</v>
      </c>
      <c r="BI310" s="99">
        <f t="shared" si="267"/>
        <v>4.873789677100962E-4</v>
      </c>
      <c r="BJ310" s="99">
        <f t="shared" si="258"/>
        <v>2.0540916607976068E-3</v>
      </c>
      <c r="BK310" s="48">
        <f t="shared" si="268"/>
        <v>1.7791812596976656E-3</v>
      </c>
      <c r="BL310" s="99">
        <f t="shared" si="239"/>
        <v>3.2849400148471126E-4</v>
      </c>
      <c r="BM310" s="48">
        <f t="shared" si="240"/>
        <v>1.218554749474528E-3</v>
      </c>
      <c r="BN310" s="48">
        <f t="shared" si="241"/>
        <v>3.0811374911964102E-3</v>
      </c>
      <c r="BO310" s="48">
        <f t="shared" si="242"/>
        <v>2.6687718895464984E-3</v>
      </c>
      <c r="BP310" s="99">
        <f t="shared" si="243"/>
        <v>4.9274100222706694E-4</v>
      </c>
      <c r="BQ310" s="48">
        <f t="shared" si="244"/>
        <v>1.827832124211792E-3</v>
      </c>
      <c r="BR310" s="40">
        <f t="shared" si="245"/>
        <v>0.58821462461381757</v>
      </c>
      <c r="BS310" s="31">
        <v>1.5</v>
      </c>
      <c r="BT310" s="31">
        <v>1.5</v>
      </c>
      <c r="BU310" s="43">
        <v>0.14000000000000001</v>
      </c>
      <c r="BV310" s="44">
        <v>0.42</v>
      </c>
      <c r="BW310" s="43">
        <v>2.3E-2</v>
      </c>
      <c r="BX310" s="44">
        <v>0.2</v>
      </c>
      <c r="BY310" s="40">
        <v>17.442066059404368</v>
      </c>
      <c r="BZ310" s="40">
        <v>0.52</v>
      </c>
      <c r="CA310" s="40">
        <v>0.65</v>
      </c>
      <c r="CB310" s="45">
        <v>1</v>
      </c>
      <c r="CC310" s="41">
        <v>3.3053800540389702</v>
      </c>
      <c r="CD310" s="41">
        <v>20.327520115960358</v>
      </c>
      <c r="CE310" s="41">
        <v>76.367099830000683</v>
      </c>
      <c r="CF310" s="125">
        <v>1.1000000000000001</v>
      </c>
      <c r="CG310" s="40">
        <f t="shared" si="259"/>
        <v>2.5202924621405578E-2</v>
      </c>
      <c r="CH310" s="40">
        <f t="shared" si="269"/>
        <v>2.5202924621405578E-2</v>
      </c>
      <c r="CI310" s="99">
        <f t="shared" si="260"/>
        <v>8.3305244347041656E-4</v>
      </c>
      <c r="CJ310" s="100">
        <f t="shared" si="261"/>
        <v>5.1231295722265445E-3</v>
      </c>
      <c r="CK310" s="100">
        <f t="shared" si="262"/>
        <v>1.9246742605708619E-2</v>
      </c>
      <c r="CL310" s="101">
        <f t="shared" si="246"/>
        <v>1.044572791248199E-3</v>
      </c>
      <c r="CM310" s="100">
        <f t="shared" si="247"/>
        <v>4.9362632197469105E-3</v>
      </c>
      <c r="CN310" s="100">
        <f t="shared" si="248"/>
        <v>7.6846943583398167E-3</v>
      </c>
      <c r="CO310" s="100">
        <f t="shared" si="249"/>
        <v>2.8870113908562929E-2</v>
      </c>
      <c r="CP310" s="101">
        <f t="shared" si="250"/>
        <v>1.5668591868722988E-3</v>
      </c>
      <c r="CQ310" s="100">
        <f t="shared" si="251"/>
        <v>7.4043948296203662E-3</v>
      </c>
      <c r="CR310" s="99">
        <f t="shared" si="252"/>
        <v>0.23632900169999327</v>
      </c>
      <c r="CS310" s="31">
        <v>1.5</v>
      </c>
      <c r="CT310" s="31">
        <v>1.5</v>
      </c>
      <c r="CU310" s="43">
        <v>0.125</v>
      </c>
      <c r="CV310" s="44">
        <v>0.4</v>
      </c>
      <c r="CW310" s="43">
        <v>2.1000000000000001E-2</v>
      </c>
      <c r="CX310" s="44">
        <v>0.15</v>
      </c>
    </row>
    <row r="311" spans="1:102" x14ac:dyDescent="0.25">
      <c r="A311" s="31">
        <v>297</v>
      </c>
      <c r="B311" s="83" t="s">
        <v>254</v>
      </c>
      <c r="C311" s="31">
        <v>70</v>
      </c>
      <c r="D311" s="31" t="s">
        <v>36</v>
      </c>
      <c r="E311" s="31" t="s">
        <v>5</v>
      </c>
      <c r="F311" s="31" t="s">
        <v>71</v>
      </c>
      <c r="G311" s="31" t="str">
        <f t="shared" si="253"/>
        <v>Kommunal 70 M 4S Cm</v>
      </c>
      <c r="H311" s="48">
        <f t="shared" si="220"/>
        <v>9.3709710781612152E-2</v>
      </c>
      <c r="I311" s="40">
        <f t="shared" si="221"/>
        <v>0.12735556725805708</v>
      </c>
      <c r="J311" s="99">
        <f t="shared" si="222"/>
        <v>2.125633061102607E-3</v>
      </c>
      <c r="K311" s="48">
        <f t="shared" si="223"/>
        <v>2.8785302561946776E-2</v>
      </c>
      <c r="L311" s="48">
        <f t="shared" si="224"/>
        <v>9.6444631635007702E-2</v>
      </c>
      <c r="M311" s="48">
        <f t="shared" si="254"/>
        <v>0.2282746450797076</v>
      </c>
      <c r="N311" s="99">
        <f t="shared" si="225"/>
        <v>4.534668746669147E-3</v>
      </c>
      <c r="O311" s="48">
        <f t="shared" si="226"/>
        <v>2.3195861455642425E-2</v>
      </c>
      <c r="P311" s="48">
        <f t="shared" si="227"/>
        <v>4.3177953842920162E-2</v>
      </c>
      <c r="Q311" s="48">
        <f t="shared" si="228"/>
        <v>0.14466694745251155</v>
      </c>
      <c r="R311" s="40">
        <f t="shared" si="255"/>
        <v>1.5979225155579533</v>
      </c>
      <c r="S311" s="99">
        <f t="shared" si="229"/>
        <v>6.8020031200037214E-3</v>
      </c>
      <c r="T311" s="48">
        <f t="shared" si="230"/>
        <v>3.4793792183463637E-2</v>
      </c>
      <c r="U311" s="40">
        <v>4.2554160000000003</v>
      </c>
      <c r="V311" s="40">
        <v>1.25</v>
      </c>
      <c r="W311" s="40">
        <v>0.45</v>
      </c>
      <c r="X311" s="40">
        <v>1.5241919747630239</v>
      </c>
      <c r="Y311" s="42">
        <v>0.82304534923805894</v>
      </c>
      <c r="Z311" s="42">
        <v>22.086927970711695</v>
      </c>
      <c r="AA311" s="42">
        <v>77.090026680050244</v>
      </c>
      <c r="AB311" s="42">
        <v>2.333333333333333</v>
      </c>
      <c r="AC311" s="125">
        <v>1.1000000000000001</v>
      </c>
      <c r="AD311" s="94">
        <f t="shared" si="256"/>
        <v>6.4186134272001205E-2</v>
      </c>
      <c r="AE311" s="94">
        <f t="shared" si="263"/>
        <v>9.7831990748446132E-2</v>
      </c>
      <c r="AF311" s="96">
        <f t="shared" si="264"/>
        <v>8.0520164992209408E-4</v>
      </c>
      <c r="AG311" s="95">
        <f t="shared" si="270"/>
        <v>2.1608081328922626E-2</v>
      </c>
      <c r="AH311" s="94">
        <f t="shared" si="271"/>
        <v>7.5418707769601412E-2</v>
      </c>
      <c r="AI311" s="94">
        <f t="shared" si="265"/>
        <v>0.2282746450797076</v>
      </c>
      <c r="AJ311" s="96">
        <f t="shared" si="231"/>
        <v>3.1616019539362373E-3</v>
      </c>
      <c r="AK311" s="95">
        <f t="shared" si="232"/>
        <v>1.7041043486420986E-2</v>
      </c>
      <c r="AL311" s="95">
        <f t="shared" si="233"/>
        <v>3.241212199338394E-2</v>
      </c>
      <c r="AM311" s="94">
        <f t="shared" si="234"/>
        <v>0.11312806165440212</v>
      </c>
      <c r="AN311" s="93">
        <f t="shared" si="235"/>
        <v>1.5979225155579533</v>
      </c>
      <c r="AO311" s="96">
        <f t="shared" si="236"/>
        <v>4.7424029309043551E-3</v>
      </c>
      <c r="AP311" s="95">
        <f t="shared" si="237"/>
        <v>2.5561565229631482E-2</v>
      </c>
      <c r="AQ311" s="93">
        <f t="shared" si="238"/>
        <v>0.22909973319949753</v>
      </c>
      <c r="AR311" s="31">
        <v>1.5</v>
      </c>
      <c r="AS311" s="31">
        <v>1.5</v>
      </c>
      <c r="AT311" s="31">
        <v>7</v>
      </c>
      <c r="AU311" s="43">
        <v>0.08</v>
      </c>
      <c r="AV311" s="44">
        <v>0.3</v>
      </c>
      <c r="AW311" s="43">
        <v>1.9E-2</v>
      </c>
      <c r="AX311" s="44">
        <v>0.14000000000000001</v>
      </c>
      <c r="AY311" s="40">
        <v>6.7734314201523551</v>
      </c>
      <c r="AZ311" s="41">
        <v>0.5</v>
      </c>
      <c r="BA311" s="40">
        <v>0.72</v>
      </c>
      <c r="BB311" s="45">
        <v>1</v>
      </c>
      <c r="BC311" s="41">
        <v>11.280218363357537</v>
      </c>
      <c r="BD311" s="41">
        <v>47.541244098024215</v>
      </c>
      <c r="BE311" s="41">
        <v>41.178537538618244</v>
      </c>
      <c r="BF311" s="125">
        <v>1.1000000000000001</v>
      </c>
      <c r="BG311" s="48">
        <f t="shared" si="257"/>
        <v>4.3206518882053686E-3</v>
      </c>
      <c r="BH311" s="48">
        <f t="shared" si="266"/>
        <v>4.3206518882053686E-3</v>
      </c>
      <c r="BI311" s="99">
        <f t="shared" si="267"/>
        <v>4.873789677100962E-4</v>
      </c>
      <c r="BJ311" s="99">
        <f t="shared" si="258"/>
        <v>2.0540916607976068E-3</v>
      </c>
      <c r="BK311" s="48">
        <f t="shared" si="268"/>
        <v>1.7791812596976656E-3</v>
      </c>
      <c r="BL311" s="99">
        <f t="shared" si="239"/>
        <v>3.2849400148471126E-4</v>
      </c>
      <c r="BM311" s="48">
        <f t="shared" si="240"/>
        <v>1.218554749474528E-3</v>
      </c>
      <c r="BN311" s="48">
        <f t="shared" si="241"/>
        <v>3.0811374911964102E-3</v>
      </c>
      <c r="BO311" s="48">
        <f t="shared" si="242"/>
        <v>2.6687718895464984E-3</v>
      </c>
      <c r="BP311" s="99">
        <f t="shared" si="243"/>
        <v>4.9274100222706694E-4</v>
      </c>
      <c r="BQ311" s="48">
        <f t="shared" si="244"/>
        <v>1.827832124211792E-3</v>
      </c>
      <c r="BR311" s="40">
        <f t="shared" si="245"/>
        <v>0.58821462461381757</v>
      </c>
      <c r="BS311" s="31">
        <v>1.5</v>
      </c>
      <c r="BT311" s="31">
        <v>1.5</v>
      </c>
      <c r="BU311" s="43">
        <v>0.14000000000000001</v>
      </c>
      <c r="BV311" s="44">
        <v>0.42</v>
      </c>
      <c r="BW311" s="43">
        <v>2.3E-2</v>
      </c>
      <c r="BX311" s="44">
        <v>0.2</v>
      </c>
      <c r="BY311" s="40">
        <v>17.442066059404368</v>
      </c>
      <c r="BZ311" s="40">
        <v>0.52</v>
      </c>
      <c r="CA311" s="40">
        <v>0.65</v>
      </c>
      <c r="CB311" s="45">
        <v>1</v>
      </c>
      <c r="CC311" s="41">
        <v>3.3053800540389702</v>
      </c>
      <c r="CD311" s="41">
        <v>20.327520115960358</v>
      </c>
      <c r="CE311" s="41">
        <v>76.367099830000683</v>
      </c>
      <c r="CF311" s="125">
        <v>1.1000000000000001</v>
      </c>
      <c r="CG311" s="40">
        <f t="shared" si="259"/>
        <v>2.5202924621405578E-2</v>
      </c>
      <c r="CH311" s="40">
        <f t="shared" si="269"/>
        <v>2.5202924621405578E-2</v>
      </c>
      <c r="CI311" s="99">
        <f t="shared" si="260"/>
        <v>8.3305244347041656E-4</v>
      </c>
      <c r="CJ311" s="100">
        <f t="shared" si="261"/>
        <v>5.1231295722265445E-3</v>
      </c>
      <c r="CK311" s="100">
        <f t="shared" si="262"/>
        <v>1.9246742605708619E-2</v>
      </c>
      <c r="CL311" s="101">
        <f t="shared" si="246"/>
        <v>1.044572791248199E-3</v>
      </c>
      <c r="CM311" s="100">
        <f t="shared" si="247"/>
        <v>4.9362632197469105E-3</v>
      </c>
      <c r="CN311" s="100">
        <f t="shared" si="248"/>
        <v>7.6846943583398167E-3</v>
      </c>
      <c r="CO311" s="100">
        <f t="shared" si="249"/>
        <v>2.8870113908562929E-2</v>
      </c>
      <c r="CP311" s="101">
        <f t="shared" si="250"/>
        <v>1.5668591868722988E-3</v>
      </c>
      <c r="CQ311" s="100">
        <f t="shared" si="251"/>
        <v>7.4043948296203662E-3</v>
      </c>
      <c r="CR311" s="99">
        <f t="shared" si="252"/>
        <v>0.23632900169999327</v>
      </c>
      <c r="CS311" s="31">
        <v>1.5</v>
      </c>
      <c r="CT311" s="31">
        <v>1.5</v>
      </c>
      <c r="CU311" s="43">
        <v>0.125</v>
      </c>
      <c r="CV311" s="44">
        <v>0.4</v>
      </c>
      <c r="CW311" s="43">
        <v>2.1000000000000001E-2</v>
      </c>
      <c r="CX311" s="44">
        <v>0.15</v>
      </c>
    </row>
    <row r="312" spans="1:102" x14ac:dyDescent="0.25">
      <c r="A312" s="31">
        <v>298</v>
      </c>
      <c r="B312" s="83" t="s">
        <v>254</v>
      </c>
      <c r="C312" s="31">
        <v>70</v>
      </c>
      <c r="D312" s="31" t="s">
        <v>36</v>
      </c>
      <c r="E312" s="31" t="s">
        <v>5</v>
      </c>
      <c r="F312" s="31" t="s">
        <v>0</v>
      </c>
      <c r="G312" s="31" t="str">
        <f t="shared" si="253"/>
        <v>Kommunal 70 M 4S D</v>
      </c>
      <c r="H312" s="48">
        <f t="shared" si="220"/>
        <v>5.8355948259390861E-2</v>
      </c>
      <c r="I312" s="40">
        <f t="shared" si="221"/>
        <v>9.7634916019053025E-2</v>
      </c>
      <c r="J312" s="99">
        <f t="shared" si="222"/>
        <v>1.3204314111805128E-3</v>
      </c>
      <c r="K312" s="48">
        <f t="shared" si="223"/>
        <v>1.647052237291521E-2</v>
      </c>
      <c r="L312" s="48">
        <f t="shared" si="224"/>
        <v>7.9843962234957308E-2</v>
      </c>
      <c r="M312" s="48">
        <f t="shared" si="254"/>
        <v>0.38596425722017175</v>
      </c>
      <c r="N312" s="99">
        <f t="shared" si="225"/>
        <v>3.2340736129456643E-3</v>
      </c>
      <c r="O312" s="48">
        <f t="shared" si="226"/>
        <v>1.7177333682925899E-2</v>
      </c>
      <c r="P312" s="48">
        <f t="shared" si="227"/>
        <v>2.4705783559372814E-2</v>
      </c>
      <c r="Q312" s="48">
        <f t="shared" si="228"/>
        <v>0.11976594335243596</v>
      </c>
      <c r="R312" s="40">
        <f t="shared" si="255"/>
        <v>2.7017498005412022</v>
      </c>
      <c r="S312" s="99">
        <f t="shared" si="229"/>
        <v>4.851110419418497E-3</v>
      </c>
      <c r="T312" s="48">
        <f t="shared" si="230"/>
        <v>2.5766000524388852E-2</v>
      </c>
      <c r="U312" s="40">
        <v>1.0830105000000003</v>
      </c>
      <c r="V312" s="40">
        <v>1.2</v>
      </c>
      <c r="W312" s="45">
        <v>0</v>
      </c>
      <c r="X312" s="40">
        <v>2.3623217715331375</v>
      </c>
      <c r="Y312" s="42">
        <v>0</v>
      </c>
      <c r="Z312" s="42">
        <v>13.644278921577744</v>
      </c>
      <c r="AA312" s="42">
        <v>86.355721078422263</v>
      </c>
      <c r="AB312" s="42">
        <v>5.6666666666666661</v>
      </c>
      <c r="AC312" s="125">
        <v>1.1000000000000001</v>
      </c>
      <c r="AD312" s="94">
        <f t="shared" si="256"/>
        <v>2.8832371749779918E-2</v>
      </c>
      <c r="AE312" s="94">
        <f t="shared" si="263"/>
        <v>6.8111339509442079E-2</v>
      </c>
      <c r="AF312" s="96">
        <f t="shared" si="264"/>
        <v>0</v>
      </c>
      <c r="AG312" s="95">
        <f t="shared" si="270"/>
        <v>9.2933011398910591E-3</v>
      </c>
      <c r="AH312" s="94">
        <f t="shared" si="271"/>
        <v>5.8818038369551025E-2</v>
      </c>
      <c r="AI312" s="94">
        <f t="shared" si="265"/>
        <v>0.38596425722017175</v>
      </c>
      <c r="AJ312" s="96">
        <f t="shared" si="231"/>
        <v>1.8610068202127542E-3</v>
      </c>
      <c r="AK312" s="95">
        <f t="shared" si="232"/>
        <v>1.1022515713704462E-2</v>
      </c>
      <c r="AL312" s="95">
        <f t="shared" si="233"/>
        <v>1.3939951709836588E-2</v>
      </c>
      <c r="AM312" s="94">
        <f t="shared" si="234"/>
        <v>8.8227057554326541E-2</v>
      </c>
      <c r="AN312" s="93">
        <f t="shared" si="235"/>
        <v>2.7017498005412022</v>
      </c>
      <c r="AO312" s="96">
        <f t="shared" si="236"/>
        <v>2.7915102303191315E-3</v>
      </c>
      <c r="AP312" s="95">
        <f t="shared" si="237"/>
        <v>1.6533773570556694E-2</v>
      </c>
      <c r="AQ312" s="93">
        <f t="shared" si="238"/>
        <v>0.13644278921577743</v>
      </c>
      <c r="AR312" s="31">
        <v>1.5</v>
      </c>
      <c r="AS312" s="31">
        <v>1.5</v>
      </c>
      <c r="AT312" s="31">
        <v>7</v>
      </c>
      <c r="AU312" s="43">
        <v>0.08</v>
      </c>
      <c r="AV312" s="44">
        <v>0.3</v>
      </c>
      <c r="AW312" s="43">
        <v>1.9E-2</v>
      </c>
      <c r="AX312" s="44">
        <v>0.14000000000000001</v>
      </c>
      <c r="AY312" s="40">
        <v>6.7734314201523551</v>
      </c>
      <c r="AZ312" s="41">
        <v>0.5</v>
      </c>
      <c r="BA312" s="40">
        <v>0.72</v>
      </c>
      <c r="BB312" s="45">
        <v>1</v>
      </c>
      <c r="BC312" s="41">
        <v>11.280218363357537</v>
      </c>
      <c r="BD312" s="41">
        <v>47.541244098024215</v>
      </c>
      <c r="BE312" s="41">
        <v>41.178537538618244</v>
      </c>
      <c r="BF312" s="125">
        <v>1.1000000000000001</v>
      </c>
      <c r="BG312" s="48">
        <f t="shared" si="257"/>
        <v>4.3206518882053686E-3</v>
      </c>
      <c r="BH312" s="48">
        <f t="shared" si="266"/>
        <v>4.3206518882053686E-3</v>
      </c>
      <c r="BI312" s="99">
        <f t="shared" si="267"/>
        <v>4.873789677100962E-4</v>
      </c>
      <c r="BJ312" s="99">
        <f t="shared" si="258"/>
        <v>2.0540916607976068E-3</v>
      </c>
      <c r="BK312" s="48">
        <f t="shared" si="268"/>
        <v>1.7791812596976656E-3</v>
      </c>
      <c r="BL312" s="99">
        <f t="shared" si="239"/>
        <v>3.2849400148471126E-4</v>
      </c>
      <c r="BM312" s="48">
        <f t="shared" si="240"/>
        <v>1.218554749474528E-3</v>
      </c>
      <c r="BN312" s="48">
        <f t="shared" si="241"/>
        <v>3.0811374911964102E-3</v>
      </c>
      <c r="BO312" s="48">
        <f t="shared" si="242"/>
        <v>2.6687718895464984E-3</v>
      </c>
      <c r="BP312" s="99">
        <f t="shared" si="243"/>
        <v>4.9274100222706694E-4</v>
      </c>
      <c r="BQ312" s="48">
        <f t="shared" si="244"/>
        <v>1.827832124211792E-3</v>
      </c>
      <c r="BR312" s="40">
        <f t="shared" si="245"/>
        <v>0.58821462461381757</v>
      </c>
      <c r="BS312" s="31">
        <v>1.5</v>
      </c>
      <c r="BT312" s="31">
        <v>1.5</v>
      </c>
      <c r="BU312" s="43">
        <v>0.14000000000000001</v>
      </c>
      <c r="BV312" s="44">
        <v>0.42</v>
      </c>
      <c r="BW312" s="43">
        <v>2.3E-2</v>
      </c>
      <c r="BX312" s="44">
        <v>0.2</v>
      </c>
      <c r="BY312" s="40">
        <v>17.442066059404368</v>
      </c>
      <c r="BZ312" s="40">
        <v>0.52</v>
      </c>
      <c r="CA312" s="40">
        <v>0.65</v>
      </c>
      <c r="CB312" s="45">
        <v>1</v>
      </c>
      <c r="CC312" s="41">
        <v>3.3053800540389702</v>
      </c>
      <c r="CD312" s="41">
        <v>20.327520115960358</v>
      </c>
      <c r="CE312" s="41">
        <v>76.367099830000683</v>
      </c>
      <c r="CF312" s="125">
        <v>1.1000000000000001</v>
      </c>
      <c r="CG312" s="40">
        <f t="shared" si="259"/>
        <v>2.5202924621405578E-2</v>
      </c>
      <c r="CH312" s="40">
        <f t="shared" si="269"/>
        <v>2.5202924621405578E-2</v>
      </c>
      <c r="CI312" s="99">
        <f t="shared" si="260"/>
        <v>8.3305244347041656E-4</v>
      </c>
      <c r="CJ312" s="100">
        <f t="shared" si="261"/>
        <v>5.1231295722265445E-3</v>
      </c>
      <c r="CK312" s="100">
        <f t="shared" si="262"/>
        <v>1.9246742605708619E-2</v>
      </c>
      <c r="CL312" s="101">
        <f t="shared" si="246"/>
        <v>1.044572791248199E-3</v>
      </c>
      <c r="CM312" s="100">
        <f t="shared" si="247"/>
        <v>4.9362632197469105E-3</v>
      </c>
      <c r="CN312" s="100">
        <f t="shared" si="248"/>
        <v>7.6846943583398167E-3</v>
      </c>
      <c r="CO312" s="100">
        <f t="shared" si="249"/>
        <v>2.8870113908562929E-2</v>
      </c>
      <c r="CP312" s="101">
        <f t="shared" si="250"/>
        <v>1.5668591868722988E-3</v>
      </c>
      <c r="CQ312" s="100">
        <f t="shared" si="251"/>
        <v>7.4043948296203662E-3</v>
      </c>
      <c r="CR312" s="99">
        <f t="shared" si="252"/>
        <v>0.23632900169999327</v>
      </c>
      <c r="CS312" s="31">
        <v>1.5</v>
      </c>
      <c r="CT312" s="31">
        <v>1.5</v>
      </c>
      <c r="CU312" s="43">
        <v>0.125</v>
      </c>
      <c r="CV312" s="44">
        <v>0.4</v>
      </c>
      <c r="CW312" s="43">
        <v>2.1000000000000001E-2</v>
      </c>
      <c r="CX312" s="44">
        <v>0.15</v>
      </c>
    </row>
    <row r="313" spans="1:102" x14ac:dyDescent="0.25">
      <c r="A313" s="31">
        <v>299</v>
      </c>
      <c r="B313" s="83" t="s">
        <v>254</v>
      </c>
      <c r="C313" s="31">
        <v>70</v>
      </c>
      <c r="D313" s="31" t="s">
        <v>36</v>
      </c>
      <c r="E313" s="31" t="s">
        <v>5</v>
      </c>
      <c r="F313" s="31" t="s">
        <v>62</v>
      </c>
      <c r="G313" s="31" t="str">
        <f t="shared" si="253"/>
        <v>Kommunal 70 M 4S EE</v>
      </c>
      <c r="H313" s="48">
        <f t="shared" si="220"/>
        <v>0.1397103892605637</v>
      </c>
      <c r="I313" s="40">
        <f t="shared" si="221"/>
        <v>0.19746943222932919</v>
      </c>
      <c r="J313" s="99">
        <f t="shared" si="222"/>
        <v>2.7027019659197136E-3</v>
      </c>
      <c r="K313" s="48">
        <f t="shared" si="223"/>
        <v>4.4271301415633693E-2</v>
      </c>
      <c r="L313" s="48">
        <f t="shared" si="224"/>
        <v>0.15049542884777578</v>
      </c>
      <c r="M313" s="48">
        <f t="shared" si="254"/>
        <v>0.39187366334600909</v>
      </c>
      <c r="N313" s="99">
        <f t="shared" si="225"/>
        <v>6.800513802006693E-3</v>
      </c>
      <c r="O313" s="48">
        <f t="shared" si="226"/>
        <v>3.540877272153603E-2</v>
      </c>
      <c r="P313" s="48">
        <f t="shared" si="227"/>
        <v>6.6406952123450547E-2</v>
      </c>
      <c r="Q313" s="48">
        <f t="shared" si="228"/>
        <v>0.22574314327166364</v>
      </c>
      <c r="R313" s="40">
        <f t="shared" si="255"/>
        <v>2.7431156434220636</v>
      </c>
      <c r="S313" s="99">
        <f t="shared" si="229"/>
        <v>1.0200770703010042E-2</v>
      </c>
      <c r="T313" s="48">
        <f t="shared" si="230"/>
        <v>5.3113159082304053E-2</v>
      </c>
      <c r="U313" s="40">
        <v>5.1559200000000018</v>
      </c>
      <c r="V313" s="40">
        <v>1.2</v>
      </c>
      <c r="W313" s="41">
        <v>0.1</v>
      </c>
      <c r="X313" s="40">
        <v>1.5241919747630239</v>
      </c>
      <c r="Y313" s="42">
        <v>0.82304534923805861</v>
      </c>
      <c r="Z313" s="42">
        <v>22.086927970711692</v>
      </c>
      <c r="AA313" s="42">
        <v>77.090026680050244</v>
      </c>
      <c r="AB313" s="42">
        <v>2.3333333333333326</v>
      </c>
      <c r="AC313" s="125">
        <v>1.1000000000000001</v>
      </c>
      <c r="AD313" s="94">
        <f t="shared" si="256"/>
        <v>0.11018681275095277</v>
      </c>
      <c r="AE313" s="94">
        <f t="shared" si="263"/>
        <v>0.16794585571971823</v>
      </c>
      <c r="AF313" s="96">
        <f t="shared" si="264"/>
        <v>1.3822705547392009E-3</v>
      </c>
      <c r="AG313" s="95">
        <f t="shared" si="270"/>
        <v>3.7094080182609547E-2</v>
      </c>
      <c r="AH313" s="94">
        <f t="shared" si="271"/>
        <v>0.12946950498236948</v>
      </c>
      <c r="AI313" s="94">
        <f t="shared" si="265"/>
        <v>0.39187366334600909</v>
      </c>
      <c r="AJ313" s="96">
        <f t="shared" si="231"/>
        <v>5.4274470092737833E-3</v>
      </c>
      <c r="AK313" s="95">
        <f t="shared" si="232"/>
        <v>2.9253954752314591E-2</v>
      </c>
      <c r="AL313" s="95">
        <f t="shared" si="233"/>
        <v>5.5641120273914324E-2</v>
      </c>
      <c r="AM313" s="94">
        <f t="shared" si="234"/>
        <v>0.19420425747355421</v>
      </c>
      <c r="AN313" s="93">
        <f t="shared" si="235"/>
        <v>2.7431156434220636</v>
      </c>
      <c r="AO313" s="96">
        <f t="shared" si="236"/>
        <v>8.1411705139106758E-3</v>
      </c>
      <c r="AP313" s="95">
        <f t="shared" si="237"/>
        <v>4.388093212847189E-2</v>
      </c>
      <c r="AQ313" s="93">
        <f t="shared" si="238"/>
        <v>0.2290997331994975</v>
      </c>
      <c r="AR313" s="31">
        <v>1.5</v>
      </c>
      <c r="AS313" s="31">
        <v>1.5</v>
      </c>
      <c r="AT313" s="31">
        <v>7</v>
      </c>
      <c r="AU313" s="43">
        <v>0.08</v>
      </c>
      <c r="AV313" s="44">
        <v>0.3</v>
      </c>
      <c r="AW313" s="43">
        <v>1.9E-2</v>
      </c>
      <c r="AX313" s="44">
        <v>0.14000000000000001</v>
      </c>
      <c r="AY313" s="40">
        <v>6.7734314201523551</v>
      </c>
      <c r="AZ313" s="41">
        <v>0.5</v>
      </c>
      <c r="BA313" s="40">
        <v>0.72</v>
      </c>
      <c r="BB313" s="45">
        <v>1</v>
      </c>
      <c r="BC313" s="41">
        <v>11.280218363357537</v>
      </c>
      <c r="BD313" s="41">
        <v>47.541244098024215</v>
      </c>
      <c r="BE313" s="41">
        <v>41.178537538618244</v>
      </c>
      <c r="BF313" s="125">
        <v>1.1000000000000001</v>
      </c>
      <c r="BG313" s="48">
        <f t="shared" si="257"/>
        <v>4.3206518882053686E-3</v>
      </c>
      <c r="BH313" s="48">
        <f t="shared" si="266"/>
        <v>4.3206518882053686E-3</v>
      </c>
      <c r="BI313" s="99">
        <f t="shared" si="267"/>
        <v>4.873789677100962E-4</v>
      </c>
      <c r="BJ313" s="99">
        <f t="shared" si="258"/>
        <v>2.0540916607976068E-3</v>
      </c>
      <c r="BK313" s="48">
        <f t="shared" si="268"/>
        <v>1.7791812596976656E-3</v>
      </c>
      <c r="BL313" s="99">
        <f t="shared" si="239"/>
        <v>3.2849400148471126E-4</v>
      </c>
      <c r="BM313" s="48">
        <f t="shared" si="240"/>
        <v>1.218554749474528E-3</v>
      </c>
      <c r="BN313" s="48">
        <f t="shared" si="241"/>
        <v>3.0811374911964102E-3</v>
      </c>
      <c r="BO313" s="48">
        <f t="shared" si="242"/>
        <v>2.6687718895464984E-3</v>
      </c>
      <c r="BP313" s="99">
        <f t="shared" si="243"/>
        <v>4.9274100222706694E-4</v>
      </c>
      <c r="BQ313" s="48">
        <f t="shared" si="244"/>
        <v>1.827832124211792E-3</v>
      </c>
      <c r="BR313" s="40">
        <f t="shared" si="245"/>
        <v>0.58821462461381757</v>
      </c>
      <c r="BS313" s="31">
        <v>1.5</v>
      </c>
      <c r="BT313" s="31">
        <v>1.5</v>
      </c>
      <c r="BU313" s="43">
        <v>0.14000000000000001</v>
      </c>
      <c r="BV313" s="44">
        <v>0.42</v>
      </c>
      <c r="BW313" s="43">
        <v>2.3E-2</v>
      </c>
      <c r="BX313" s="44">
        <v>0.2</v>
      </c>
      <c r="BY313" s="40">
        <v>17.442066059404368</v>
      </c>
      <c r="BZ313" s="40">
        <v>0.52</v>
      </c>
      <c r="CA313" s="40">
        <v>0.65</v>
      </c>
      <c r="CB313" s="45">
        <v>1</v>
      </c>
      <c r="CC313" s="41">
        <v>3.3053800540389702</v>
      </c>
      <c r="CD313" s="41">
        <v>20.327520115960358</v>
      </c>
      <c r="CE313" s="41">
        <v>76.367099830000683</v>
      </c>
      <c r="CF313" s="125">
        <v>1.1000000000000001</v>
      </c>
      <c r="CG313" s="40">
        <f t="shared" si="259"/>
        <v>2.5202924621405578E-2</v>
      </c>
      <c r="CH313" s="40">
        <f t="shared" si="269"/>
        <v>2.5202924621405578E-2</v>
      </c>
      <c r="CI313" s="99">
        <f t="shared" si="260"/>
        <v>8.3305244347041656E-4</v>
      </c>
      <c r="CJ313" s="100">
        <f t="shared" si="261"/>
        <v>5.1231295722265445E-3</v>
      </c>
      <c r="CK313" s="100">
        <f t="shared" si="262"/>
        <v>1.9246742605708619E-2</v>
      </c>
      <c r="CL313" s="101">
        <f t="shared" si="246"/>
        <v>1.044572791248199E-3</v>
      </c>
      <c r="CM313" s="100">
        <f t="shared" si="247"/>
        <v>4.9362632197469105E-3</v>
      </c>
      <c r="CN313" s="100">
        <f t="shared" si="248"/>
        <v>7.6846943583398167E-3</v>
      </c>
      <c r="CO313" s="100">
        <f t="shared" si="249"/>
        <v>2.8870113908562929E-2</v>
      </c>
      <c r="CP313" s="101">
        <f t="shared" si="250"/>
        <v>1.5668591868722988E-3</v>
      </c>
      <c r="CQ313" s="100">
        <f t="shared" si="251"/>
        <v>7.4043948296203662E-3</v>
      </c>
      <c r="CR313" s="99">
        <f t="shared" si="252"/>
        <v>0.23632900169999327</v>
      </c>
      <c r="CS313" s="31">
        <v>1.5</v>
      </c>
      <c r="CT313" s="31">
        <v>1.5</v>
      </c>
      <c r="CU313" s="43">
        <v>0.125</v>
      </c>
      <c r="CV313" s="44">
        <v>0.4</v>
      </c>
      <c r="CW313" s="43">
        <v>2.1000000000000001E-2</v>
      </c>
      <c r="CX313" s="44">
        <v>0.15</v>
      </c>
    </row>
    <row r="314" spans="1:102" x14ac:dyDescent="0.25">
      <c r="A314" s="31">
        <v>300</v>
      </c>
      <c r="B314" s="83" t="s">
        <v>254</v>
      </c>
      <c r="C314" s="31">
        <v>70</v>
      </c>
      <c r="D314" s="31" t="s">
        <v>36</v>
      </c>
      <c r="E314" s="31" t="s">
        <v>5</v>
      </c>
      <c r="F314" s="31" t="s">
        <v>63</v>
      </c>
      <c r="G314" s="31" t="str">
        <f t="shared" si="253"/>
        <v>Kommunal 70 M 4S ES</v>
      </c>
      <c r="H314" s="48">
        <f t="shared" si="220"/>
        <v>0.10018869835834024</v>
      </c>
      <c r="I314" s="40">
        <f t="shared" si="221"/>
        <v>0.14070578052998073</v>
      </c>
      <c r="J314" s="99">
        <f t="shared" si="222"/>
        <v>2.2257718666818232E-3</v>
      </c>
      <c r="K314" s="48">
        <f t="shared" si="223"/>
        <v>2.1349519083620795E-2</v>
      </c>
      <c r="L314" s="48">
        <f t="shared" si="224"/>
        <v>0.11713048957967812</v>
      </c>
      <c r="M314" s="48">
        <f t="shared" si="254"/>
        <v>0.33354661206110936</v>
      </c>
      <c r="N314" s="99">
        <f t="shared" si="225"/>
        <v>4.3328373693518069E-3</v>
      </c>
      <c r="O314" s="48">
        <f t="shared" si="226"/>
        <v>2.386114652439849E-2</v>
      </c>
      <c r="P314" s="48">
        <f t="shared" si="227"/>
        <v>3.2024278625431196E-2</v>
      </c>
      <c r="Q314" s="48">
        <f t="shared" si="228"/>
        <v>0.17569573436951716</v>
      </c>
      <c r="R314" s="40">
        <f t="shared" si="255"/>
        <v>2.3348262844277654</v>
      </c>
      <c r="S314" s="99">
        <f t="shared" si="229"/>
        <v>6.4992560540277095E-3</v>
      </c>
      <c r="T314" s="48">
        <f t="shared" si="230"/>
        <v>3.5791719786597731E-2</v>
      </c>
      <c r="U314" s="40">
        <v>3.3066000000000009</v>
      </c>
      <c r="V314" s="40">
        <v>1.2</v>
      </c>
      <c r="W314" s="41">
        <v>0.1</v>
      </c>
      <c r="X314" s="40">
        <v>1.5733674705659491</v>
      </c>
      <c r="Y314" s="42">
        <v>0.81428540068826316</v>
      </c>
      <c r="Z314" s="42">
        <v>12.746912129930548</v>
      </c>
      <c r="AA314" s="42">
        <v>86.438802469381187</v>
      </c>
      <c r="AB314" s="42">
        <v>3</v>
      </c>
      <c r="AC314" s="125">
        <v>1.1000000000000001</v>
      </c>
      <c r="AD314" s="94">
        <f t="shared" si="256"/>
        <v>7.0665121848729293E-2</v>
      </c>
      <c r="AE314" s="94">
        <f t="shared" si="263"/>
        <v>0.11118220402036978</v>
      </c>
      <c r="AF314" s="96">
        <f t="shared" si="264"/>
        <v>9.0534045550131031E-4</v>
      </c>
      <c r="AG314" s="95">
        <f t="shared" si="270"/>
        <v>1.4172297850596644E-2</v>
      </c>
      <c r="AH314" s="94">
        <f t="shared" si="271"/>
        <v>9.6104565714271825E-2</v>
      </c>
      <c r="AI314" s="94">
        <f t="shared" si="265"/>
        <v>0.33354661206110936</v>
      </c>
      <c r="AJ314" s="96">
        <f t="shared" si="231"/>
        <v>2.9597705766188963E-3</v>
      </c>
      <c r="AK314" s="95">
        <f t="shared" si="232"/>
        <v>1.7706328555177051E-2</v>
      </c>
      <c r="AL314" s="95">
        <f t="shared" si="233"/>
        <v>2.1258446775894967E-2</v>
      </c>
      <c r="AM314" s="94">
        <f t="shared" si="234"/>
        <v>0.14415684857140773</v>
      </c>
      <c r="AN314" s="93">
        <f t="shared" si="235"/>
        <v>2.3348262844277654</v>
      </c>
      <c r="AO314" s="96">
        <f t="shared" si="236"/>
        <v>4.439655864928344E-3</v>
      </c>
      <c r="AP314" s="95">
        <f t="shared" si="237"/>
        <v>2.6559492832765576E-2</v>
      </c>
      <c r="AQ314" s="93">
        <f t="shared" si="238"/>
        <v>0.1356119753061881</v>
      </c>
      <c r="AR314" s="31">
        <v>1.5</v>
      </c>
      <c r="AS314" s="31">
        <v>1.5</v>
      </c>
      <c r="AT314" s="31">
        <v>7</v>
      </c>
      <c r="AU314" s="43">
        <v>0.08</v>
      </c>
      <c r="AV314" s="44">
        <v>0.3</v>
      </c>
      <c r="AW314" s="43">
        <v>1.9E-2</v>
      </c>
      <c r="AX314" s="44">
        <v>0.14000000000000001</v>
      </c>
      <c r="AY314" s="40">
        <v>6.7734314201523551</v>
      </c>
      <c r="AZ314" s="41">
        <v>0.5</v>
      </c>
      <c r="BA314" s="40">
        <v>0.72</v>
      </c>
      <c r="BB314" s="45">
        <v>1</v>
      </c>
      <c r="BC314" s="41">
        <v>11.280218363357537</v>
      </c>
      <c r="BD314" s="41">
        <v>47.541244098024215</v>
      </c>
      <c r="BE314" s="41">
        <v>41.178537538618251</v>
      </c>
      <c r="BF314" s="125">
        <v>1.1000000000000001</v>
      </c>
      <c r="BG314" s="48">
        <f t="shared" si="257"/>
        <v>4.3206518882053686E-3</v>
      </c>
      <c r="BH314" s="48">
        <f t="shared" si="266"/>
        <v>4.3206518882053686E-3</v>
      </c>
      <c r="BI314" s="99">
        <f t="shared" si="267"/>
        <v>4.873789677100962E-4</v>
      </c>
      <c r="BJ314" s="99">
        <f t="shared" si="258"/>
        <v>2.0540916607976068E-3</v>
      </c>
      <c r="BK314" s="48">
        <f t="shared" si="268"/>
        <v>1.7791812596976661E-3</v>
      </c>
      <c r="BL314" s="99">
        <f t="shared" si="239"/>
        <v>3.2849400148471126E-4</v>
      </c>
      <c r="BM314" s="48">
        <f t="shared" si="240"/>
        <v>1.2185547494745282E-3</v>
      </c>
      <c r="BN314" s="48">
        <f t="shared" si="241"/>
        <v>3.0811374911964102E-3</v>
      </c>
      <c r="BO314" s="48">
        <f t="shared" si="242"/>
        <v>2.6687718895464993E-3</v>
      </c>
      <c r="BP314" s="99">
        <f t="shared" si="243"/>
        <v>4.9274100222706694E-4</v>
      </c>
      <c r="BQ314" s="48">
        <f t="shared" si="244"/>
        <v>1.827832124211792E-3</v>
      </c>
      <c r="BR314" s="40">
        <f t="shared" si="245"/>
        <v>0.58821462461381757</v>
      </c>
      <c r="BS314" s="31">
        <v>1.5</v>
      </c>
      <c r="BT314" s="31">
        <v>1.5</v>
      </c>
      <c r="BU314" s="43">
        <v>0.14000000000000001</v>
      </c>
      <c r="BV314" s="44">
        <v>0.42</v>
      </c>
      <c r="BW314" s="43">
        <v>2.3E-2</v>
      </c>
      <c r="BX314" s="44">
        <v>0.2</v>
      </c>
      <c r="BY314" s="40">
        <v>17.442066059404368</v>
      </c>
      <c r="BZ314" s="40">
        <v>0.52</v>
      </c>
      <c r="CA314" s="40">
        <v>0.65</v>
      </c>
      <c r="CB314" s="45">
        <v>1</v>
      </c>
      <c r="CC314" s="41">
        <v>3.3053800540389702</v>
      </c>
      <c r="CD314" s="41">
        <v>20.327520115960358</v>
      </c>
      <c r="CE314" s="41">
        <v>76.367099830000683</v>
      </c>
      <c r="CF314" s="125">
        <v>1.1000000000000001</v>
      </c>
      <c r="CG314" s="40">
        <f t="shared" si="259"/>
        <v>2.5202924621405578E-2</v>
      </c>
      <c r="CH314" s="40">
        <f t="shared" si="269"/>
        <v>2.5202924621405578E-2</v>
      </c>
      <c r="CI314" s="99">
        <f t="shared" si="260"/>
        <v>8.3305244347041656E-4</v>
      </c>
      <c r="CJ314" s="100">
        <f t="shared" si="261"/>
        <v>5.1231295722265445E-3</v>
      </c>
      <c r="CK314" s="100">
        <f t="shared" si="262"/>
        <v>1.9246742605708619E-2</v>
      </c>
      <c r="CL314" s="101">
        <f t="shared" si="246"/>
        <v>1.044572791248199E-3</v>
      </c>
      <c r="CM314" s="100">
        <f t="shared" si="247"/>
        <v>4.9362632197469105E-3</v>
      </c>
      <c r="CN314" s="100">
        <f t="shared" si="248"/>
        <v>7.6846943583398167E-3</v>
      </c>
      <c r="CO314" s="100">
        <f t="shared" si="249"/>
        <v>2.8870113908562929E-2</v>
      </c>
      <c r="CP314" s="101">
        <f t="shared" si="250"/>
        <v>1.5668591868722988E-3</v>
      </c>
      <c r="CQ314" s="100">
        <f t="shared" si="251"/>
        <v>7.4043948296203662E-3</v>
      </c>
      <c r="CR314" s="99">
        <f t="shared" si="252"/>
        <v>0.23632900169999327</v>
      </c>
      <c r="CS314" s="31">
        <v>1.5</v>
      </c>
      <c r="CT314" s="31">
        <v>1.5</v>
      </c>
      <c r="CU314" s="43">
        <v>0.125</v>
      </c>
      <c r="CV314" s="44">
        <v>0.4</v>
      </c>
      <c r="CW314" s="43">
        <v>2.1000000000000001E-2</v>
      </c>
      <c r="CX314" s="44">
        <v>0.15</v>
      </c>
    </row>
    <row r="315" spans="1:102" x14ac:dyDescent="0.25">
      <c r="A315" s="31">
        <v>301</v>
      </c>
      <c r="B315" s="83" t="s">
        <v>254</v>
      </c>
      <c r="C315" s="31">
        <v>70</v>
      </c>
      <c r="D315" s="31" t="s">
        <v>36</v>
      </c>
      <c r="E315" s="31" t="s">
        <v>5</v>
      </c>
      <c r="F315" s="31" t="s">
        <v>64</v>
      </c>
      <c r="G315" s="31" t="str">
        <f t="shared" si="253"/>
        <v>Kommunal 70 M 4S F</v>
      </c>
      <c r="H315" s="48">
        <f t="shared" si="220"/>
        <v>5.3296218832574349E-2</v>
      </c>
      <c r="I315" s="40">
        <f t="shared" si="221"/>
        <v>6.5565005004603633E-2</v>
      </c>
      <c r="J315" s="99">
        <f t="shared" si="222"/>
        <v>1.6154816611519654E-3</v>
      </c>
      <c r="K315" s="48">
        <f t="shared" si="223"/>
        <v>1.3445522997570757E-2</v>
      </c>
      <c r="L315" s="48">
        <f t="shared" si="224"/>
        <v>5.0504000345880921E-2</v>
      </c>
      <c r="M315" s="48">
        <f t="shared" si="254"/>
        <v>0.1441657139799708</v>
      </c>
      <c r="N315" s="99">
        <f t="shared" si="225"/>
        <v>2.4346143870256571E-3</v>
      </c>
      <c r="O315" s="48">
        <f t="shared" si="226"/>
        <v>1.2162239205851869E-2</v>
      </c>
      <c r="P315" s="48">
        <f t="shared" si="227"/>
        <v>2.0168284496356135E-2</v>
      </c>
      <c r="Q315" s="48">
        <f t="shared" si="228"/>
        <v>7.5756000518821379E-2</v>
      </c>
      <c r="R315" s="40">
        <f t="shared" si="255"/>
        <v>1.0091599978597956</v>
      </c>
      <c r="S315" s="99">
        <f t="shared" si="229"/>
        <v>3.6519215805384852E-3</v>
      </c>
      <c r="T315" s="48">
        <f t="shared" si="230"/>
        <v>1.8243358808777803E-2</v>
      </c>
      <c r="U315" s="40">
        <v>1.5760800000000001</v>
      </c>
      <c r="V315" s="40">
        <v>1.25</v>
      </c>
      <c r="W315" s="40">
        <v>0.45</v>
      </c>
      <c r="X315" s="40">
        <v>1.5160884518158142</v>
      </c>
      <c r="Y315" s="42">
        <v>0.81864194148809843</v>
      </c>
      <c r="Z315" s="42">
        <v>17.391934854683893</v>
      </c>
      <c r="AA315" s="42">
        <v>81.789423203828008</v>
      </c>
      <c r="AB315" s="42">
        <v>4.0000000000000009</v>
      </c>
      <c r="AC315" s="125">
        <v>1.1000000000000001</v>
      </c>
      <c r="AD315" s="94">
        <f t="shared" si="256"/>
        <v>2.377264232296341E-2</v>
      </c>
      <c r="AE315" s="94">
        <f t="shared" si="263"/>
        <v>3.6041428494992693E-2</v>
      </c>
      <c r="AF315" s="96">
        <f t="shared" si="264"/>
        <v>2.9505024997145292E-4</v>
      </c>
      <c r="AG315" s="95">
        <f t="shared" si="270"/>
        <v>6.268301764546607E-3</v>
      </c>
      <c r="AH315" s="94">
        <f t="shared" si="271"/>
        <v>2.9478076480474635E-2</v>
      </c>
      <c r="AI315" s="94">
        <f t="shared" si="265"/>
        <v>0.1441657139799708</v>
      </c>
      <c r="AJ315" s="96">
        <f t="shared" si="231"/>
        <v>1.0615475942927467E-3</v>
      </c>
      <c r="AK315" s="95">
        <f t="shared" si="232"/>
        <v>6.0074212366304312E-3</v>
      </c>
      <c r="AL315" s="95">
        <f t="shared" si="233"/>
        <v>9.4024526468199105E-3</v>
      </c>
      <c r="AM315" s="94">
        <f t="shared" si="234"/>
        <v>4.421711472071195E-2</v>
      </c>
      <c r="AN315" s="93">
        <f t="shared" si="235"/>
        <v>1.0091599978597956</v>
      </c>
      <c r="AO315" s="96">
        <f t="shared" si="236"/>
        <v>1.5923213914391199E-3</v>
      </c>
      <c r="AP315" s="95">
        <f t="shared" si="237"/>
        <v>9.0111318549456459E-3</v>
      </c>
      <c r="AQ315" s="93">
        <f t="shared" si="238"/>
        <v>0.18210576796171993</v>
      </c>
      <c r="AR315" s="31">
        <v>1.5</v>
      </c>
      <c r="AS315" s="31">
        <v>1.5</v>
      </c>
      <c r="AT315" s="31">
        <v>7</v>
      </c>
      <c r="AU315" s="43">
        <v>0.08</v>
      </c>
      <c r="AV315" s="44">
        <v>0.3</v>
      </c>
      <c r="AW315" s="43">
        <v>1.9E-2</v>
      </c>
      <c r="AX315" s="44">
        <v>0.14000000000000001</v>
      </c>
      <c r="AY315" s="40">
        <v>6.7734314201523542</v>
      </c>
      <c r="AZ315" s="41">
        <v>0.5</v>
      </c>
      <c r="BA315" s="40">
        <v>0.72</v>
      </c>
      <c r="BB315" s="45">
        <v>1</v>
      </c>
      <c r="BC315" s="41">
        <v>11.280218363357539</v>
      </c>
      <c r="BD315" s="41">
        <v>47.541244098024222</v>
      </c>
      <c r="BE315" s="41">
        <v>41.178537538618244</v>
      </c>
      <c r="BF315" s="125">
        <v>1.1000000000000001</v>
      </c>
      <c r="BG315" s="48">
        <f t="shared" si="257"/>
        <v>4.3206518882053669E-3</v>
      </c>
      <c r="BH315" s="48">
        <f t="shared" si="266"/>
        <v>4.3206518882053669E-3</v>
      </c>
      <c r="BI315" s="99">
        <f t="shared" si="267"/>
        <v>4.8737896771009604E-4</v>
      </c>
      <c r="BJ315" s="99">
        <f t="shared" si="258"/>
        <v>2.0540916607976064E-3</v>
      </c>
      <c r="BK315" s="48">
        <f t="shared" si="268"/>
        <v>1.779181259697665E-3</v>
      </c>
      <c r="BL315" s="99">
        <f t="shared" si="239"/>
        <v>3.284940014847112E-4</v>
      </c>
      <c r="BM315" s="48">
        <f t="shared" si="240"/>
        <v>1.2185547494745277E-3</v>
      </c>
      <c r="BN315" s="48">
        <f t="shared" si="241"/>
        <v>3.0811374911964094E-3</v>
      </c>
      <c r="BO315" s="48">
        <f t="shared" si="242"/>
        <v>2.6687718895464976E-3</v>
      </c>
      <c r="BP315" s="99">
        <f t="shared" si="243"/>
        <v>4.9274100222706683E-4</v>
      </c>
      <c r="BQ315" s="48">
        <f t="shared" si="244"/>
        <v>1.8278321242117914E-3</v>
      </c>
      <c r="BR315" s="40">
        <f t="shared" si="245"/>
        <v>0.58821462461381768</v>
      </c>
      <c r="BS315" s="31">
        <v>1.5</v>
      </c>
      <c r="BT315" s="31">
        <v>1.5</v>
      </c>
      <c r="BU315" s="43">
        <v>0.14000000000000001</v>
      </c>
      <c r="BV315" s="44">
        <v>0.42</v>
      </c>
      <c r="BW315" s="43">
        <v>2.3E-2</v>
      </c>
      <c r="BX315" s="44">
        <v>0.2</v>
      </c>
      <c r="BY315" s="40">
        <v>17.442066059404368</v>
      </c>
      <c r="BZ315" s="40">
        <v>0.52</v>
      </c>
      <c r="CA315" s="40">
        <v>0.65</v>
      </c>
      <c r="CB315" s="45">
        <v>1</v>
      </c>
      <c r="CC315" s="41">
        <v>3.3053800540389693</v>
      </c>
      <c r="CD315" s="41">
        <v>20.327520115960354</v>
      </c>
      <c r="CE315" s="41">
        <v>76.367099830000683</v>
      </c>
      <c r="CF315" s="125">
        <v>1.1000000000000001</v>
      </c>
      <c r="CG315" s="40">
        <f t="shared" si="259"/>
        <v>2.5202924621405578E-2</v>
      </c>
      <c r="CH315" s="40">
        <f t="shared" si="269"/>
        <v>2.5202924621405578E-2</v>
      </c>
      <c r="CI315" s="99">
        <f t="shared" si="260"/>
        <v>8.3305244347041635E-4</v>
      </c>
      <c r="CJ315" s="100">
        <f t="shared" si="261"/>
        <v>5.1231295722265436E-3</v>
      </c>
      <c r="CK315" s="100">
        <f t="shared" si="262"/>
        <v>1.9246742605708619E-2</v>
      </c>
      <c r="CL315" s="101">
        <f t="shared" si="246"/>
        <v>1.044572791248199E-3</v>
      </c>
      <c r="CM315" s="100">
        <f t="shared" si="247"/>
        <v>4.9362632197469097E-3</v>
      </c>
      <c r="CN315" s="100">
        <f t="shared" si="248"/>
        <v>7.684694358339815E-3</v>
      </c>
      <c r="CO315" s="100">
        <f t="shared" si="249"/>
        <v>2.8870113908562929E-2</v>
      </c>
      <c r="CP315" s="101">
        <f t="shared" si="250"/>
        <v>1.5668591868722983E-3</v>
      </c>
      <c r="CQ315" s="100">
        <f t="shared" si="251"/>
        <v>7.4043948296203654E-3</v>
      </c>
      <c r="CR315" s="99">
        <f t="shared" si="252"/>
        <v>0.23632900169999324</v>
      </c>
      <c r="CS315" s="31">
        <v>1.5</v>
      </c>
      <c r="CT315" s="31">
        <v>1.5</v>
      </c>
      <c r="CU315" s="43">
        <v>0.125</v>
      </c>
      <c r="CV315" s="44">
        <v>0.4</v>
      </c>
      <c r="CW315" s="43">
        <v>2.1000000000000001E-2</v>
      </c>
      <c r="CX315" s="44">
        <v>0.15</v>
      </c>
    </row>
    <row r="316" spans="1:102" x14ac:dyDescent="0.25">
      <c r="A316" s="31">
        <v>302</v>
      </c>
      <c r="B316" s="83" t="s">
        <v>254</v>
      </c>
      <c r="C316" s="31">
        <v>70</v>
      </c>
      <c r="D316" s="31" t="s">
        <v>36</v>
      </c>
      <c r="E316" s="31" t="s">
        <v>6</v>
      </c>
      <c r="F316" s="31" t="s">
        <v>12</v>
      </c>
      <c r="G316" s="31" t="str">
        <f t="shared" si="253"/>
        <v>Kommunal 70 Y 4S A</v>
      </c>
      <c r="H316" s="48">
        <f t="shared" si="220"/>
        <v>0.10084150347850121</v>
      </c>
      <c r="I316" s="40">
        <f t="shared" si="221"/>
        <v>0.13822578845232891</v>
      </c>
      <c r="J316" s="99">
        <f t="shared" si="222"/>
        <v>2.215099911093951E-3</v>
      </c>
      <c r="K316" s="48">
        <f t="shared" si="223"/>
        <v>3.1186200487382642E-2</v>
      </c>
      <c r="L316" s="48">
        <f t="shared" si="224"/>
        <v>0.10482448805385233</v>
      </c>
      <c r="M316" s="48">
        <f t="shared" si="254"/>
        <v>0.25363849453300857</v>
      </c>
      <c r="N316" s="99">
        <f t="shared" si="225"/>
        <v>4.885957852662064E-3</v>
      </c>
      <c r="O316" s="48">
        <f t="shared" si="226"/>
        <v>2.5089310731911434E-2</v>
      </c>
      <c r="P316" s="48">
        <f t="shared" si="227"/>
        <v>4.6779300731073954E-2</v>
      </c>
      <c r="Q316" s="48">
        <f t="shared" si="228"/>
        <v>0.15723673208077849</v>
      </c>
      <c r="R316" s="40">
        <f t="shared" si="255"/>
        <v>1.77546946173106</v>
      </c>
      <c r="S316" s="99">
        <f t="shared" si="229"/>
        <v>7.3289367789930969E-3</v>
      </c>
      <c r="T316" s="48">
        <f t="shared" si="230"/>
        <v>3.7633966097867143E-2</v>
      </c>
      <c r="U316" s="40">
        <v>4.7282400000000022</v>
      </c>
      <c r="V316" s="40">
        <v>1.25</v>
      </c>
      <c r="W316" s="40">
        <v>0.45</v>
      </c>
      <c r="X316" s="40">
        <v>1.5241919747630239</v>
      </c>
      <c r="Y316" s="42">
        <v>0.82304534923805894</v>
      </c>
      <c r="Z316" s="42">
        <v>22.086927970711699</v>
      </c>
      <c r="AA316" s="42">
        <v>77.090026680050244</v>
      </c>
      <c r="AB316" s="42">
        <v>2.333333333333333</v>
      </c>
      <c r="AC316" s="125">
        <v>1.1000000000000001</v>
      </c>
      <c r="AD316" s="94">
        <f t="shared" si="256"/>
        <v>7.1317926968890263E-2</v>
      </c>
      <c r="AE316" s="94">
        <f t="shared" si="263"/>
        <v>0.10870221194271797</v>
      </c>
      <c r="AF316" s="96">
        <f t="shared" si="264"/>
        <v>8.9466849991343817E-4</v>
      </c>
      <c r="AG316" s="95">
        <f t="shared" si="270"/>
        <v>2.4008979254358489E-2</v>
      </c>
      <c r="AH316" s="94">
        <f t="shared" si="271"/>
        <v>8.3798564188446042E-2</v>
      </c>
      <c r="AI316" s="94">
        <f t="shared" si="265"/>
        <v>0.25363849453300857</v>
      </c>
      <c r="AJ316" s="96">
        <f t="shared" si="231"/>
        <v>3.5128910599291543E-3</v>
      </c>
      <c r="AK316" s="95">
        <f t="shared" si="232"/>
        <v>1.8934492762689995E-2</v>
      </c>
      <c r="AL316" s="95">
        <f t="shared" si="233"/>
        <v>3.6013468881537732E-2</v>
      </c>
      <c r="AM316" s="94">
        <f t="shared" si="234"/>
        <v>0.12569784628266906</v>
      </c>
      <c r="AN316" s="93">
        <f t="shared" si="235"/>
        <v>1.77546946173106</v>
      </c>
      <c r="AO316" s="96">
        <f t="shared" si="236"/>
        <v>5.2693365898937305E-3</v>
      </c>
      <c r="AP316" s="95">
        <f t="shared" si="237"/>
        <v>2.8401739144034988E-2</v>
      </c>
      <c r="AQ316" s="93">
        <f t="shared" si="238"/>
        <v>0.22909973319949758</v>
      </c>
      <c r="AR316" s="31">
        <v>1.5</v>
      </c>
      <c r="AS316" s="31">
        <v>1.5</v>
      </c>
      <c r="AT316" s="31">
        <v>7</v>
      </c>
      <c r="AU316" s="43">
        <v>0.08</v>
      </c>
      <c r="AV316" s="44">
        <v>0.3</v>
      </c>
      <c r="AW316" s="43">
        <v>1.9E-2</v>
      </c>
      <c r="AX316" s="44">
        <v>0.14000000000000001</v>
      </c>
      <c r="AY316" s="40">
        <v>6.7734314201523551</v>
      </c>
      <c r="AZ316" s="41">
        <v>0.5</v>
      </c>
      <c r="BA316" s="40">
        <v>0.72</v>
      </c>
      <c r="BB316" s="45">
        <v>1</v>
      </c>
      <c r="BC316" s="41">
        <v>11.280218363357537</v>
      </c>
      <c r="BD316" s="41">
        <v>47.541244098024215</v>
      </c>
      <c r="BE316" s="41">
        <v>41.178537538618244</v>
      </c>
      <c r="BF316" s="125">
        <v>1.1000000000000001</v>
      </c>
      <c r="BG316" s="48">
        <f t="shared" si="257"/>
        <v>4.3206518882053686E-3</v>
      </c>
      <c r="BH316" s="48">
        <f t="shared" si="266"/>
        <v>4.3206518882053686E-3</v>
      </c>
      <c r="BI316" s="99">
        <f t="shared" si="267"/>
        <v>4.873789677100962E-4</v>
      </c>
      <c r="BJ316" s="99">
        <f t="shared" si="258"/>
        <v>2.0540916607976068E-3</v>
      </c>
      <c r="BK316" s="48">
        <f t="shared" si="268"/>
        <v>1.7791812596976656E-3</v>
      </c>
      <c r="BL316" s="99">
        <f t="shared" si="239"/>
        <v>3.2849400148471126E-4</v>
      </c>
      <c r="BM316" s="48">
        <f t="shared" si="240"/>
        <v>1.218554749474528E-3</v>
      </c>
      <c r="BN316" s="48">
        <f t="shared" si="241"/>
        <v>3.0811374911964102E-3</v>
      </c>
      <c r="BO316" s="48">
        <f t="shared" si="242"/>
        <v>2.6687718895464984E-3</v>
      </c>
      <c r="BP316" s="99">
        <f t="shared" si="243"/>
        <v>4.9274100222706694E-4</v>
      </c>
      <c r="BQ316" s="48">
        <f t="shared" si="244"/>
        <v>1.827832124211792E-3</v>
      </c>
      <c r="BR316" s="40">
        <f t="shared" si="245"/>
        <v>0.58821462461381757</v>
      </c>
      <c r="BS316" s="31">
        <v>1.5</v>
      </c>
      <c r="BT316" s="31">
        <v>1.5</v>
      </c>
      <c r="BU316" s="43">
        <v>0.14000000000000001</v>
      </c>
      <c r="BV316" s="44">
        <v>0.42</v>
      </c>
      <c r="BW316" s="43">
        <v>2.3E-2</v>
      </c>
      <c r="BX316" s="44">
        <v>0.2</v>
      </c>
      <c r="BY316" s="40">
        <v>17.442066059404368</v>
      </c>
      <c r="BZ316" s="40">
        <v>0.52</v>
      </c>
      <c r="CA316" s="40">
        <v>0.65</v>
      </c>
      <c r="CB316" s="45">
        <v>1</v>
      </c>
      <c r="CC316" s="41">
        <v>3.3053800540389702</v>
      </c>
      <c r="CD316" s="41">
        <v>20.327520115960358</v>
      </c>
      <c r="CE316" s="41">
        <v>76.367099830000683</v>
      </c>
      <c r="CF316" s="125">
        <v>1.1000000000000001</v>
      </c>
      <c r="CG316" s="40">
        <f t="shared" si="259"/>
        <v>2.5202924621405578E-2</v>
      </c>
      <c r="CH316" s="40">
        <f t="shared" si="269"/>
        <v>2.5202924621405578E-2</v>
      </c>
      <c r="CI316" s="99">
        <f t="shared" si="260"/>
        <v>8.3305244347041656E-4</v>
      </c>
      <c r="CJ316" s="100">
        <f t="shared" si="261"/>
        <v>5.1231295722265445E-3</v>
      </c>
      <c r="CK316" s="100">
        <f t="shared" si="262"/>
        <v>1.9246742605708619E-2</v>
      </c>
      <c r="CL316" s="101">
        <f t="shared" si="246"/>
        <v>1.044572791248199E-3</v>
      </c>
      <c r="CM316" s="100">
        <f t="shared" si="247"/>
        <v>4.9362632197469105E-3</v>
      </c>
      <c r="CN316" s="100">
        <f t="shared" si="248"/>
        <v>7.6846943583398167E-3</v>
      </c>
      <c r="CO316" s="100">
        <f t="shared" si="249"/>
        <v>2.8870113908562929E-2</v>
      </c>
      <c r="CP316" s="101">
        <f t="shared" si="250"/>
        <v>1.5668591868722988E-3</v>
      </c>
      <c r="CQ316" s="100">
        <f t="shared" si="251"/>
        <v>7.4043948296203662E-3</v>
      </c>
      <c r="CR316" s="99">
        <f t="shared" si="252"/>
        <v>0.23632900169999327</v>
      </c>
      <c r="CS316" s="31">
        <v>1.5</v>
      </c>
      <c r="CT316" s="31">
        <v>1.5</v>
      </c>
      <c r="CU316" s="43">
        <v>0.125</v>
      </c>
      <c r="CV316" s="44">
        <v>0.4</v>
      </c>
      <c r="CW316" s="43">
        <v>2.1000000000000001E-2</v>
      </c>
      <c r="CX316" s="44">
        <v>0.15</v>
      </c>
    </row>
    <row r="317" spans="1:102" x14ac:dyDescent="0.25">
      <c r="A317" s="31">
        <v>303</v>
      </c>
      <c r="B317" s="83" t="s">
        <v>254</v>
      </c>
      <c r="C317" s="31">
        <v>70</v>
      </c>
      <c r="D317" s="31" t="s">
        <v>36</v>
      </c>
      <c r="E317" s="31" t="s">
        <v>6</v>
      </c>
      <c r="F317" s="31" t="s">
        <v>13</v>
      </c>
      <c r="G317" s="31" t="str">
        <f t="shared" si="253"/>
        <v>Kommunal 70 Y 4S B</v>
      </c>
      <c r="H317" s="48">
        <f t="shared" si="220"/>
        <v>0.10084150347850121</v>
      </c>
      <c r="I317" s="40">
        <f t="shared" si="221"/>
        <v>0.13822578845232891</v>
      </c>
      <c r="J317" s="99">
        <f t="shared" si="222"/>
        <v>2.215099911093951E-3</v>
      </c>
      <c r="K317" s="48">
        <f t="shared" si="223"/>
        <v>3.1186200487382642E-2</v>
      </c>
      <c r="L317" s="48">
        <f t="shared" si="224"/>
        <v>0.10482448805385233</v>
      </c>
      <c r="M317" s="48">
        <f t="shared" si="254"/>
        <v>0.25363849453300857</v>
      </c>
      <c r="N317" s="99">
        <f t="shared" si="225"/>
        <v>4.885957852662064E-3</v>
      </c>
      <c r="O317" s="48">
        <f t="shared" si="226"/>
        <v>2.5089310731911434E-2</v>
      </c>
      <c r="P317" s="48">
        <f t="shared" si="227"/>
        <v>4.6779300731073954E-2</v>
      </c>
      <c r="Q317" s="48">
        <f t="shared" si="228"/>
        <v>0.15723673208077849</v>
      </c>
      <c r="R317" s="40">
        <f t="shared" si="255"/>
        <v>1.77546946173106</v>
      </c>
      <c r="S317" s="99">
        <f t="shared" si="229"/>
        <v>7.3289367789930969E-3</v>
      </c>
      <c r="T317" s="48">
        <f t="shared" si="230"/>
        <v>3.7633966097867143E-2</v>
      </c>
      <c r="U317" s="40">
        <v>4.7282400000000022</v>
      </c>
      <c r="V317" s="40">
        <v>1.25</v>
      </c>
      <c r="W317" s="40">
        <v>0.45</v>
      </c>
      <c r="X317" s="40">
        <v>1.5241919747630239</v>
      </c>
      <c r="Y317" s="42">
        <v>0.82304534923805894</v>
      </c>
      <c r="Z317" s="42">
        <v>22.086927970711699</v>
      </c>
      <c r="AA317" s="42">
        <v>77.090026680050244</v>
      </c>
      <c r="AB317" s="42">
        <v>2.333333333333333</v>
      </c>
      <c r="AC317" s="125">
        <v>1.1000000000000001</v>
      </c>
      <c r="AD317" s="94">
        <f t="shared" si="256"/>
        <v>7.1317926968890263E-2</v>
      </c>
      <c r="AE317" s="94">
        <f t="shared" si="263"/>
        <v>0.10870221194271797</v>
      </c>
      <c r="AF317" s="96">
        <f t="shared" si="264"/>
        <v>8.9466849991343817E-4</v>
      </c>
      <c r="AG317" s="95">
        <f t="shared" si="270"/>
        <v>2.4008979254358489E-2</v>
      </c>
      <c r="AH317" s="94">
        <f t="shared" si="271"/>
        <v>8.3798564188446042E-2</v>
      </c>
      <c r="AI317" s="94">
        <f t="shared" si="265"/>
        <v>0.25363849453300857</v>
      </c>
      <c r="AJ317" s="96">
        <f t="shared" si="231"/>
        <v>3.5128910599291543E-3</v>
      </c>
      <c r="AK317" s="95">
        <f t="shared" si="232"/>
        <v>1.8934492762689995E-2</v>
      </c>
      <c r="AL317" s="95">
        <f t="shared" si="233"/>
        <v>3.6013468881537732E-2</v>
      </c>
      <c r="AM317" s="94">
        <f t="shared" si="234"/>
        <v>0.12569784628266906</v>
      </c>
      <c r="AN317" s="93">
        <f t="shared" si="235"/>
        <v>1.77546946173106</v>
      </c>
      <c r="AO317" s="96">
        <f t="shared" si="236"/>
        <v>5.2693365898937305E-3</v>
      </c>
      <c r="AP317" s="95">
        <f t="shared" si="237"/>
        <v>2.8401739144034988E-2</v>
      </c>
      <c r="AQ317" s="93">
        <f t="shared" si="238"/>
        <v>0.22909973319949758</v>
      </c>
      <c r="AR317" s="31">
        <v>1.5</v>
      </c>
      <c r="AS317" s="31">
        <v>1.5</v>
      </c>
      <c r="AT317" s="31">
        <v>7</v>
      </c>
      <c r="AU317" s="43">
        <v>0.08</v>
      </c>
      <c r="AV317" s="44">
        <v>0.3</v>
      </c>
      <c r="AW317" s="43">
        <v>1.9E-2</v>
      </c>
      <c r="AX317" s="44">
        <v>0.14000000000000001</v>
      </c>
      <c r="AY317" s="40">
        <v>6.7734314201523551</v>
      </c>
      <c r="AZ317" s="41">
        <v>0.5</v>
      </c>
      <c r="BA317" s="40">
        <v>0.72</v>
      </c>
      <c r="BB317" s="45">
        <v>1</v>
      </c>
      <c r="BC317" s="41">
        <v>11.280218363357537</v>
      </c>
      <c r="BD317" s="41">
        <v>47.541244098024215</v>
      </c>
      <c r="BE317" s="41">
        <v>41.178537538618244</v>
      </c>
      <c r="BF317" s="125">
        <v>1.1000000000000001</v>
      </c>
      <c r="BG317" s="48">
        <f t="shared" si="257"/>
        <v>4.3206518882053686E-3</v>
      </c>
      <c r="BH317" s="48">
        <f t="shared" si="266"/>
        <v>4.3206518882053686E-3</v>
      </c>
      <c r="BI317" s="99">
        <f t="shared" si="267"/>
        <v>4.873789677100962E-4</v>
      </c>
      <c r="BJ317" s="99">
        <f t="shared" si="258"/>
        <v>2.0540916607976068E-3</v>
      </c>
      <c r="BK317" s="48">
        <f t="shared" si="268"/>
        <v>1.7791812596976656E-3</v>
      </c>
      <c r="BL317" s="99">
        <f t="shared" si="239"/>
        <v>3.2849400148471126E-4</v>
      </c>
      <c r="BM317" s="48">
        <f t="shared" si="240"/>
        <v>1.218554749474528E-3</v>
      </c>
      <c r="BN317" s="48">
        <f t="shared" si="241"/>
        <v>3.0811374911964102E-3</v>
      </c>
      <c r="BO317" s="48">
        <f t="shared" si="242"/>
        <v>2.6687718895464984E-3</v>
      </c>
      <c r="BP317" s="99">
        <f t="shared" si="243"/>
        <v>4.9274100222706694E-4</v>
      </c>
      <c r="BQ317" s="48">
        <f t="shared" si="244"/>
        <v>1.827832124211792E-3</v>
      </c>
      <c r="BR317" s="40">
        <f t="shared" si="245"/>
        <v>0.58821462461381757</v>
      </c>
      <c r="BS317" s="31">
        <v>1.5</v>
      </c>
      <c r="BT317" s="31">
        <v>1.5</v>
      </c>
      <c r="BU317" s="43">
        <v>0.14000000000000001</v>
      </c>
      <c r="BV317" s="44">
        <v>0.42</v>
      </c>
      <c r="BW317" s="43">
        <v>2.3E-2</v>
      </c>
      <c r="BX317" s="44">
        <v>0.2</v>
      </c>
      <c r="BY317" s="40">
        <v>17.442066059404368</v>
      </c>
      <c r="BZ317" s="40">
        <v>0.52</v>
      </c>
      <c r="CA317" s="40">
        <v>0.65</v>
      </c>
      <c r="CB317" s="45">
        <v>1</v>
      </c>
      <c r="CC317" s="41">
        <v>3.3053800540389702</v>
      </c>
      <c r="CD317" s="41">
        <v>20.327520115960358</v>
      </c>
      <c r="CE317" s="41">
        <v>76.367099830000683</v>
      </c>
      <c r="CF317" s="125">
        <v>1.1000000000000001</v>
      </c>
      <c r="CG317" s="40">
        <f t="shared" si="259"/>
        <v>2.5202924621405578E-2</v>
      </c>
      <c r="CH317" s="40">
        <f t="shared" si="269"/>
        <v>2.5202924621405578E-2</v>
      </c>
      <c r="CI317" s="99">
        <f t="shared" si="260"/>
        <v>8.3305244347041656E-4</v>
      </c>
      <c r="CJ317" s="100">
        <f t="shared" si="261"/>
        <v>5.1231295722265445E-3</v>
      </c>
      <c r="CK317" s="100">
        <f t="shared" si="262"/>
        <v>1.9246742605708619E-2</v>
      </c>
      <c r="CL317" s="101">
        <f t="shared" si="246"/>
        <v>1.044572791248199E-3</v>
      </c>
      <c r="CM317" s="100">
        <f t="shared" si="247"/>
        <v>4.9362632197469105E-3</v>
      </c>
      <c r="CN317" s="100">
        <f t="shared" si="248"/>
        <v>7.6846943583398167E-3</v>
      </c>
      <c r="CO317" s="100">
        <f t="shared" si="249"/>
        <v>2.8870113908562929E-2</v>
      </c>
      <c r="CP317" s="101">
        <f t="shared" si="250"/>
        <v>1.5668591868722988E-3</v>
      </c>
      <c r="CQ317" s="100">
        <f t="shared" si="251"/>
        <v>7.4043948296203662E-3</v>
      </c>
      <c r="CR317" s="99">
        <f t="shared" si="252"/>
        <v>0.23632900169999327</v>
      </c>
      <c r="CS317" s="31">
        <v>1.5</v>
      </c>
      <c r="CT317" s="31">
        <v>1.5</v>
      </c>
      <c r="CU317" s="43">
        <v>0.125</v>
      </c>
      <c r="CV317" s="44">
        <v>0.4</v>
      </c>
      <c r="CW317" s="43">
        <v>2.1000000000000001E-2</v>
      </c>
      <c r="CX317" s="44">
        <v>0.15</v>
      </c>
    </row>
    <row r="318" spans="1:102" x14ac:dyDescent="0.25">
      <c r="A318" s="31">
        <v>304</v>
      </c>
      <c r="B318" s="83" t="s">
        <v>254</v>
      </c>
      <c r="C318" s="31">
        <v>70</v>
      </c>
      <c r="D318" s="31" t="s">
        <v>36</v>
      </c>
      <c r="E318" s="31" t="s">
        <v>6</v>
      </c>
      <c r="F318" s="31" t="s">
        <v>70</v>
      </c>
      <c r="G318" s="31" t="str">
        <f t="shared" si="253"/>
        <v>Kommunal 70 Y 4S Ck</v>
      </c>
      <c r="H318" s="48">
        <f t="shared" si="220"/>
        <v>9.3709710781612152E-2</v>
      </c>
      <c r="I318" s="40">
        <f t="shared" si="221"/>
        <v>0.12735556725805708</v>
      </c>
      <c r="J318" s="99">
        <f t="shared" si="222"/>
        <v>2.125633061102607E-3</v>
      </c>
      <c r="K318" s="48">
        <f t="shared" si="223"/>
        <v>2.8785302561946776E-2</v>
      </c>
      <c r="L318" s="48">
        <f t="shared" si="224"/>
        <v>9.6444631635007702E-2</v>
      </c>
      <c r="M318" s="48">
        <f t="shared" si="254"/>
        <v>0.2282746450797076</v>
      </c>
      <c r="N318" s="99">
        <f t="shared" si="225"/>
        <v>4.534668746669147E-3</v>
      </c>
      <c r="O318" s="48">
        <f t="shared" si="226"/>
        <v>2.3195861455642425E-2</v>
      </c>
      <c r="P318" s="48">
        <f t="shared" si="227"/>
        <v>4.3177953842920162E-2</v>
      </c>
      <c r="Q318" s="48">
        <f t="shared" si="228"/>
        <v>0.14466694745251155</v>
      </c>
      <c r="R318" s="40">
        <f t="shared" si="255"/>
        <v>1.5979225155579533</v>
      </c>
      <c r="S318" s="99">
        <f t="shared" si="229"/>
        <v>6.8020031200037214E-3</v>
      </c>
      <c r="T318" s="48">
        <f t="shared" si="230"/>
        <v>3.4793792183463637E-2</v>
      </c>
      <c r="U318" s="40">
        <v>4.2554160000000003</v>
      </c>
      <c r="V318" s="40">
        <v>1.25</v>
      </c>
      <c r="W318" s="40">
        <v>0.45</v>
      </c>
      <c r="X318" s="40">
        <v>1.5241919747630239</v>
      </c>
      <c r="Y318" s="42">
        <v>0.82304534923805894</v>
      </c>
      <c r="Z318" s="42">
        <v>22.086927970711695</v>
      </c>
      <c r="AA318" s="42">
        <v>77.090026680050244</v>
      </c>
      <c r="AB318" s="42">
        <v>2.333333333333333</v>
      </c>
      <c r="AC318" s="125">
        <v>1.1000000000000001</v>
      </c>
      <c r="AD318" s="94">
        <f t="shared" si="256"/>
        <v>6.4186134272001205E-2</v>
      </c>
      <c r="AE318" s="94">
        <f t="shared" si="263"/>
        <v>9.7831990748446132E-2</v>
      </c>
      <c r="AF318" s="96">
        <f t="shared" si="264"/>
        <v>8.0520164992209408E-4</v>
      </c>
      <c r="AG318" s="95">
        <f t="shared" si="270"/>
        <v>2.1608081328922626E-2</v>
      </c>
      <c r="AH318" s="94">
        <f t="shared" si="271"/>
        <v>7.5418707769601412E-2</v>
      </c>
      <c r="AI318" s="94">
        <f t="shared" si="265"/>
        <v>0.2282746450797076</v>
      </c>
      <c r="AJ318" s="96">
        <f t="shared" si="231"/>
        <v>3.1616019539362373E-3</v>
      </c>
      <c r="AK318" s="95">
        <f t="shared" si="232"/>
        <v>1.7041043486420986E-2</v>
      </c>
      <c r="AL318" s="95">
        <f t="shared" si="233"/>
        <v>3.241212199338394E-2</v>
      </c>
      <c r="AM318" s="94">
        <f t="shared" si="234"/>
        <v>0.11312806165440212</v>
      </c>
      <c r="AN318" s="93">
        <f t="shared" si="235"/>
        <v>1.5979225155579533</v>
      </c>
      <c r="AO318" s="96">
        <f t="shared" si="236"/>
        <v>4.7424029309043551E-3</v>
      </c>
      <c r="AP318" s="95">
        <f t="shared" si="237"/>
        <v>2.5561565229631482E-2</v>
      </c>
      <c r="AQ318" s="93">
        <f t="shared" si="238"/>
        <v>0.22909973319949753</v>
      </c>
      <c r="AR318" s="31">
        <v>1.5</v>
      </c>
      <c r="AS318" s="31">
        <v>1.5</v>
      </c>
      <c r="AT318" s="31">
        <v>7</v>
      </c>
      <c r="AU318" s="43">
        <v>0.08</v>
      </c>
      <c r="AV318" s="44">
        <v>0.3</v>
      </c>
      <c r="AW318" s="43">
        <v>1.9E-2</v>
      </c>
      <c r="AX318" s="44">
        <v>0.14000000000000001</v>
      </c>
      <c r="AY318" s="40">
        <v>6.7734314201523551</v>
      </c>
      <c r="AZ318" s="41">
        <v>0.5</v>
      </c>
      <c r="BA318" s="40">
        <v>0.72</v>
      </c>
      <c r="BB318" s="45">
        <v>1</v>
      </c>
      <c r="BC318" s="41">
        <v>11.280218363357537</v>
      </c>
      <c r="BD318" s="41">
        <v>47.541244098024215</v>
      </c>
      <c r="BE318" s="41">
        <v>41.178537538618244</v>
      </c>
      <c r="BF318" s="125">
        <v>1.1000000000000001</v>
      </c>
      <c r="BG318" s="48">
        <f t="shared" si="257"/>
        <v>4.3206518882053686E-3</v>
      </c>
      <c r="BH318" s="48">
        <f t="shared" si="266"/>
        <v>4.3206518882053686E-3</v>
      </c>
      <c r="BI318" s="99">
        <f t="shared" si="267"/>
        <v>4.873789677100962E-4</v>
      </c>
      <c r="BJ318" s="99">
        <f t="shared" si="258"/>
        <v>2.0540916607976068E-3</v>
      </c>
      <c r="BK318" s="48">
        <f t="shared" si="268"/>
        <v>1.7791812596976656E-3</v>
      </c>
      <c r="BL318" s="99">
        <f t="shared" si="239"/>
        <v>3.2849400148471126E-4</v>
      </c>
      <c r="BM318" s="48">
        <f t="shared" si="240"/>
        <v>1.218554749474528E-3</v>
      </c>
      <c r="BN318" s="48">
        <f t="shared" si="241"/>
        <v>3.0811374911964102E-3</v>
      </c>
      <c r="BO318" s="48">
        <f t="shared" si="242"/>
        <v>2.6687718895464984E-3</v>
      </c>
      <c r="BP318" s="99">
        <f t="shared" si="243"/>
        <v>4.9274100222706694E-4</v>
      </c>
      <c r="BQ318" s="48">
        <f t="shared" si="244"/>
        <v>1.827832124211792E-3</v>
      </c>
      <c r="BR318" s="40">
        <f t="shared" si="245"/>
        <v>0.58821462461381757</v>
      </c>
      <c r="BS318" s="31">
        <v>1.5</v>
      </c>
      <c r="BT318" s="31">
        <v>1.5</v>
      </c>
      <c r="BU318" s="43">
        <v>0.14000000000000001</v>
      </c>
      <c r="BV318" s="44">
        <v>0.42</v>
      </c>
      <c r="BW318" s="43">
        <v>2.3E-2</v>
      </c>
      <c r="BX318" s="44">
        <v>0.2</v>
      </c>
      <c r="BY318" s="40">
        <v>17.442066059404368</v>
      </c>
      <c r="BZ318" s="40">
        <v>0.52</v>
      </c>
      <c r="CA318" s="40">
        <v>0.65</v>
      </c>
      <c r="CB318" s="45">
        <v>1</v>
      </c>
      <c r="CC318" s="41">
        <v>3.3053800540389702</v>
      </c>
      <c r="CD318" s="41">
        <v>20.327520115960358</v>
      </c>
      <c r="CE318" s="41">
        <v>76.367099830000683</v>
      </c>
      <c r="CF318" s="125">
        <v>1.1000000000000001</v>
      </c>
      <c r="CG318" s="40">
        <f t="shared" si="259"/>
        <v>2.5202924621405578E-2</v>
      </c>
      <c r="CH318" s="40">
        <f t="shared" si="269"/>
        <v>2.5202924621405578E-2</v>
      </c>
      <c r="CI318" s="99">
        <f t="shared" si="260"/>
        <v>8.3305244347041656E-4</v>
      </c>
      <c r="CJ318" s="100">
        <f t="shared" si="261"/>
        <v>5.1231295722265445E-3</v>
      </c>
      <c r="CK318" s="100">
        <f t="shared" si="262"/>
        <v>1.9246742605708619E-2</v>
      </c>
      <c r="CL318" s="101">
        <f t="shared" si="246"/>
        <v>1.044572791248199E-3</v>
      </c>
      <c r="CM318" s="100">
        <f t="shared" si="247"/>
        <v>4.9362632197469105E-3</v>
      </c>
      <c r="CN318" s="100">
        <f t="shared" si="248"/>
        <v>7.6846943583398167E-3</v>
      </c>
      <c r="CO318" s="100">
        <f t="shared" si="249"/>
        <v>2.8870113908562929E-2</v>
      </c>
      <c r="CP318" s="101">
        <f t="shared" si="250"/>
        <v>1.5668591868722988E-3</v>
      </c>
      <c r="CQ318" s="100">
        <f t="shared" si="251"/>
        <v>7.4043948296203662E-3</v>
      </c>
      <c r="CR318" s="99">
        <f t="shared" si="252"/>
        <v>0.23632900169999327</v>
      </c>
      <c r="CS318" s="31">
        <v>1.5</v>
      </c>
      <c r="CT318" s="31">
        <v>1.5</v>
      </c>
      <c r="CU318" s="43">
        <v>0.125</v>
      </c>
      <c r="CV318" s="44">
        <v>0.4</v>
      </c>
      <c r="CW318" s="43">
        <v>2.1000000000000001E-2</v>
      </c>
      <c r="CX318" s="44">
        <v>0.15</v>
      </c>
    </row>
    <row r="319" spans="1:102" x14ac:dyDescent="0.25">
      <c r="A319" s="31">
        <v>305</v>
      </c>
      <c r="B319" s="83" t="s">
        <v>254</v>
      </c>
      <c r="C319" s="31">
        <v>70</v>
      </c>
      <c r="D319" s="31" t="s">
        <v>36</v>
      </c>
      <c r="E319" s="31" t="s">
        <v>6</v>
      </c>
      <c r="F319" s="31" t="s">
        <v>71</v>
      </c>
      <c r="G319" s="31" t="str">
        <f t="shared" si="253"/>
        <v>Kommunal 70 Y 4S Cm</v>
      </c>
      <c r="H319" s="48">
        <f t="shared" si="220"/>
        <v>9.3709710781612152E-2</v>
      </c>
      <c r="I319" s="40">
        <f t="shared" si="221"/>
        <v>0.12735556725805708</v>
      </c>
      <c r="J319" s="99">
        <f t="shared" si="222"/>
        <v>2.125633061102607E-3</v>
      </c>
      <c r="K319" s="48">
        <f t="shared" si="223"/>
        <v>2.8785302561946776E-2</v>
      </c>
      <c r="L319" s="48">
        <f t="shared" si="224"/>
        <v>9.6444631635007702E-2</v>
      </c>
      <c r="M319" s="48">
        <f t="shared" si="254"/>
        <v>0.2282746450797076</v>
      </c>
      <c r="N319" s="99">
        <f t="shared" si="225"/>
        <v>4.534668746669147E-3</v>
      </c>
      <c r="O319" s="48">
        <f t="shared" si="226"/>
        <v>2.3195861455642425E-2</v>
      </c>
      <c r="P319" s="48">
        <f t="shared" si="227"/>
        <v>4.3177953842920162E-2</v>
      </c>
      <c r="Q319" s="48">
        <f t="shared" si="228"/>
        <v>0.14466694745251155</v>
      </c>
      <c r="R319" s="40">
        <f t="shared" si="255"/>
        <v>1.5979225155579533</v>
      </c>
      <c r="S319" s="99">
        <f t="shared" si="229"/>
        <v>6.8020031200037214E-3</v>
      </c>
      <c r="T319" s="48">
        <f t="shared" si="230"/>
        <v>3.4793792183463637E-2</v>
      </c>
      <c r="U319" s="40">
        <v>4.2554160000000003</v>
      </c>
      <c r="V319" s="40">
        <v>1.25</v>
      </c>
      <c r="W319" s="40">
        <v>0.45</v>
      </c>
      <c r="X319" s="40">
        <v>1.5241919747630239</v>
      </c>
      <c r="Y319" s="42">
        <v>0.82304534923805894</v>
      </c>
      <c r="Z319" s="42">
        <v>22.086927970711695</v>
      </c>
      <c r="AA319" s="42">
        <v>77.090026680050244</v>
      </c>
      <c r="AB319" s="42">
        <v>2.333333333333333</v>
      </c>
      <c r="AC319" s="125">
        <v>1.1000000000000001</v>
      </c>
      <c r="AD319" s="94">
        <f t="shared" si="256"/>
        <v>6.4186134272001205E-2</v>
      </c>
      <c r="AE319" s="94">
        <f t="shared" si="263"/>
        <v>9.7831990748446132E-2</v>
      </c>
      <c r="AF319" s="96">
        <f t="shared" si="264"/>
        <v>8.0520164992209408E-4</v>
      </c>
      <c r="AG319" s="95">
        <f t="shared" si="270"/>
        <v>2.1608081328922626E-2</v>
      </c>
      <c r="AH319" s="94">
        <f t="shared" si="271"/>
        <v>7.5418707769601412E-2</v>
      </c>
      <c r="AI319" s="94">
        <f t="shared" si="265"/>
        <v>0.2282746450797076</v>
      </c>
      <c r="AJ319" s="96">
        <f t="shared" si="231"/>
        <v>3.1616019539362373E-3</v>
      </c>
      <c r="AK319" s="95">
        <f t="shared" si="232"/>
        <v>1.7041043486420986E-2</v>
      </c>
      <c r="AL319" s="95">
        <f t="shared" si="233"/>
        <v>3.241212199338394E-2</v>
      </c>
      <c r="AM319" s="94">
        <f t="shared" si="234"/>
        <v>0.11312806165440212</v>
      </c>
      <c r="AN319" s="93">
        <f t="shared" si="235"/>
        <v>1.5979225155579533</v>
      </c>
      <c r="AO319" s="96">
        <f t="shared" si="236"/>
        <v>4.7424029309043551E-3</v>
      </c>
      <c r="AP319" s="95">
        <f t="shared" si="237"/>
        <v>2.5561565229631482E-2</v>
      </c>
      <c r="AQ319" s="93">
        <f t="shared" si="238"/>
        <v>0.22909973319949753</v>
      </c>
      <c r="AR319" s="31">
        <v>1.5</v>
      </c>
      <c r="AS319" s="31">
        <v>1.5</v>
      </c>
      <c r="AT319" s="31">
        <v>7</v>
      </c>
      <c r="AU319" s="43">
        <v>0.08</v>
      </c>
      <c r="AV319" s="44">
        <v>0.3</v>
      </c>
      <c r="AW319" s="43">
        <v>1.9E-2</v>
      </c>
      <c r="AX319" s="44">
        <v>0.14000000000000001</v>
      </c>
      <c r="AY319" s="40">
        <v>6.7734314201523551</v>
      </c>
      <c r="AZ319" s="41">
        <v>0.5</v>
      </c>
      <c r="BA319" s="40">
        <v>0.72</v>
      </c>
      <c r="BB319" s="45">
        <v>1</v>
      </c>
      <c r="BC319" s="41">
        <v>11.280218363357537</v>
      </c>
      <c r="BD319" s="41">
        <v>47.541244098024215</v>
      </c>
      <c r="BE319" s="41">
        <v>41.178537538618244</v>
      </c>
      <c r="BF319" s="125">
        <v>1.1000000000000001</v>
      </c>
      <c r="BG319" s="48">
        <f t="shared" si="257"/>
        <v>4.3206518882053686E-3</v>
      </c>
      <c r="BH319" s="48">
        <f t="shared" si="266"/>
        <v>4.3206518882053686E-3</v>
      </c>
      <c r="BI319" s="99">
        <f t="shared" si="267"/>
        <v>4.873789677100962E-4</v>
      </c>
      <c r="BJ319" s="99">
        <f t="shared" si="258"/>
        <v>2.0540916607976068E-3</v>
      </c>
      <c r="BK319" s="48">
        <f t="shared" si="268"/>
        <v>1.7791812596976656E-3</v>
      </c>
      <c r="BL319" s="99">
        <f t="shared" si="239"/>
        <v>3.2849400148471126E-4</v>
      </c>
      <c r="BM319" s="48">
        <f t="shared" si="240"/>
        <v>1.218554749474528E-3</v>
      </c>
      <c r="BN319" s="48">
        <f t="shared" si="241"/>
        <v>3.0811374911964102E-3</v>
      </c>
      <c r="BO319" s="48">
        <f t="shared" si="242"/>
        <v>2.6687718895464984E-3</v>
      </c>
      <c r="BP319" s="99">
        <f t="shared" si="243"/>
        <v>4.9274100222706694E-4</v>
      </c>
      <c r="BQ319" s="48">
        <f t="shared" si="244"/>
        <v>1.827832124211792E-3</v>
      </c>
      <c r="BR319" s="40">
        <f t="shared" si="245"/>
        <v>0.58821462461381757</v>
      </c>
      <c r="BS319" s="31">
        <v>1.5</v>
      </c>
      <c r="BT319" s="31">
        <v>1.5</v>
      </c>
      <c r="BU319" s="43">
        <v>0.14000000000000001</v>
      </c>
      <c r="BV319" s="44">
        <v>0.42</v>
      </c>
      <c r="BW319" s="43">
        <v>2.3E-2</v>
      </c>
      <c r="BX319" s="44">
        <v>0.2</v>
      </c>
      <c r="BY319" s="40">
        <v>17.442066059404368</v>
      </c>
      <c r="BZ319" s="40">
        <v>0.52</v>
      </c>
      <c r="CA319" s="40">
        <v>0.65</v>
      </c>
      <c r="CB319" s="45">
        <v>1</v>
      </c>
      <c r="CC319" s="41">
        <v>3.3053800540389702</v>
      </c>
      <c r="CD319" s="41">
        <v>20.327520115960358</v>
      </c>
      <c r="CE319" s="41">
        <v>76.367099830000683</v>
      </c>
      <c r="CF319" s="125">
        <v>1.1000000000000001</v>
      </c>
      <c r="CG319" s="40">
        <f t="shared" si="259"/>
        <v>2.5202924621405578E-2</v>
      </c>
      <c r="CH319" s="40">
        <f t="shared" si="269"/>
        <v>2.5202924621405578E-2</v>
      </c>
      <c r="CI319" s="99">
        <f t="shared" si="260"/>
        <v>8.3305244347041656E-4</v>
      </c>
      <c r="CJ319" s="100">
        <f t="shared" si="261"/>
        <v>5.1231295722265445E-3</v>
      </c>
      <c r="CK319" s="100">
        <f t="shared" si="262"/>
        <v>1.9246742605708619E-2</v>
      </c>
      <c r="CL319" s="101">
        <f t="shared" si="246"/>
        <v>1.044572791248199E-3</v>
      </c>
      <c r="CM319" s="100">
        <f t="shared" si="247"/>
        <v>4.9362632197469105E-3</v>
      </c>
      <c r="CN319" s="100">
        <f t="shared" si="248"/>
        <v>7.6846943583398167E-3</v>
      </c>
      <c r="CO319" s="100">
        <f t="shared" si="249"/>
        <v>2.8870113908562929E-2</v>
      </c>
      <c r="CP319" s="101">
        <f t="shared" si="250"/>
        <v>1.5668591868722988E-3</v>
      </c>
      <c r="CQ319" s="100">
        <f t="shared" si="251"/>
        <v>7.4043948296203662E-3</v>
      </c>
      <c r="CR319" s="99">
        <f t="shared" si="252"/>
        <v>0.23632900169999327</v>
      </c>
      <c r="CS319" s="31">
        <v>1.5</v>
      </c>
      <c r="CT319" s="31">
        <v>1.5</v>
      </c>
      <c r="CU319" s="43">
        <v>0.125</v>
      </c>
      <c r="CV319" s="44">
        <v>0.4</v>
      </c>
      <c r="CW319" s="43">
        <v>2.1000000000000001E-2</v>
      </c>
      <c r="CX319" s="44">
        <v>0.15</v>
      </c>
    </row>
    <row r="320" spans="1:102" x14ac:dyDescent="0.25">
      <c r="A320" s="31">
        <v>306</v>
      </c>
      <c r="B320" s="83" t="s">
        <v>254</v>
      </c>
      <c r="C320" s="31">
        <v>70</v>
      </c>
      <c r="D320" s="31" t="s">
        <v>36</v>
      </c>
      <c r="E320" s="31" t="s">
        <v>6</v>
      </c>
      <c r="F320" s="31" t="s">
        <v>0</v>
      </c>
      <c r="G320" s="31" t="str">
        <f t="shared" si="253"/>
        <v>Kommunal 70 Y 4S D</v>
      </c>
      <c r="H320" s="48">
        <f t="shared" si="220"/>
        <v>5.8355948259390861E-2</v>
      </c>
      <c r="I320" s="40">
        <f t="shared" si="221"/>
        <v>9.7634916019053025E-2</v>
      </c>
      <c r="J320" s="99">
        <f t="shared" si="222"/>
        <v>1.3204314111805128E-3</v>
      </c>
      <c r="K320" s="48">
        <f t="shared" si="223"/>
        <v>1.647052237291521E-2</v>
      </c>
      <c r="L320" s="48">
        <f t="shared" si="224"/>
        <v>7.9843962234957308E-2</v>
      </c>
      <c r="M320" s="48">
        <f t="shared" si="254"/>
        <v>0.38596425722017175</v>
      </c>
      <c r="N320" s="99">
        <f t="shared" si="225"/>
        <v>3.2340736129456643E-3</v>
      </c>
      <c r="O320" s="48">
        <f t="shared" si="226"/>
        <v>1.7177333682925899E-2</v>
      </c>
      <c r="P320" s="48">
        <f t="shared" si="227"/>
        <v>2.4705783559372814E-2</v>
      </c>
      <c r="Q320" s="48">
        <f t="shared" si="228"/>
        <v>0.11976594335243596</v>
      </c>
      <c r="R320" s="40">
        <f t="shared" si="255"/>
        <v>2.7017498005412022</v>
      </c>
      <c r="S320" s="99">
        <f t="shared" si="229"/>
        <v>4.851110419418497E-3</v>
      </c>
      <c r="T320" s="48">
        <f t="shared" si="230"/>
        <v>2.5766000524388852E-2</v>
      </c>
      <c r="U320" s="40">
        <v>1.0830105000000003</v>
      </c>
      <c r="V320" s="40">
        <v>1.2</v>
      </c>
      <c r="W320" s="45">
        <v>0</v>
      </c>
      <c r="X320" s="40">
        <v>2.3623217715331375</v>
      </c>
      <c r="Y320" s="42">
        <v>0</v>
      </c>
      <c r="Z320" s="42">
        <v>13.644278921577744</v>
      </c>
      <c r="AA320" s="42">
        <v>86.355721078422263</v>
      </c>
      <c r="AB320" s="42">
        <v>5.6666666666666661</v>
      </c>
      <c r="AC320" s="125">
        <v>1.1000000000000001</v>
      </c>
      <c r="AD320" s="94">
        <f t="shared" si="256"/>
        <v>2.8832371749779918E-2</v>
      </c>
      <c r="AE320" s="94">
        <f t="shared" si="263"/>
        <v>6.8111339509442079E-2</v>
      </c>
      <c r="AF320" s="96">
        <f t="shared" si="264"/>
        <v>0</v>
      </c>
      <c r="AG320" s="95">
        <f t="shared" si="270"/>
        <v>9.2933011398910591E-3</v>
      </c>
      <c r="AH320" s="94">
        <f t="shared" si="271"/>
        <v>5.8818038369551025E-2</v>
      </c>
      <c r="AI320" s="94">
        <f t="shared" si="265"/>
        <v>0.38596425722017175</v>
      </c>
      <c r="AJ320" s="96">
        <f t="shared" si="231"/>
        <v>1.8610068202127542E-3</v>
      </c>
      <c r="AK320" s="95">
        <f t="shared" si="232"/>
        <v>1.1022515713704462E-2</v>
      </c>
      <c r="AL320" s="95">
        <f t="shared" si="233"/>
        <v>1.3939951709836588E-2</v>
      </c>
      <c r="AM320" s="94">
        <f t="shared" si="234"/>
        <v>8.8227057554326541E-2</v>
      </c>
      <c r="AN320" s="93">
        <f t="shared" si="235"/>
        <v>2.7017498005412022</v>
      </c>
      <c r="AO320" s="96">
        <f t="shared" si="236"/>
        <v>2.7915102303191315E-3</v>
      </c>
      <c r="AP320" s="95">
        <f t="shared" si="237"/>
        <v>1.6533773570556694E-2</v>
      </c>
      <c r="AQ320" s="93">
        <f t="shared" si="238"/>
        <v>0.13644278921577743</v>
      </c>
      <c r="AR320" s="31">
        <v>1.5</v>
      </c>
      <c r="AS320" s="31">
        <v>1.5</v>
      </c>
      <c r="AT320" s="31">
        <v>7</v>
      </c>
      <c r="AU320" s="43">
        <v>0.08</v>
      </c>
      <c r="AV320" s="44">
        <v>0.3</v>
      </c>
      <c r="AW320" s="43">
        <v>1.9E-2</v>
      </c>
      <c r="AX320" s="44">
        <v>0.14000000000000001</v>
      </c>
      <c r="AY320" s="40">
        <v>6.7734314201523551</v>
      </c>
      <c r="AZ320" s="41">
        <v>0.5</v>
      </c>
      <c r="BA320" s="40">
        <v>0.72</v>
      </c>
      <c r="BB320" s="45">
        <v>1</v>
      </c>
      <c r="BC320" s="41">
        <v>11.280218363357537</v>
      </c>
      <c r="BD320" s="41">
        <v>47.541244098024215</v>
      </c>
      <c r="BE320" s="41">
        <v>41.178537538618244</v>
      </c>
      <c r="BF320" s="125">
        <v>1.1000000000000001</v>
      </c>
      <c r="BG320" s="48">
        <f t="shared" si="257"/>
        <v>4.3206518882053686E-3</v>
      </c>
      <c r="BH320" s="48">
        <f t="shared" si="266"/>
        <v>4.3206518882053686E-3</v>
      </c>
      <c r="BI320" s="99">
        <f t="shared" si="267"/>
        <v>4.873789677100962E-4</v>
      </c>
      <c r="BJ320" s="99">
        <f t="shared" si="258"/>
        <v>2.0540916607976068E-3</v>
      </c>
      <c r="BK320" s="48">
        <f t="shared" si="268"/>
        <v>1.7791812596976656E-3</v>
      </c>
      <c r="BL320" s="99">
        <f t="shared" si="239"/>
        <v>3.2849400148471126E-4</v>
      </c>
      <c r="BM320" s="48">
        <f t="shared" si="240"/>
        <v>1.218554749474528E-3</v>
      </c>
      <c r="BN320" s="48">
        <f t="shared" si="241"/>
        <v>3.0811374911964102E-3</v>
      </c>
      <c r="BO320" s="48">
        <f t="shared" si="242"/>
        <v>2.6687718895464984E-3</v>
      </c>
      <c r="BP320" s="99">
        <f t="shared" si="243"/>
        <v>4.9274100222706694E-4</v>
      </c>
      <c r="BQ320" s="48">
        <f t="shared" si="244"/>
        <v>1.827832124211792E-3</v>
      </c>
      <c r="BR320" s="40">
        <f t="shared" si="245"/>
        <v>0.58821462461381757</v>
      </c>
      <c r="BS320" s="31">
        <v>1.5</v>
      </c>
      <c r="BT320" s="31">
        <v>1.5</v>
      </c>
      <c r="BU320" s="43">
        <v>0.14000000000000001</v>
      </c>
      <c r="BV320" s="44">
        <v>0.42</v>
      </c>
      <c r="BW320" s="43">
        <v>2.3E-2</v>
      </c>
      <c r="BX320" s="44">
        <v>0.2</v>
      </c>
      <c r="BY320" s="40">
        <v>17.442066059404368</v>
      </c>
      <c r="BZ320" s="40">
        <v>0.52</v>
      </c>
      <c r="CA320" s="40">
        <v>0.65</v>
      </c>
      <c r="CB320" s="45">
        <v>1</v>
      </c>
      <c r="CC320" s="41">
        <v>3.3053800540389702</v>
      </c>
      <c r="CD320" s="41">
        <v>20.327520115960358</v>
      </c>
      <c r="CE320" s="41">
        <v>76.367099830000683</v>
      </c>
      <c r="CF320" s="125">
        <v>1.1000000000000001</v>
      </c>
      <c r="CG320" s="40">
        <f t="shared" si="259"/>
        <v>2.5202924621405578E-2</v>
      </c>
      <c r="CH320" s="40">
        <f t="shared" si="269"/>
        <v>2.5202924621405578E-2</v>
      </c>
      <c r="CI320" s="99">
        <f t="shared" si="260"/>
        <v>8.3305244347041656E-4</v>
      </c>
      <c r="CJ320" s="100">
        <f t="shared" si="261"/>
        <v>5.1231295722265445E-3</v>
      </c>
      <c r="CK320" s="100">
        <f t="shared" si="262"/>
        <v>1.9246742605708619E-2</v>
      </c>
      <c r="CL320" s="101">
        <f t="shared" si="246"/>
        <v>1.044572791248199E-3</v>
      </c>
      <c r="CM320" s="100">
        <f t="shared" si="247"/>
        <v>4.9362632197469105E-3</v>
      </c>
      <c r="CN320" s="100">
        <f t="shared" si="248"/>
        <v>7.6846943583398167E-3</v>
      </c>
      <c r="CO320" s="100">
        <f t="shared" si="249"/>
        <v>2.8870113908562929E-2</v>
      </c>
      <c r="CP320" s="101">
        <f t="shared" si="250"/>
        <v>1.5668591868722988E-3</v>
      </c>
      <c r="CQ320" s="100">
        <f t="shared" si="251"/>
        <v>7.4043948296203662E-3</v>
      </c>
      <c r="CR320" s="99">
        <f t="shared" si="252"/>
        <v>0.23632900169999327</v>
      </c>
      <c r="CS320" s="31">
        <v>1.5</v>
      </c>
      <c r="CT320" s="31">
        <v>1.5</v>
      </c>
      <c r="CU320" s="43">
        <v>0.125</v>
      </c>
      <c r="CV320" s="44">
        <v>0.4</v>
      </c>
      <c r="CW320" s="43">
        <v>2.1000000000000001E-2</v>
      </c>
      <c r="CX320" s="44">
        <v>0.15</v>
      </c>
    </row>
    <row r="321" spans="1:102" x14ac:dyDescent="0.25">
      <c r="A321" s="31">
        <v>307</v>
      </c>
      <c r="B321" s="83" t="s">
        <v>254</v>
      </c>
      <c r="C321" s="31">
        <v>70</v>
      </c>
      <c r="D321" s="31" t="s">
        <v>36</v>
      </c>
      <c r="E321" s="31" t="s">
        <v>6</v>
      </c>
      <c r="F321" s="31" t="s">
        <v>62</v>
      </c>
      <c r="G321" s="31" t="str">
        <f t="shared" si="253"/>
        <v>Kommunal 70 Y 4S EE</v>
      </c>
      <c r="H321" s="48">
        <f t="shared" si="220"/>
        <v>0.1397103892605637</v>
      </c>
      <c r="I321" s="40">
        <f t="shared" si="221"/>
        <v>0.19746943222932919</v>
      </c>
      <c r="J321" s="99">
        <f t="shared" si="222"/>
        <v>2.7027019659197136E-3</v>
      </c>
      <c r="K321" s="48">
        <f t="shared" si="223"/>
        <v>4.4271301415633693E-2</v>
      </c>
      <c r="L321" s="48">
        <f t="shared" si="224"/>
        <v>0.15049542884777578</v>
      </c>
      <c r="M321" s="48">
        <f t="shared" si="254"/>
        <v>0.39187366334600909</v>
      </c>
      <c r="N321" s="99">
        <f t="shared" si="225"/>
        <v>6.800513802006693E-3</v>
      </c>
      <c r="O321" s="48">
        <f t="shared" si="226"/>
        <v>3.540877272153603E-2</v>
      </c>
      <c r="P321" s="48">
        <f t="shared" si="227"/>
        <v>6.6406952123450547E-2</v>
      </c>
      <c r="Q321" s="48">
        <f t="shared" si="228"/>
        <v>0.22574314327166364</v>
      </c>
      <c r="R321" s="40">
        <f t="shared" si="255"/>
        <v>2.7431156434220636</v>
      </c>
      <c r="S321" s="99">
        <f t="shared" si="229"/>
        <v>1.0200770703010042E-2</v>
      </c>
      <c r="T321" s="48">
        <f t="shared" si="230"/>
        <v>5.3113159082304053E-2</v>
      </c>
      <c r="U321" s="40">
        <v>5.1559200000000018</v>
      </c>
      <c r="V321" s="40">
        <v>1.2</v>
      </c>
      <c r="W321" s="41">
        <v>0.1</v>
      </c>
      <c r="X321" s="40">
        <v>1.5241919747630239</v>
      </c>
      <c r="Y321" s="42">
        <v>0.82304534923805861</v>
      </c>
      <c r="Z321" s="42">
        <v>22.086927970711692</v>
      </c>
      <c r="AA321" s="42">
        <v>77.090026680050244</v>
      </c>
      <c r="AB321" s="42">
        <v>2.3333333333333326</v>
      </c>
      <c r="AC321" s="125">
        <v>1.1000000000000001</v>
      </c>
      <c r="AD321" s="94">
        <f t="shared" si="256"/>
        <v>0.11018681275095277</v>
      </c>
      <c r="AE321" s="94">
        <f t="shared" si="263"/>
        <v>0.16794585571971823</v>
      </c>
      <c r="AF321" s="96">
        <f t="shared" si="264"/>
        <v>1.3822705547392009E-3</v>
      </c>
      <c r="AG321" s="95">
        <f t="shared" si="270"/>
        <v>3.7094080182609547E-2</v>
      </c>
      <c r="AH321" s="94">
        <f t="shared" si="271"/>
        <v>0.12946950498236948</v>
      </c>
      <c r="AI321" s="94">
        <f t="shared" si="265"/>
        <v>0.39187366334600909</v>
      </c>
      <c r="AJ321" s="96">
        <f t="shared" si="231"/>
        <v>5.4274470092737833E-3</v>
      </c>
      <c r="AK321" s="95">
        <f t="shared" si="232"/>
        <v>2.9253954752314591E-2</v>
      </c>
      <c r="AL321" s="95">
        <f t="shared" si="233"/>
        <v>5.5641120273914324E-2</v>
      </c>
      <c r="AM321" s="94">
        <f t="shared" si="234"/>
        <v>0.19420425747355421</v>
      </c>
      <c r="AN321" s="93">
        <f t="shared" si="235"/>
        <v>2.7431156434220636</v>
      </c>
      <c r="AO321" s="96">
        <f t="shared" si="236"/>
        <v>8.1411705139106758E-3</v>
      </c>
      <c r="AP321" s="95">
        <f t="shared" si="237"/>
        <v>4.388093212847189E-2</v>
      </c>
      <c r="AQ321" s="93">
        <f t="shared" si="238"/>
        <v>0.2290997331994975</v>
      </c>
      <c r="AR321" s="31">
        <v>1.5</v>
      </c>
      <c r="AS321" s="31">
        <v>1.5</v>
      </c>
      <c r="AT321" s="31">
        <v>7</v>
      </c>
      <c r="AU321" s="43">
        <v>0.08</v>
      </c>
      <c r="AV321" s="44">
        <v>0.3</v>
      </c>
      <c r="AW321" s="43">
        <v>1.9E-2</v>
      </c>
      <c r="AX321" s="44">
        <v>0.14000000000000001</v>
      </c>
      <c r="AY321" s="40">
        <v>6.7734314201523551</v>
      </c>
      <c r="AZ321" s="41">
        <v>0.5</v>
      </c>
      <c r="BA321" s="40">
        <v>0.72</v>
      </c>
      <c r="BB321" s="45">
        <v>1</v>
      </c>
      <c r="BC321" s="41">
        <v>11.280218363357537</v>
      </c>
      <c r="BD321" s="41">
        <v>47.541244098024215</v>
      </c>
      <c r="BE321" s="41">
        <v>41.178537538618244</v>
      </c>
      <c r="BF321" s="125">
        <v>1.1000000000000001</v>
      </c>
      <c r="BG321" s="48">
        <f t="shared" si="257"/>
        <v>4.3206518882053686E-3</v>
      </c>
      <c r="BH321" s="48">
        <f t="shared" si="266"/>
        <v>4.3206518882053686E-3</v>
      </c>
      <c r="BI321" s="99">
        <f t="shared" si="267"/>
        <v>4.873789677100962E-4</v>
      </c>
      <c r="BJ321" s="99">
        <f t="shared" si="258"/>
        <v>2.0540916607976068E-3</v>
      </c>
      <c r="BK321" s="48">
        <f t="shared" si="268"/>
        <v>1.7791812596976656E-3</v>
      </c>
      <c r="BL321" s="99">
        <f t="shared" si="239"/>
        <v>3.2849400148471126E-4</v>
      </c>
      <c r="BM321" s="48">
        <f t="shared" si="240"/>
        <v>1.218554749474528E-3</v>
      </c>
      <c r="BN321" s="48">
        <f t="shared" si="241"/>
        <v>3.0811374911964102E-3</v>
      </c>
      <c r="BO321" s="48">
        <f t="shared" si="242"/>
        <v>2.6687718895464984E-3</v>
      </c>
      <c r="BP321" s="99">
        <f t="shared" si="243"/>
        <v>4.9274100222706694E-4</v>
      </c>
      <c r="BQ321" s="48">
        <f t="shared" si="244"/>
        <v>1.827832124211792E-3</v>
      </c>
      <c r="BR321" s="40">
        <f t="shared" si="245"/>
        <v>0.58821462461381757</v>
      </c>
      <c r="BS321" s="31">
        <v>1.5</v>
      </c>
      <c r="BT321" s="31">
        <v>1.5</v>
      </c>
      <c r="BU321" s="43">
        <v>0.14000000000000001</v>
      </c>
      <c r="BV321" s="44">
        <v>0.42</v>
      </c>
      <c r="BW321" s="43">
        <v>2.3E-2</v>
      </c>
      <c r="BX321" s="44">
        <v>0.2</v>
      </c>
      <c r="BY321" s="40">
        <v>17.442066059404368</v>
      </c>
      <c r="BZ321" s="40">
        <v>0.52</v>
      </c>
      <c r="CA321" s="40">
        <v>0.65</v>
      </c>
      <c r="CB321" s="45">
        <v>1</v>
      </c>
      <c r="CC321" s="41">
        <v>3.3053800540389702</v>
      </c>
      <c r="CD321" s="41">
        <v>20.327520115960358</v>
      </c>
      <c r="CE321" s="41">
        <v>76.367099830000683</v>
      </c>
      <c r="CF321" s="125">
        <v>1.1000000000000001</v>
      </c>
      <c r="CG321" s="40">
        <f t="shared" si="259"/>
        <v>2.5202924621405578E-2</v>
      </c>
      <c r="CH321" s="40">
        <f t="shared" si="269"/>
        <v>2.5202924621405578E-2</v>
      </c>
      <c r="CI321" s="99">
        <f t="shared" si="260"/>
        <v>8.3305244347041656E-4</v>
      </c>
      <c r="CJ321" s="100">
        <f t="shared" si="261"/>
        <v>5.1231295722265445E-3</v>
      </c>
      <c r="CK321" s="100">
        <f t="shared" si="262"/>
        <v>1.9246742605708619E-2</v>
      </c>
      <c r="CL321" s="101">
        <f t="shared" si="246"/>
        <v>1.044572791248199E-3</v>
      </c>
      <c r="CM321" s="100">
        <f t="shared" si="247"/>
        <v>4.9362632197469105E-3</v>
      </c>
      <c r="CN321" s="100">
        <f t="shared" si="248"/>
        <v>7.6846943583398167E-3</v>
      </c>
      <c r="CO321" s="100">
        <f t="shared" si="249"/>
        <v>2.8870113908562929E-2</v>
      </c>
      <c r="CP321" s="101">
        <f t="shared" si="250"/>
        <v>1.5668591868722988E-3</v>
      </c>
      <c r="CQ321" s="100">
        <f t="shared" si="251"/>
        <v>7.4043948296203662E-3</v>
      </c>
      <c r="CR321" s="99">
        <f t="shared" si="252"/>
        <v>0.23632900169999327</v>
      </c>
      <c r="CS321" s="31">
        <v>1.5</v>
      </c>
      <c r="CT321" s="31">
        <v>1.5</v>
      </c>
      <c r="CU321" s="43">
        <v>0.125</v>
      </c>
      <c r="CV321" s="44">
        <v>0.4</v>
      </c>
      <c r="CW321" s="43">
        <v>2.1000000000000001E-2</v>
      </c>
      <c r="CX321" s="44">
        <v>0.15</v>
      </c>
    </row>
    <row r="322" spans="1:102" x14ac:dyDescent="0.25">
      <c r="A322" s="31">
        <v>308</v>
      </c>
      <c r="B322" s="83" t="s">
        <v>254</v>
      </c>
      <c r="C322" s="31">
        <v>70</v>
      </c>
      <c r="D322" s="31" t="s">
        <v>36</v>
      </c>
      <c r="E322" s="31" t="s">
        <v>6</v>
      </c>
      <c r="F322" s="31" t="s">
        <v>63</v>
      </c>
      <c r="G322" s="31" t="str">
        <f t="shared" si="253"/>
        <v>Kommunal 70 Y 4S ES</v>
      </c>
      <c r="H322" s="48">
        <f t="shared" si="220"/>
        <v>0.10018869835834024</v>
      </c>
      <c r="I322" s="40">
        <f t="shared" si="221"/>
        <v>0.14070578052998073</v>
      </c>
      <c r="J322" s="99">
        <f t="shared" si="222"/>
        <v>2.2257718666818232E-3</v>
      </c>
      <c r="K322" s="48">
        <f t="shared" si="223"/>
        <v>2.1349519083620795E-2</v>
      </c>
      <c r="L322" s="48">
        <f t="shared" si="224"/>
        <v>0.11713048957967812</v>
      </c>
      <c r="M322" s="48">
        <f t="shared" si="254"/>
        <v>0.33354661206110936</v>
      </c>
      <c r="N322" s="99">
        <f t="shared" si="225"/>
        <v>4.3328373693518069E-3</v>
      </c>
      <c r="O322" s="48">
        <f t="shared" si="226"/>
        <v>2.386114652439849E-2</v>
      </c>
      <c r="P322" s="48">
        <f t="shared" si="227"/>
        <v>3.2024278625431196E-2</v>
      </c>
      <c r="Q322" s="48">
        <f t="shared" si="228"/>
        <v>0.17569573436951716</v>
      </c>
      <c r="R322" s="40">
        <f t="shared" si="255"/>
        <v>2.3348262844277654</v>
      </c>
      <c r="S322" s="99">
        <f t="shared" si="229"/>
        <v>6.4992560540277095E-3</v>
      </c>
      <c r="T322" s="48">
        <f t="shared" si="230"/>
        <v>3.5791719786597731E-2</v>
      </c>
      <c r="U322" s="40">
        <v>3.3066000000000009</v>
      </c>
      <c r="V322" s="40">
        <v>1.2</v>
      </c>
      <c r="W322" s="41">
        <v>0.1</v>
      </c>
      <c r="X322" s="40">
        <v>1.5733674705659491</v>
      </c>
      <c r="Y322" s="42">
        <v>0.81428540068826316</v>
      </c>
      <c r="Z322" s="42">
        <v>12.746912129930548</v>
      </c>
      <c r="AA322" s="42">
        <v>86.438802469381187</v>
      </c>
      <c r="AB322" s="42">
        <v>3</v>
      </c>
      <c r="AC322" s="125">
        <v>1.1000000000000001</v>
      </c>
      <c r="AD322" s="94">
        <f t="shared" si="256"/>
        <v>7.0665121848729293E-2</v>
      </c>
      <c r="AE322" s="94">
        <f t="shared" si="263"/>
        <v>0.11118220402036978</v>
      </c>
      <c r="AF322" s="96">
        <f t="shared" si="264"/>
        <v>9.0534045550131031E-4</v>
      </c>
      <c r="AG322" s="95">
        <f t="shared" si="270"/>
        <v>1.4172297850596644E-2</v>
      </c>
      <c r="AH322" s="94">
        <f t="shared" si="271"/>
        <v>9.6104565714271825E-2</v>
      </c>
      <c r="AI322" s="94">
        <f t="shared" si="265"/>
        <v>0.33354661206110936</v>
      </c>
      <c r="AJ322" s="96">
        <f t="shared" si="231"/>
        <v>2.9597705766188963E-3</v>
      </c>
      <c r="AK322" s="95">
        <f t="shared" si="232"/>
        <v>1.7706328555177051E-2</v>
      </c>
      <c r="AL322" s="95">
        <f t="shared" si="233"/>
        <v>2.1258446775894967E-2</v>
      </c>
      <c r="AM322" s="94">
        <f t="shared" si="234"/>
        <v>0.14415684857140773</v>
      </c>
      <c r="AN322" s="93">
        <f t="shared" si="235"/>
        <v>2.3348262844277654</v>
      </c>
      <c r="AO322" s="96">
        <f t="shared" si="236"/>
        <v>4.439655864928344E-3</v>
      </c>
      <c r="AP322" s="95">
        <f t="shared" si="237"/>
        <v>2.6559492832765576E-2</v>
      </c>
      <c r="AQ322" s="93">
        <f t="shared" si="238"/>
        <v>0.1356119753061881</v>
      </c>
      <c r="AR322" s="31">
        <v>1.5</v>
      </c>
      <c r="AS322" s="31">
        <v>1.5</v>
      </c>
      <c r="AT322" s="31">
        <v>7</v>
      </c>
      <c r="AU322" s="43">
        <v>0.08</v>
      </c>
      <c r="AV322" s="44">
        <v>0.3</v>
      </c>
      <c r="AW322" s="43">
        <v>1.9E-2</v>
      </c>
      <c r="AX322" s="44">
        <v>0.14000000000000001</v>
      </c>
      <c r="AY322" s="40">
        <v>6.7734314201523551</v>
      </c>
      <c r="AZ322" s="41">
        <v>0.5</v>
      </c>
      <c r="BA322" s="40">
        <v>0.72</v>
      </c>
      <c r="BB322" s="45">
        <v>1</v>
      </c>
      <c r="BC322" s="41">
        <v>11.280218363357537</v>
      </c>
      <c r="BD322" s="41">
        <v>47.541244098024215</v>
      </c>
      <c r="BE322" s="41">
        <v>41.178537538618251</v>
      </c>
      <c r="BF322" s="125">
        <v>1.1000000000000001</v>
      </c>
      <c r="BG322" s="48">
        <f t="shared" si="257"/>
        <v>4.3206518882053686E-3</v>
      </c>
      <c r="BH322" s="48">
        <f t="shared" si="266"/>
        <v>4.3206518882053686E-3</v>
      </c>
      <c r="BI322" s="99">
        <f t="shared" si="267"/>
        <v>4.873789677100962E-4</v>
      </c>
      <c r="BJ322" s="99">
        <f t="shared" si="258"/>
        <v>2.0540916607976068E-3</v>
      </c>
      <c r="BK322" s="48">
        <f t="shared" si="268"/>
        <v>1.7791812596976661E-3</v>
      </c>
      <c r="BL322" s="99">
        <f t="shared" si="239"/>
        <v>3.2849400148471126E-4</v>
      </c>
      <c r="BM322" s="48">
        <f t="shared" si="240"/>
        <v>1.2185547494745282E-3</v>
      </c>
      <c r="BN322" s="48">
        <f t="shared" si="241"/>
        <v>3.0811374911964102E-3</v>
      </c>
      <c r="BO322" s="48">
        <f t="shared" si="242"/>
        <v>2.6687718895464993E-3</v>
      </c>
      <c r="BP322" s="99">
        <f t="shared" si="243"/>
        <v>4.9274100222706694E-4</v>
      </c>
      <c r="BQ322" s="48">
        <f t="shared" si="244"/>
        <v>1.827832124211792E-3</v>
      </c>
      <c r="BR322" s="40">
        <f t="shared" si="245"/>
        <v>0.58821462461381757</v>
      </c>
      <c r="BS322" s="31">
        <v>1.5</v>
      </c>
      <c r="BT322" s="31">
        <v>1.5</v>
      </c>
      <c r="BU322" s="43">
        <v>0.14000000000000001</v>
      </c>
      <c r="BV322" s="44">
        <v>0.42</v>
      </c>
      <c r="BW322" s="43">
        <v>2.3E-2</v>
      </c>
      <c r="BX322" s="44">
        <v>0.2</v>
      </c>
      <c r="BY322" s="40">
        <v>17.442066059404368</v>
      </c>
      <c r="BZ322" s="40">
        <v>0.52</v>
      </c>
      <c r="CA322" s="40">
        <v>0.65</v>
      </c>
      <c r="CB322" s="45">
        <v>1</v>
      </c>
      <c r="CC322" s="41">
        <v>3.3053800540389702</v>
      </c>
      <c r="CD322" s="41">
        <v>20.327520115960358</v>
      </c>
      <c r="CE322" s="41">
        <v>76.367099830000683</v>
      </c>
      <c r="CF322" s="125">
        <v>1.1000000000000001</v>
      </c>
      <c r="CG322" s="40">
        <f t="shared" si="259"/>
        <v>2.5202924621405578E-2</v>
      </c>
      <c r="CH322" s="40">
        <f t="shared" si="269"/>
        <v>2.5202924621405578E-2</v>
      </c>
      <c r="CI322" s="99">
        <f t="shared" si="260"/>
        <v>8.3305244347041656E-4</v>
      </c>
      <c r="CJ322" s="100">
        <f t="shared" si="261"/>
        <v>5.1231295722265445E-3</v>
      </c>
      <c r="CK322" s="100">
        <f t="shared" si="262"/>
        <v>1.9246742605708619E-2</v>
      </c>
      <c r="CL322" s="101">
        <f t="shared" si="246"/>
        <v>1.044572791248199E-3</v>
      </c>
      <c r="CM322" s="100">
        <f t="shared" si="247"/>
        <v>4.9362632197469105E-3</v>
      </c>
      <c r="CN322" s="100">
        <f t="shared" si="248"/>
        <v>7.6846943583398167E-3</v>
      </c>
      <c r="CO322" s="100">
        <f t="shared" si="249"/>
        <v>2.8870113908562929E-2</v>
      </c>
      <c r="CP322" s="101">
        <f t="shared" si="250"/>
        <v>1.5668591868722988E-3</v>
      </c>
      <c r="CQ322" s="100">
        <f t="shared" si="251"/>
        <v>7.4043948296203662E-3</v>
      </c>
      <c r="CR322" s="99">
        <f t="shared" si="252"/>
        <v>0.23632900169999327</v>
      </c>
      <c r="CS322" s="31">
        <v>1.5</v>
      </c>
      <c r="CT322" s="31">
        <v>1.5</v>
      </c>
      <c r="CU322" s="43">
        <v>0.125</v>
      </c>
      <c r="CV322" s="44">
        <v>0.4</v>
      </c>
      <c r="CW322" s="43">
        <v>2.1000000000000001E-2</v>
      </c>
      <c r="CX322" s="44">
        <v>0.15</v>
      </c>
    </row>
    <row r="323" spans="1:102" x14ac:dyDescent="0.25">
      <c r="A323" s="31">
        <v>309</v>
      </c>
      <c r="B323" s="83" t="s">
        <v>254</v>
      </c>
      <c r="C323" s="31">
        <v>70</v>
      </c>
      <c r="D323" s="31" t="s">
        <v>36</v>
      </c>
      <c r="E323" s="31" t="s">
        <v>6</v>
      </c>
      <c r="F323" s="31" t="s">
        <v>64</v>
      </c>
      <c r="G323" s="31" t="str">
        <f t="shared" si="253"/>
        <v>Kommunal 70 Y 4S F</v>
      </c>
      <c r="H323" s="48">
        <f t="shared" si="220"/>
        <v>5.3296218832574349E-2</v>
      </c>
      <c r="I323" s="40">
        <f t="shared" si="221"/>
        <v>6.5565005004603633E-2</v>
      </c>
      <c r="J323" s="99">
        <f t="shared" si="222"/>
        <v>1.6154816611519654E-3</v>
      </c>
      <c r="K323" s="48">
        <f t="shared" si="223"/>
        <v>1.3445522997570757E-2</v>
      </c>
      <c r="L323" s="48">
        <f t="shared" si="224"/>
        <v>5.0504000345880921E-2</v>
      </c>
      <c r="M323" s="48">
        <f t="shared" si="254"/>
        <v>0.1441657139799708</v>
      </c>
      <c r="N323" s="99">
        <f t="shared" si="225"/>
        <v>2.4346143870256571E-3</v>
      </c>
      <c r="O323" s="48">
        <f t="shared" si="226"/>
        <v>1.2162239205851869E-2</v>
      </c>
      <c r="P323" s="48">
        <f t="shared" si="227"/>
        <v>2.0168284496356135E-2</v>
      </c>
      <c r="Q323" s="48">
        <f t="shared" si="228"/>
        <v>7.5756000518821379E-2</v>
      </c>
      <c r="R323" s="40">
        <f t="shared" si="255"/>
        <v>1.0091599978597956</v>
      </c>
      <c r="S323" s="99">
        <f t="shared" si="229"/>
        <v>3.6519215805384852E-3</v>
      </c>
      <c r="T323" s="48">
        <f t="shared" si="230"/>
        <v>1.8243358808777803E-2</v>
      </c>
      <c r="U323" s="40">
        <v>1.5760800000000001</v>
      </c>
      <c r="V323" s="40">
        <v>1.25</v>
      </c>
      <c r="W323" s="40">
        <v>0.45</v>
      </c>
      <c r="X323" s="40">
        <v>1.5160884518158142</v>
      </c>
      <c r="Y323" s="42">
        <v>0.81864194148809843</v>
      </c>
      <c r="Z323" s="42">
        <v>17.391934854683893</v>
      </c>
      <c r="AA323" s="42">
        <v>81.789423203828008</v>
      </c>
      <c r="AB323" s="42">
        <v>4.0000000000000009</v>
      </c>
      <c r="AC323" s="125">
        <v>1.1000000000000001</v>
      </c>
      <c r="AD323" s="94">
        <f t="shared" si="256"/>
        <v>2.377264232296341E-2</v>
      </c>
      <c r="AE323" s="94">
        <f t="shared" si="263"/>
        <v>3.6041428494992693E-2</v>
      </c>
      <c r="AF323" s="96">
        <f t="shared" si="264"/>
        <v>2.9505024997145292E-4</v>
      </c>
      <c r="AG323" s="95">
        <f t="shared" si="270"/>
        <v>6.268301764546607E-3</v>
      </c>
      <c r="AH323" s="94">
        <f t="shared" si="271"/>
        <v>2.9478076480474635E-2</v>
      </c>
      <c r="AI323" s="94">
        <f t="shared" si="265"/>
        <v>0.1441657139799708</v>
      </c>
      <c r="AJ323" s="96">
        <f t="shared" si="231"/>
        <v>1.0615475942927467E-3</v>
      </c>
      <c r="AK323" s="95">
        <f t="shared" si="232"/>
        <v>6.0074212366304312E-3</v>
      </c>
      <c r="AL323" s="95">
        <f t="shared" si="233"/>
        <v>9.4024526468199105E-3</v>
      </c>
      <c r="AM323" s="94">
        <f t="shared" si="234"/>
        <v>4.421711472071195E-2</v>
      </c>
      <c r="AN323" s="93">
        <f t="shared" si="235"/>
        <v>1.0091599978597956</v>
      </c>
      <c r="AO323" s="96">
        <f t="shared" si="236"/>
        <v>1.5923213914391199E-3</v>
      </c>
      <c r="AP323" s="95">
        <f t="shared" si="237"/>
        <v>9.0111318549456459E-3</v>
      </c>
      <c r="AQ323" s="93">
        <f t="shared" si="238"/>
        <v>0.18210576796171993</v>
      </c>
      <c r="AR323" s="31">
        <v>1.5</v>
      </c>
      <c r="AS323" s="31">
        <v>1.5</v>
      </c>
      <c r="AT323" s="31">
        <v>7</v>
      </c>
      <c r="AU323" s="43">
        <v>0.08</v>
      </c>
      <c r="AV323" s="44">
        <v>0.3</v>
      </c>
      <c r="AW323" s="43">
        <v>1.9E-2</v>
      </c>
      <c r="AX323" s="44">
        <v>0.14000000000000001</v>
      </c>
      <c r="AY323" s="40">
        <v>6.7734314201523542</v>
      </c>
      <c r="AZ323" s="41">
        <v>0.5</v>
      </c>
      <c r="BA323" s="40">
        <v>0.72</v>
      </c>
      <c r="BB323" s="45">
        <v>1</v>
      </c>
      <c r="BC323" s="41">
        <v>11.280218363357539</v>
      </c>
      <c r="BD323" s="41">
        <v>47.541244098024222</v>
      </c>
      <c r="BE323" s="41">
        <v>41.178537538618244</v>
      </c>
      <c r="BF323" s="125">
        <v>1.1000000000000001</v>
      </c>
      <c r="BG323" s="48">
        <f t="shared" si="257"/>
        <v>4.3206518882053669E-3</v>
      </c>
      <c r="BH323" s="48">
        <f t="shared" si="266"/>
        <v>4.3206518882053669E-3</v>
      </c>
      <c r="BI323" s="99">
        <f t="shared" si="267"/>
        <v>4.8737896771009604E-4</v>
      </c>
      <c r="BJ323" s="99">
        <f t="shared" si="258"/>
        <v>2.0540916607976064E-3</v>
      </c>
      <c r="BK323" s="48">
        <f t="shared" si="268"/>
        <v>1.779181259697665E-3</v>
      </c>
      <c r="BL323" s="99">
        <f t="shared" si="239"/>
        <v>3.284940014847112E-4</v>
      </c>
      <c r="BM323" s="48">
        <f t="shared" si="240"/>
        <v>1.2185547494745277E-3</v>
      </c>
      <c r="BN323" s="48">
        <f t="shared" si="241"/>
        <v>3.0811374911964094E-3</v>
      </c>
      <c r="BO323" s="48">
        <f t="shared" si="242"/>
        <v>2.6687718895464976E-3</v>
      </c>
      <c r="BP323" s="99">
        <f t="shared" si="243"/>
        <v>4.9274100222706683E-4</v>
      </c>
      <c r="BQ323" s="48">
        <f t="shared" si="244"/>
        <v>1.8278321242117914E-3</v>
      </c>
      <c r="BR323" s="40">
        <f t="shared" si="245"/>
        <v>0.58821462461381768</v>
      </c>
      <c r="BS323" s="31">
        <v>1.5</v>
      </c>
      <c r="BT323" s="31">
        <v>1.5</v>
      </c>
      <c r="BU323" s="43">
        <v>0.14000000000000001</v>
      </c>
      <c r="BV323" s="44">
        <v>0.42</v>
      </c>
      <c r="BW323" s="43">
        <v>2.3E-2</v>
      </c>
      <c r="BX323" s="44">
        <v>0.2</v>
      </c>
      <c r="BY323" s="40">
        <v>17.442066059404368</v>
      </c>
      <c r="BZ323" s="40">
        <v>0.52</v>
      </c>
      <c r="CA323" s="40">
        <v>0.65</v>
      </c>
      <c r="CB323" s="45">
        <v>1</v>
      </c>
      <c r="CC323" s="41">
        <v>3.3053800540389693</v>
      </c>
      <c r="CD323" s="41">
        <v>20.327520115960354</v>
      </c>
      <c r="CE323" s="41">
        <v>76.367099830000683</v>
      </c>
      <c r="CF323" s="125">
        <v>1.1000000000000001</v>
      </c>
      <c r="CG323" s="40">
        <f t="shared" si="259"/>
        <v>2.5202924621405578E-2</v>
      </c>
      <c r="CH323" s="40">
        <f t="shared" si="269"/>
        <v>2.5202924621405578E-2</v>
      </c>
      <c r="CI323" s="99">
        <f t="shared" si="260"/>
        <v>8.3305244347041635E-4</v>
      </c>
      <c r="CJ323" s="100">
        <f t="shared" si="261"/>
        <v>5.1231295722265436E-3</v>
      </c>
      <c r="CK323" s="100">
        <f t="shared" si="262"/>
        <v>1.9246742605708619E-2</v>
      </c>
      <c r="CL323" s="101">
        <f t="shared" si="246"/>
        <v>1.044572791248199E-3</v>
      </c>
      <c r="CM323" s="100">
        <f t="shared" si="247"/>
        <v>4.9362632197469097E-3</v>
      </c>
      <c r="CN323" s="100">
        <f t="shared" si="248"/>
        <v>7.684694358339815E-3</v>
      </c>
      <c r="CO323" s="100">
        <f t="shared" si="249"/>
        <v>2.8870113908562929E-2</v>
      </c>
      <c r="CP323" s="101">
        <f t="shared" si="250"/>
        <v>1.5668591868722983E-3</v>
      </c>
      <c r="CQ323" s="100">
        <f t="shared" si="251"/>
        <v>7.4043948296203654E-3</v>
      </c>
      <c r="CR323" s="99">
        <f t="shared" si="252"/>
        <v>0.23632900169999324</v>
      </c>
      <c r="CS323" s="31">
        <v>1.5</v>
      </c>
      <c r="CT323" s="31">
        <v>1.5</v>
      </c>
      <c r="CU323" s="43">
        <v>0.125</v>
      </c>
      <c r="CV323" s="44">
        <v>0.4</v>
      </c>
      <c r="CW323" s="43">
        <v>2.1000000000000001E-2</v>
      </c>
      <c r="CX323" s="44">
        <v>0.15</v>
      </c>
    </row>
    <row r="324" spans="1:102" x14ac:dyDescent="0.25">
      <c r="A324" s="31">
        <v>310</v>
      </c>
      <c r="B324" s="83" t="s">
        <v>254</v>
      </c>
      <c r="C324" s="31">
        <v>70</v>
      </c>
      <c r="D324" s="31" t="s">
        <v>26</v>
      </c>
      <c r="E324" s="31" t="s">
        <v>99</v>
      </c>
      <c r="F324" s="31" t="s">
        <v>12</v>
      </c>
      <c r="G324" s="31" t="str">
        <f t="shared" si="253"/>
        <v>Statlig 70 - 4S A</v>
      </c>
      <c r="H324" s="48">
        <f t="shared" si="220"/>
        <v>0.1302686101395899</v>
      </c>
      <c r="I324" s="40">
        <f t="shared" si="221"/>
        <v>0.1927208637476889</v>
      </c>
      <c r="J324" s="99">
        <f t="shared" si="222"/>
        <v>4.0094216398427335E-3</v>
      </c>
      <c r="K324" s="48">
        <f t="shared" si="223"/>
        <v>4.1754226204966202E-2</v>
      </c>
      <c r="L324" s="48">
        <f t="shared" si="224"/>
        <v>0.14695721590287997</v>
      </c>
      <c r="M324" s="48">
        <f t="shared" si="254"/>
        <v>0.3807936702221818</v>
      </c>
      <c r="N324" s="99">
        <f t="shared" si="225"/>
        <v>6.7935346658232094E-3</v>
      </c>
      <c r="O324" s="48">
        <f t="shared" si="226"/>
        <v>3.35898982575163E-2</v>
      </c>
      <c r="P324" s="48">
        <f t="shared" si="227"/>
        <v>7.0982184548442545E-2</v>
      </c>
      <c r="Q324" s="48">
        <f t="shared" si="228"/>
        <v>0.24982726703489591</v>
      </c>
      <c r="R324" s="40">
        <f t="shared" si="255"/>
        <v>2.6655556915552725</v>
      </c>
      <c r="S324" s="99">
        <f t="shared" si="229"/>
        <v>1.1549008931899456E-2</v>
      </c>
      <c r="T324" s="48">
        <f t="shared" si="230"/>
        <v>5.7102827037777699E-2</v>
      </c>
      <c r="U324" s="40">
        <v>6.6792000000000025</v>
      </c>
      <c r="V324" s="40">
        <v>1.25</v>
      </c>
      <c r="W324" s="40">
        <v>0.45</v>
      </c>
      <c r="X324" s="40">
        <v>1.6199040424908342</v>
      </c>
      <c r="Y324" s="42">
        <v>1.6476929697608438</v>
      </c>
      <c r="Z324" s="42">
        <v>21.187242482468413</v>
      </c>
      <c r="AA324" s="42">
        <v>77.16506454777074</v>
      </c>
      <c r="AB324" s="42">
        <v>2.333333333333333</v>
      </c>
      <c r="AC324" s="125">
        <v>1.1000000000000001</v>
      </c>
      <c r="AD324" s="94">
        <f t="shared" si="256"/>
        <v>0.10074503362997896</v>
      </c>
      <c r="AE324" s="94">
        <f t="shared" si="263"/>
        <v>0.16319728723807794</v>
      </c>
      <c r="AF324" s="96">
        <f t="shared" si="264"/>
        <v>2.6889902286622207E-3</v>
      </c>
      <c r="AG324" s="95">
        <f t="shared" si="270"/>
        <v>3.4577004971942056E-2</v>
      </c>
      <c r="AH324" s="94">
        <f t="shared" si="271"/>
        <v>0.12593129203747366</v>
      </c>
      <c r="AI324" s="94">
        <f t="shared" si="265"/>
        <v>0.3807936702221818</v>
      </c>
      <c r="AJ324" s="96">
        <f t="shared" si="231"/>
        <v>5.3317399713270746E-3</v>
      </c>
      <c r="AK324" s="95">
        <f t="shared" si="232"/>
        <v>2.7089939506173617E-2</v>
      </c>
      <c r="AL324" s="95">
        <f t="shared" si="233"/>
        <v>5.8780908452301495E-2</v>
      </c>
      <c r="AM324" s="94">
        <f t="shared" si="234"/>
        <v>0.21408319646370522</v>
      </c>
      <c r="AN324" s="93">
        <f t="shared" si="235"/>
        <v>2.6655556915552725</v>
      </c>
      <c r="AO324" s="96">
        <f t="shared" si="236"/>
        <v>9.0639579512560263E-3</v>
      </c>
      <c r="AP324" s="95">
        <f t="shared" si="237"/>
        <v>4.605289716049514E-2</v>
      </c>
      <c r="AQ324" s="93">
        <f t="shared" si="238"/>
        <v>0.2283493545222926</v>
      </c>
      <c r="AR324" s="31">
        <v>1.7</v>
      </c>
      <c r="AS324" s="31">
        <v>1.7</v>
      </c>
      <c r="AT324" s="31">
        <v>7</v>
      </c>
      <c r="AU324" s="43">
        <v>8.5000000000000006E-2</v>
      </c>
      <c r="AV324" s="44">
        <v>0.31</v>
      </c>
      <c r="AW324" s="19">
        <v>1.9E-2</v>
      </c>
      <c r="AX324" s="44">
        <v>0.13</v>
      </c>
      <c r="AY324" s="40">
        <v>6.7734314201523542</v>
      </c>
      <c r="AZ324" s="41">
        <v>0.5</v>
      </c>
      <c r="BA324" s="40">
        <v>0.72</v>
      </c>
      <c r="BB324" s="45">
        <v>1</v>
      </c>
      <c r="BC324" s="41">
        <v>11.280218363357539</v>
      </c>
      <c r="BD324" s="41">
        <v>47.541244098024222</v>
      </c>
      <c r="BE324" s="41">
        <v>41.178537538618244</v>
      </c>
      <c r="BF324" s="125">
        <v>1.1000000000000001</v>
      </c>
      <c r="BG324" s="48">
        <f t="shared" si="257"/>
        <v>4.3206518882053669E-3</v>
      </c>
      <c r="BH324" s="48">
        <f t="shared" si="266"/>
        <v>4.3206518882053669E-3</v>
      </c>
      <c r="BI324" s="99">
        <f t="shared" si="267"/>
        <v>4.8737896771009604E-4</v>
      </c>
      <c r="BJ324" s="99">
        <f t="shared" si="258"/>
        <v>2.0540916607976064E-3</v>
      </c>
      <c r="BK324" s="48">
        <f t="shared" si="268"/>
        <v>1.779181259697665E-3</v>
      </c>
      <c r="BL324" s="99">
        <f t="shared" si="239"/>
        <v>2.8207462448966608E-4</v>
      </c>
      <c r="BM324" s="48">
        <f t="shared" si="240"/>
        <v>1.1912184363135727E-3</v>
      </c>
      <c r="BN324" s="48">
        <f t="shared" si="241"/>
        <v>3.4919558233559309E-3</v>
      </c>
      <c r="BO324" s="48">
        <f t="shared" si="242"/>
        <v>3.0246081414860302E-3</v>
      </c>
      <c r="BP324" s="99">
        <f t="shared" si="243"/>
        <v>4.7952686163243232E-4</v>
      </c>
      <c r="BQ324" s="48">
        <f t="shared" si="244"/>
        <v>2.0250713417330735E-3</v>
      </c>
      <c r="BR324" s="40">
        <f t="shared" si="245"/>
        <v>0.58821462461381768</v>
      </c>
      <c r="BS324" s="31">
        <v>1.7</v>
      </c>
      <c r="BT324" s="31">
        <v>1.7</v>
      </c>
      <c r="BU324" s="43">
        <v>0.12</v>
      </c>
      <c r="BV324" s="44">
        <v>0.45</v>
      </c>
      <c r="BW324" s="19">
        <v>0.02</v>
      </c>
      <c r="BX324" s="44">
        <v>0.15</v>
      </c>
      <c r="BY324" s="40">
        <v>17.442066059404375</v>
      </c>
      <c r="BZ324" s="40">
        <v>0.52</v>
      </c>
      <c r="CA324" s="40">
        <v>0.65</v>
      </c>
      <c r="CB324" s="45">
        <v>1</v>
      </c>
      <c r="CC324" s="41">
        <v>3.3053800540389693</v>
      </c>
      <c r="CD324" s="41">
        <v>20.32752011596035</v>
      </c>
      <c r="CE324" s="41">
        <v>76.367099830000669</v>
      </c>
      <c r="CF324" s="125">
        <v>1.1000000000000001</v>
      </c>
      <c r="CG324" s="40">
        <f t="shared" si="259"/>
        <v>2.5202924621405585E-2</v>
      </c>
      <c r="CH324" s="40">
        <f t="shared" si="269"/>
        <v>2.5202924621405585E-2</v>
      </c>
      <c r="CI324" s="99">
        <f t="shared" si="260"/>
        <v>8.3305244347041656E-4</v>
      </c>
      <c r="CJ324" s="100">
        <f t="shared" si="261"/>
        <v>5.1231295722265445E-3</v>
      </c>
      <c r="CK324" s="100">
        <f t="shared" si="262"/>
        <v>1.9246742605708623E-2</v>
      </c>
      <c r="CL324" s="101">
        <f t="shared" si="246"/>
        <v>1.1797200700064685E-3</v>
      </c>
      <c r="CM324" s="100">
        <f t="shared" si="247"/>
        <v>5.308740315029108E-3</v>
      </c>
      <c r="CN324" s="100">
        <f t="shared" si="248"/>
        <v>8.7093202727851256E-3</v>
      </c>
      <c r="CO324" s="100">
        <f t="shared" si="249"/>
        <v>3.2719462429704659E-2</v>
      </c>
      <c r="CP324" s="101">
        <f t="shared" si="250"/>
        <v>2.0055241190109962E-3</v>
      </c>
      <c r="CQ324" s="100">
        <f t="shared" si="251"/>
        <v>9.0248585355494834E-3</v>
      </c>
      <c r="CR324" s="99">
        <f t="shared" si="252"/>
        <v>0.23632900169999321</v>
      </c>
      <c r="CS324" s="31">
        <v>1.7</v>
      </c>
      <c r="CT324" s="31">
        <v>1.7</v>
      </c>
      <c r="CU324" s="43">
        <v>0.08</v>
      </c>
      <c r="CV324" s="44">
        <v>0.36</v>
      </c>
      <c r="CW324" s="19">
        <v>0.04</v>
      </c>
      <c r="CX324" s="44">
        <v>0.18</v>
      </c>
    </row>
    <row r="325" spans="1:102" x14ac:dyDescent="0.25">
      <c r="A325" s="31">
        <v>311</v>
      </c>
      <c r="B325" s="83" t="s">
        <v>254</v>
      </c>
      <c r="C325" s="31">
        <v>70</v>
      </c>
      <c r="D325" s="31" t="s">
        <v>26</v>
      </c>
      <c r="E325" s="31" t="s">
        <v>99</v>
      </c>
      <c r="F325" s="31" t="s">
        <v>13</v>
      </c>
      <c r="G325" s="31" t="str">
        <f t="shared" si="253"/>
        <v>Statlig 70 - 4S B</v>
      </c>
      <c r="H325" s="48">
        <f t="shared" si="220"/>
        <v>0.1302686101395899</v>
      </c>
      <c r="I325" s="40">
        <f t="shared" si="221"/>
        <v>0.1927208637476889</v>
      </c>
      <c r="J325" s="99">
        <f t="shared" si="222"/>
        <v>4.0094216398427335E-3</v>
      </c>
      <c r="K325" s="48">
        <f t="shared" si="223"/>
        <v>4.1754226204966202E-2</v>
      </c>
      <c r="L325" s="48">
        <f t="shared" si="224"/>
        <v>0.14695721590287997</v>
      </c>
      <c r="M325" s="48">
        <f t="shared" si="254"/>
        <v>0.3807936702221818</v>
      </c>
      <c r="N325" s="99">
        <f t="shared" si="225"/>
        <v>6.7935346658232094E-3</v>
      </c>
      <c r="O325" s="48">
        <f t="shared" si="226"/>
        <v>3.35898982575163E-2</v>
      </c>
      <c r="P325" s="48">
        <f t="shared" si="227"/>
        <v>7.0982184548442545E-2</v>
      </c>
      <c r="Q325" s="48">
        <f t="shared" si="228"/>
        <v>0.24982726703489591</v>
      </c>
      <c r="R325" s="40">
        <f t="shared" si="255"/>
        <v>2.6655556915552725</v>
      </c>
      <c r="S325" s="99">
        <f t="shared" si="229"/>
        <v>1.1549008931899456E-2</v>
      </c>
      <c r="T325" s="48">
        <f t="shared" si="230"/>
        <v>5.7102827037777699E-2</v>
      </c>
      <c r="U325" s="40">
        <v>6.6792000000000025</v>
      </c>
      <c r="V325" s="40">
        <v>1.25</v>
      </c>
      <c r="W325" s="40">
        <v>0.45</v>
      </c>
      <c r="X325" s="40">
        <v>1.6199040424908342</v>
      </c>
      <c r="Y325" s="42">
        <v>1.6476929697608438</v>
      </c>
      <c r="Z325" s="42">
        <v>21.187242482468413</v>
      </c>
      <c r="AA325" s="42">
        <v>77.16506454777074</v>
      </c>
      <c r="AB325" s="42">
        <v>2.333333333333333</v>
      </c>
      <c r="AC325" s="125">
        <v>1.1000000000000001</v>
      </c>
      <c r="AD325" s="94">
        <f t="shared" si="256"/>
        <v>0.10074503362997896</v>
      </c>
      <c r="AE325" s="94">
        <f t="shared" si="263"/>
        <v>0.16319728723807794</v>
      </c>
      <c r="AF325" s="96">
        <f t="shared" si="264"/>
        <v>2.6889902286622207E-3</v>
      </c>
      <c r="AG325" s="95">
        <f t="shared" si="270"/>
        <v>3.4577004971942056E-2</v>
      </c>
      <c r="AH325" s="94">
        <f t="shared" si="271"/>
        <v>0.12593129203747366</v>
      </c>
      <c r="AI325" s="94">
        <f t="shared" si="265"/>
        <v>0.3807936702221818</v>
      </c>
      <c r="AJ325" s="96">
        <f t="shared" si="231"/>
        <v>5.3317399713270746E-3</v>
      </c>
      <c r="AK325" s="95">
        <f t="shared" si="232"/>
        <v>2.7089939506173617E-2</v>
      </c>
      <c r="AL325" s="95">
        <f t="shared" si="233"/>
        <v>5.8780908452301495E-2</v>
      </c>
      <c r="AM325" s="94">
        <f t="shared" si="234"/>
        <v>0.21408319646370522</v>
      </c>
      <c r="AN325" s="93">
        <f t="shared" si="235"/>
        <v>2.6655556915552725</v>
      </c>
      <c r="AO325" s="96">
        <f t="shared" si="236"/>
        <v>9.0639579512560263E-3</v>
      </c>
      <c r="AP325" s="95">
        <f t="shared" si="237"/>
        <v>4.605289716049514E-2</v>
      </c>
      <c r="AQ325" s="93">
        <f t="shared" si="238"/>
        <v>0.2283493545222926</v>
      </c>
      <c r="AR325" s="31">
        <v>1.7</v>
      </c>
      <c r="AS325" s="31">
        <v>1.7</v>
      </c>
      <c r="AT325" s="31">
        <v>7</v>
      </c>
      <c r="AU325" s="43">
        <v>8.5000000000000006E-2</v>
      </c>
      <c r="AV325" s="44">
        <v>0.31</v>
      </c>
      <c r="AW325" s="19">
        <v>1.9E-2</v>
      </c>
      <c r="AX325" s="44">
        <v>0.13</v>
      </c>
      <c r="AY325" s="40">
        <v>6.7734314201523542</v>
      </c>
      <c r="AZ325" s="41">
        <v>0.5</v>
      </c>
      <c r="BA325" s="40">
        <v>0.72</v>
      </c>
      <c r="BB325" s="45">
        <v>1</v>
      </c>
      <c r="BC325" s="41">
        <v>11.280218363357539</v>
      </c>
      <c r="BD325" s="41">
        <v>47.541244098024222</v>
      </c>
      <c r="BE325" s="41">
        <v>41.178537538618244</v>
      </c>
      <c r="BF325" s="125">
        <v>1.1000000000000001</v>
      </c>
      <c r="BG325" s="48">
        <f t="shared" si="257"/>
        <v>4.3206518882053669E-3</v>
      </c>
      <c r="BH325" s="48">
        <f t="shared" si="266"/>
        <v>4.3206518882053669E-3</v>
      </c>
      <c r="BI325" s="99">
        <f t="shared" si="267"/>
        <v>4.8737896771009604E-4</v>
      </c>
      <c r="BJ325" s="99">
        <f t="shared" si="258"/>
        <v>2.0540916607976064E-3</v>
      </c>
      <c r="BK325" s="48">
        <f t="shared" si="268"/>
        <v>1.779181259697665E-3</v>
      </c>
      <c r="BL325" s="99">
        <f t="shared" si="239"/>
        <v>2.8207462448966608E-4</v>
      </c>
      <c r="BM325" s="48">
        <f t="shared" si="240"/>
        <v>1.1912184363135727E-3</v>
      </c>
      <c r="BN325" s="48">
        <f t="shared" si="241"/>
        <v>3.4919558233559309E-3</v>
      </c>
      <c r="BO325" s="48">
        <f t="shared" si="242"/>
        <v>3.0246081414860302E-3</v>
      </c>
      <c r="BP325" s="99">
        <f t="shared" si="243"/>
        <v>4.7952686163243232E-4</v>
      </c>
      <c r="BQ325" s="48">
        <f t="shared" si="244"/>
        <v>2.0250713417330735E-3</v>
      </c>
      <c r="BR325" s="40">
        <f t="shared" si="245"/>
        <v>0.58821462461381768</v>
      </c>
      <c r="BS325" s="31">
        <v>1.7</v>
      </c>
      <c r="BT325" s="31">
        <v>1.7</v>
      </c>
      <c r="BU325" s="43">
        <v>0.12</v>
      </c>
      <c r="BV325" s="44">
        <v>0.45</v>
      </c>
      <c r="BW325" s="19">
        <v>0.02</v>
      </c>
      <c r="BX325" s="44">
        <v>0.15</v>
      </c>
      <c r="BY325" s="40">
        <v>17.442066059404375</v>
      </c>
      <c r="BZ325" s="40">
        <v>0.52</v>
      </c>
      <c r="CA325" s="40">
        <v>0.65</v>
      </c>
      <c r="CB325" s="45">
        <v>1</v>
      </c>
      <c r="CC325" s="41">
        <v>3.3053800540389693</v>
      </c>
      <c r="CD325" s="41">
        <v>20.32752011596035</v>
      </c>
      <c r="CE325" s="41">
        <v>76.367099830000669</v>
      </c>
      <c r="CF325" s="125">
        <v>1.1000000000000001</v>
      </c>
      <c r="CG325" s="40">
        <f t="shared" si="259"/>
        <v>2.5202924621405585E-2</v>
      </c>
      <c r="CH325" s="40">
        <f t="shared" si="269"/>
        <v>2.5202924621405585E-2</v>
      </c>
      <c r="CI325" s="99">
        <f t="shared" si="260"/>
        <v>8.3305244347041656E-4</v>
      </c>
      <c r="CJ325" s="100">
        <f t="shared" si="261"/>
        <v>5.1231295722265445E-3</v>
      </c>
      <c r="CK325" s="100">
        <f t="shared" si="262"/>
        <v>1.9246742605708623E-2</v>
      </c>
      <c r="CL325" s="101">
        <f t="shared" si="246"/>
        <v>1.1797200700064685E-3</v>
      </c>
      <c r="CM325" s="100">
        <f t="shared" si="247"/>
        <v>5.308740315029108E-3</v>
      </c>
      <c r="CN325" s="100">
        <f t="shared" si="248"/>
        <v>8.7093202727851256E-3</v>
      </c>
      <c r="CO325" s="100">
        <f t="shared" si="249"/>
        <v>3.2719462429704659E-2</v>
      </c>
      <c r="CP325" s="101">
        <f t="shared" si="250"/>
        <v>2.0055241190109962E-3</v>
      </c>
      <c r="CQ325" s="100">
        <f t="shared" si="251"/>
        <v>9.0248585355494834E-3</v>
      </c>
      <c r="CR325" s="99">
        <f t="shared" si="252"/>
        <v>0.23632900169999321</v>
      </c>
      <c r="CS325" s="31">
        <v>1.7</v>
      </c>
      <c r="CT325" s="31">
        <v>1.7</v>
      </c>
      <c r="CU325" s="43">
        <v>0.08</v>
      </c>
      <c r="CV325" s="44">
        <v>0.36</v>
      </c>
      <c r="CW325" s="19">
        <v>0.04</v>
      </c>
      <c r="CX325" s="44">
        <v>0.18</v>
      </c>
    </row>
    <row r="326" spans="1:102" x14ac:dyDescent="0.25">
      <c r="A326" s="31">
        <v>312</v>
      </c>
      <c r="B326" s="83" t="s">
        <v>254</v>
      </c>
      <c r="C326" s="31">
        <v>70</v>
      </c>
      <c r="D326" s="31" t="s">
        <v>26</v>
      </c>
      <c r="E326" s="31" t="s">
        <v>99</v>
      </c>
      <c r="F326" s="31" t="s">
        <v>70</v>
      </c>
      <c r="G326" s="31" t="str">
        <f t="shared" si="253"/>
        <v>Statlig 70 - 4S Ck</v>
      </c>
      <c r="H326" s="48">
        <f t="shared" si="220"/>
        <v>0.1302686101395899</v>
      </c>
      <c r="I326" s="40">
        <f t="shared" si="221"/>
        <v>0.1927208637476889</v>
      </c>
      <c r="J326" s="99">
        <f t="shared" si="222"/>
        <v>4.0094216398427335E-3</v>
      </c>
      <c r="K326" s="48">
        <f t="shared" si="223"/>
        <v>4.1754226204966202E-2</v>
      </c>
      <c r="L326" s="48">
        <f t="shared" si="224"/>
        <v>0.14695721590287997</v>
      </c>
      <c r="M326" s="48">
        <f t="shared" si="254"/>
        <v>0.3807936702221818</v>
      </c>
      <c r="N326" s="99">
        <f t="shared" si="225"/>
        <v>6.7935346658232094E-3</v>
      </c>
      <c r="O326" s="48">
        <f t="shared" si="226"/>
        <v>3.35898982575163E-2</v>
      </c>
      <c r="P326" s="48">
        <f t="shared" si="227"/>
        <v>7.0982184548442545E-2</v>
      </c>
      <c r="Q326" s="48">
        <f t="shared" si="228"/>
        <v>0.24982726703489591</v>
      </c>
      <c r="R326" s="40">
        <f t="shared" si="255"/>
        <v>2.6655556915552725</v>
      </c>
      <c r="S326" s="99">
        <f t="shared" si="229"/>
        <v>1.1549008931899456E-2</v>
      </c>
      <c r="T326" s="48">
        <f t="shared" si="230"/>
        <v>5.7102827037777699E-2</v>
      </c>
      <c r="U326" s="40">
        <v>6.6792000000000025</v>
      </c>
      <c r="V326" s="40">
        <v>1.25</v>
      </c>
      <c r="W326" s="40">
        <v>0.45</v>
      </c>
      <c r="X326" s="40">
        <v>1.6199040424908342</v>
      </c>
      <c r="Y326" s="42">
        <v>1.6476929697608438</v>
      </c>
      <c r="Z326" s="42">
        <v>21.187242482468413</v>
      </c>
      <c r="AA326" s="42">
        <v>77.16506454777074</v>
      </c>
      <c r="AB326" s="42">
        <v>2.333333333333333</v>
      </c>
      <c r="AC326" s="125">
        <v>1.1000000000000001</v>
      </c>
      <c r="AD326" s="94">
        <f t="shared" si="256"/>
        <v>0.10074503362997896</v>
      </c>
      <c r="AE326" s="94">
        <f t="shared" si="263"/>
        <v>0.16319728723807794</v>
      </c>
      <c r="AF326" s="96">
        <f t="shared" si="264"/>
        <v>2.6889902286622207E-3</v>
      </c>
      <c r="AG326" s="95">
        <f t="shared" si="270"/>
        <v>3.4577004971942056E-2</v>
      </c>
      <c r="AH326" s="94">
        <f t="shared" si="271"/>
        <v>0.12593129203747366</v>
      </c>
      <c r="AI326" s="94">
        <f t="shared" si="265"/>
        <v>0.3807936702221818</v>
      </c>
      <c r="AJ326" s="96">
        <f t="shared" si="231"/>
        <v>5.3317399713270746E-3</v>
      </c>
      <c r="AK326" s="95">
        <f t="shared" si="232"/>
        <v>2.7089939506173617E-2</v>
      </c>
      <c r="AL326" s="95">
        <f t="shared" si="233"/>
        <v>5.8780908452301495E-2</v>
      </c>
      <c r="AM326" s="94">
        <f t="shared" si="234"/>
        <v>0.21408319646370522</v>
      </c>
      <c r="AN326" s="93">
        <f t="shared" si="235"/>
        <v>2.6655556915552725</v>
      </c>
      <c r="AO326" s="96">
        <f t="shared" si="236"/>
        <v>9.0639579512560263E-3</v>
      </c>
      <c r="AP326" s="95">
        <f t="shared" si="237"/>
        <v>4.605289716049514E-2</v>
      </c>
      <c r="AQ326" s="93">
        <f t="shared" si="238"/>
        <v>0.2283493545222926</v>
      </c>
      <c r="AR326" s="31">
        <v>1.7</v>
      </c>
      <c r="AS326" s="31">
        <v>1.7</v>
      </c>
      <c r="AT326" s="31">
        <v>7</v>
      </c>
      <c r="AU326" s="43">
        <v>8.5000000000000006E-2</v>
      </c>
      <c r="AV326" s="44">
        <v>0.31</v>
      </c>
      <c r="AW326" s="19">
        <v>1.9E-2</v>
      </c>
      <c r="AX326" s="44">
        <v>0.13</v>
      </c>
      <c r="AY326" s="40">
        <v>6.7734314201523542</v>
      </c>
      <c r="AZ326" s="41">
        <v>0.5</v>
      </c>
      <c r="BA326" s="40">
        <v>0.72</v>
      </c>
      <c r="BB326" s="45">
        <v>1</v>
      </c>
      <c r="BC326" s="41">
        <v>11.280218363357539</v>
      </c>
      <c r="BD326" s="41">
        <v>47.541244098024222</v>
      </c>
      <c r="BE326" s="41">
        <v>41.178537538618244</v>
      </c>
      <c r="BF326" s="125">
        <v>1.1000000000000001</v>
      </c>
      <c r="BG326" s="48">
        <f t="shared" si="257"/>
        <v>4.3206518882053669E-3</v>
      </c>
      <c r="BH326" s="48">
        <f t="shared" si="266"/>
        <v>4.3206518882053669E-3</v>
      </c>
      <c r="BI326" s="99">
        <f t="shared" si="267"/>
        <v>4.8737896771009604E-4</v>
      </c>
      <c r="BJ326" s="99">
        <f t="shared" si="258"/>
        <v>2.0540916607976064E-3</v>
      </c>
      <c r="BK326" s="48">
        <f t="shared" si="268"/>
        <v>1.779181259697665E-3</v>
      </c>
      <c r="BL326" s="99">
        <f t="shared" si="239"/>
        <v>2.8207462448966608E-4</v>
      </c>
      <c r="BM326" s="48">
        <f t="shared" si="240"/>
        <v>1.1912184363135727E-3</v>
      </c>
      <c r="BN326" s="48">
        <f t="shared" si="241"/>
        <v>3.4919558233559309E-3</v>
      </c>
      <c r="BO326" s="48">
        <f t="shared" si="242"/>
        <v>3.0246081414860302E-3</v>
      </c>
      <c r="BP326" s="99">
        <f t="shared" si="243"/>
        <v>4.7952686163243232E-4</v>
      </c>
      <c r="BQ326" s="48">
        <f t="shared" si="244"/>
        <v>2.0250713417330735E-3</v>
      </c>
      <c r="BR326" s="40">
        <f t="shared" si="245"/>
        <v>0.58821462461381768</v>
      </c>
      <c r="BS326" s="31">
        <v>1.7</v>
      </c>
      <c r="BT326" s="31">
        <v>1.7</v>
      </c>
      <c r="BU326" s="43">
        <v>0.12</v>
      </c>
      <c r="BV326" s="44">
        <v>0.45</v>
      </c>
      <c r="BW326" s="19">
        <v>0.02</v>
      </c>
      <c r="BX326" s="44">
        <v>0.15</v>
      </c>
      <c r="BY326" s="40">
        <v>17.442066059404375</v>
      </c>
      <c r="BZ326" s="40">
        <v>0.52</v>
      </c>
      <c r="CA326" s="40">
        <v>0.65</v>
      </c>
      <c r="CB326" s="45">
        <v>1</v>
      </c>
      <c r="CC326" s="41">
        <v>3.3053800540389693</v>
      </c>
      <c r="CD326" s="41">
        <v>20.32752011596035</v>
      </c>
      <c r="CE326" s="41">
        <v>76.367099830000669</v>
      </c>
      <c r="CF326" s="125">
        <v>1.1000000000000001</v>
      </c>
      <c r="CG326" s="40">
        <f t="shared" si="259"/>
        <v>2.5202924621405585E-2</v>
      </c>
      <c r="CH326" s="40">
        <f t="shared" si="269"/>
        <v>2.5202924621405585E-2</v>
      </c>
      <c r="CI326" s="99">
        <f t="shared" si="260"/>
        <v>8.3305244347041656E-4</v>
      </c>
      <c r="CJ326" s="100">
        <f t="shared" si="261"/>
        <v>5.1231295722265445E-3</v>
      </c>
      <c r="CK326" s="100">
        <f t="shared" si="262"/>
        <v>1.9246742605708623E-2</v>
      </c>
      <c r="CL326" s="101">
        <f t="shared" si="246"/>
        <v>1.1797200700064685E-3</v>
      </c>
      <c r="CM326" s="100">
        <f t="shared" si="247"/>
        <v>5.308740315029108E-3</v>
      </c>
      <c r="CN326" s="100">
        <f t="shared" si="248"/>
        <v>8.7093202727851256E-3</v>
      </c>
      <c r="CO326" s="100">
        <f t="shared" si="249"/>
        <v>3.2719462429704659E-2</v>
      </c>
      <c r="CP326" s="101">
        <f t="shared" si="250"/>
        <v>2.0055241190109962E-3</v>
      </c>
      <c r="CQ326" s="100">
        <f t="shared" si="251"/>
        <v>9.0248585355494834E-3</v>
      </c>
      <c r="CR326" s="99">
        <f t="shared" si="252"/>
        <v>0.23632900169999321</v>
      </c>
      <c r="CS326" s="31">
        <v>1.7</v>
      </c>
      <c r="CT326" s="31">
        <v>1.7</v>
      </c>
      <c r="CU326" s="43">
        <v>0.08</v>
      </c>
      <c r="CV326" s="44">
        <v>0.36</v>
      </c>
      <c r="CW326" s="19">
        <v>0.04</v>
      </c>
      <c r="CX326" s="44">
        <v>0.18</v>
      </c>
    </row>
    <row r="327" spans="1:102" x14ac:dyDescent="0.25">
      <c r="A327" s="31">
        <v>313</v>
      </c>
      <c r="B327" s="83" t="s">
        <v>254</v>
      </c>
      <c r="C327" s="31">
        <v>70</v>
      </c>
      <c r="D327" s="31" t="s">
        <v>26</v>
      </c>
      <c r="E327" s="31" t="s">
        <v>99</v>
      </c>
      <c r="F327" s="31" t="s">
        <v>71</v>
      </c>
      <c r="G327" s="31" t="str">
        <f t="shared" si="253"/>
        <v>Statlig 70 - 4S Cm</v>
      </c>
      <c r="H327" s="48">
        <f t="shared" si="220"/>
        <v>0.11515685509509305</v>
      </c>
      <c r="I327" s="40">
        <f t="shared" si="221"/>
        <v>0.16824127066197722</v>
      </c>
      <c r="J327" s="99">
        <f t="shared" si="222"/>
        <v>3.6060731055434E-3</v>
      </c>
      <c r="K327" s="48">
        <f t="shared" si="223"/>
        <v>3.65676754591749E-2</v>
      </c>
      <c r="L327" s="48">
        <f t="shared" si="224"/>
        <v>0.12806752209725891</v>
      </c>
      <c r="M327" s="48">
        <f t="shared" si="254"/>
        <v>0.32367461968885458</v>
      </c>
      <c r="N327" s="99">
        <f t="shared" si="225"/>
        <v>5.993773670124148E-3</v>
      </c>
      <c r="O327" s="48">
        <f t="shared" si="226"/>
        <v>2.9526407331590253E-2</v>
      </c>
      <c r="P327" s="48">
        <f t="shared" si="227"/>
        <v>6.2165048280597324E-2</v>
      </c>
      <c r="Q327" s="48">
        <f t="shared" si="228"/>
        <v>0.21771478756534016</v>
      </c>
      <c r="R327" s="40">
        <f t="shared" si="255"/>
        <v>2.2657223378219822</v>
      </c>
      <c r="S327" s="99">
        <f t="shared" si="229"/>
        <v>1.0189415239211051E-2</v>
      </c>
      <c r="T327" s="48">
        <f t="shared" si="230"/>
        <v>5.0194892463703435E-2</v>
      </c>
      <c r="U327" s="40">
        <v>5.6773200000000008</v>
      </c>
      <c r="V327" s="40">
        <v>1.25</v>
      </c>
      <c r="W327" s="40">
        <v>0.45</v>
      </c>
      <c r="X327" s="40">
        <v>1.6199040424908344</v>
      </c>
      <c r="Y327" s="42">
        <v>1.6476929697608433</v>
      </c>
      <c r="Z327" s="42">
        <v>21.187242482468413</v>
      </c>
      <c r="AA327" s="42">
        <v>77.16506454777074</v>
      </c>
      <c r="AB327" s="42">
        <v>2.333333333333333</v>
      </c>
      <c r="AC327" s="125">
        <v>1.1000000000000001</v>
      </c>
      <c r="AD327" s="94">
        <f t="shared" si="256"/>
        <v>8.56332785854821E-2</v>
      </c>
      <c r="AE327" s="94">
        <f t="shared" si="263"/>
        <v>0.13871769415236626</v>
      </c>
      <c r="AF327" s="96">
        <f t="shared" si="264"/>
        <v>2.2856416943628872E-3</v>
      </c>
      <c r="AG327" s="95">
        <f t="shared" si="270"/>
        <v>2.9390454226150747E-2</v>
      </c>
      <c r="AH327" s="94">
        <f t="shared" si="271"/>
        <v>0.10704159823185262</v>
      </c>
      <c r="AI327" s="94">
        <f t="shared" si="265"/>
        <v>0.32367461968885458</v>
      </c>
      <c r="AJ327" s="96">
        <f t="shared" si="231"/>
        <v>4.5319789756280131E-3</v>
      </c>
      <c r="AK327" s="95">
        <f t="shared" si="232"/>
        <v>2.302644858024757E-2</v>
      </c>
      <c r="AL327" s="95">
        <f t="shared" si="233"/>
        <v>4.9963772184456266E-2</v>
      </c>
      <c r="AM327" s="94">
        <f t="shared" si="234"/>
        <v>0.18197071699414946</v>
      </c>
      <c r="AN327" s="93">
        <f t="shared" si="235"/>
        <v>2.2657223378219822</v>
      </c>
      <c r="AO327" s="96">
        <f t="shared" si="236"/>
        <v>7.7043642585676222E-3</v>
      </c>
      <c r="AP327" s="95">
        <f t="shared" si="237"/>
        <v>3.9144962586420876E-2</v>
      </c>
      <c r="AQ327" s="93">
        <f t="shared" si="238"/>
        <v>0.22834935452229255</v>
      </c>
      <c r="AR327" s="31">
        <v>1.7</v>
      </c>
      <c r="AS327" s="31">
        <v>1.7</v>
      </c>
      <c r="AT327" s="31">
        <v>7</v>
      </c>
      <c r="AU327" s="43">
        <v>8.5000000000000006E-2</v>
      </c>
      <c r="AV327" s="44">
        <v>0.31</v>
      </c>
      <c r="AW327" s="19">
        <v>1.9E-2</v>
      </c>
      <c r="AX327" s="44">
        <v>0.13</v>
      </c>
      <c r="AY327" s="40">
        <v>6.7734314201523542</v>
      </c>
      <c r="AZ327" s="41">
        <v>0.5</v>
      </c>
      <c r="BA327" s="40">
        <v>0.72</v>
      </c>
      <c r="BB327" s="45">
        <v>1</v>
      </c>
      <c r="BC327" s="41">
        <v>11.280218363357539</v>
      </c>
      <c r="BD327" s="41">
        <v>47.541244098024222</v>
      </c>
      <c r="BE327" s="41">
        <v>41.178537538618244</v>
      </c>
      <c r="BF327" s="125">
        <v>1.1000000000000001</v>
      </c>
      <c r="BG327" s="48">
        <f t="shared" si="257"/>
        <v>4.3206518882053669E-3</v>
      </c>
      <c r="BH327" s="48">
        <f t="shared" si="266"/>
        <v>4.3206518882053669E-3</v>
      </c>
      <c r="BI327" s="99">
        <f t="shared" si="267"/>
        <v>4.8737896771009604E-4</v>
      </c>
      <c r="BJ327" s="99">
        <f t="shared" si="258"/>
        <v>2.0540916607976064E-3</v>
      </c>
      <c r="BK327" s="48">
        <f t="shared" si="268"/>
        <v>1.779181259697665E-3</v>
      </c>
      <c r="BL327" s="99">
        <f t="shared" si="239"/>
        <v>2.8207462448966608E-4</v>
      </c>
      <c r="BM327" s="48">
        <f t="shared" si="240"/>
        <v>1.1912184363135727E-3</v>
      </c>
      <c r="BN327" s="48">
        <f t="shared" si="241"/>
        <v>3.4919558233559309E-3</v>
      </c>
      <c r="BO327" s="48">
        <f t="shared" si="242"/>
        <v>3.0246081414860302E-3</v>
      </c>
      <c r="BP327" s="99">
        <f t="shared" si="243"/>
        <v>4.7952686163243232E-4</v>
      </c>
      <c r="BQ327" s="48">
        <f t="shared" si="244"/>
        <v>2.0250713417330735E-3</v>
      </c>
      <c r="BR327" s="40">
        <f t="shared" si="245"/>
        <v>0.58821462461381768</v>
      </c>
      <c r="BS327" s="31">
        <v>1.7</v>
      </c>
      <c r="BT327" s="31">
        <v>1.7</v>
      </c>
      <c r="BU327" s="43">
        <v>0.12</v>
      </c>
      <c r="BV327" s="44">
        <v>0.45</v>
      </c>
      <c r="BW327" s="19">
        <v>0.02</v>
      </c>
      <c r="BX327" s="44">
        <v>0.15</v>
      </c>
      <c r="BY327" s="40">
        <v>17.442066059404375</v>
      </c>
      <c r="BZ327" s="40">
        <v>0.52</v>
      </c>
      <c r="CA327" s="40">
        <v>0.65</v>
      </c>
      <c r="CB327" s="45">
        <v>1</v>
      </c>
      <c r="CC327" s="41">
        <v>3.3053800540389693</v>
      </c>
      <c r="CD327" s="41">
        <v>20.32752011596035</v>
      </c>
      <c r="CE327" s="41">
        <v>76.367099830000669</v>
      </c>
      <c r="CF327" s="125">
        <v>1.1000000000000001</v>
      </c>
      <c r="CG327" s="40">
        <f t="shared" si="259"/>
        <v>2.5202924621405585E-2</v>
      </c>
      <c r="CH327" s="40">
        <f t="shared" si="269"/>
        <v>2.5202924621405585E-2</v>
      </c>
      <c r="CI327" s="99">
        <f t="shared" si="260"/>
        <v>8.3305244347041656E-4</v>
      </c>
      <c r="CJ327" s="100">
        <f t="shared" si="261"/>
        <v>5.1231295722265445E-3</v>
      </c>
      <c r="CK327" s="100">
        <f t="shared" si="262"/>
        <v>1.9246742605708623E-2</v>
      </c>
      <c r="CL327" s="101">
        <f t="shared" si="246"/>
        <v>1.1797200700064685E-3</v>
      </c>
      <c r="CM327" s="100">
        <f t="shared" si="247"/>
        <v>5.308740315029108E-3</v>
      </c>
      <c r="CN327" s="100">
        <f t="shared" si="248"/>
        <v>8.7093202727851256E-3</v>
      </c>
      <c r="CO327" s="100">
        <f t="shared" si="249"/>
        <v>3.2719462429704659E-2</v>
      </c>
      <c r="CP327" s="101">
        <f t="shared" si="250"/>
        <v>2.0055241190109962E-3</v>
      </c>
      <c r="CQ327" s="100">
        <f t="shared" si="251"/>
        <v>9.0248585355494834E-3</v>
      </c>
      <c r="CR327" s="99">
        <f t="shared" si="252"/>
        <v>0.23632900169999321</v>
      </c>
      <c r="CS327" s="31">
        <v>1.7</v>
      </c>
      <c r="CT327" s="31">
        <v>1.7</v>
      </c>
      <c r="CU327" s="43">
        <v>0.08</v>
      </c>
      <c r="CV327" s="44">
        <v>0.36</v>
      </c>
      <c r="CW327" s="19">
        <v>0.04</v>
      </c>
      <c r="CX327" s="44">
        <v>0.18</v>
      </c>
    </row>
    <row r="328" spans="1:102" x14ac:dyDescent="0.25">
      <c r="A328" s="31">
        <v>314</v>
      </c>
      <c r="B328" s="83" t="s">
        <v>254</v>
      </c>
      <c r="C328" s="31">
        <v>70</v>
      </c>
      <c r="D328" s="31" t="s">
        <v>26</v>
      </c>
      <c r="E328" s="31" t="s">
        <v>99</v>
      </c>
      <c r="F328" s="31" t="s">
        <v>0</v>
      </c>
      <c r="G328" s="31" t="str">
        <f t="shared" si="253"/>
        <v>Statlig 70 - 4S D</v>
      </c>
      <c r="H328" s="48">
        <f t="shared" si="220"/>
        <v>6.2200264492694862E-2</v>
      </c>
      <c r="I328" s="40">
        <f t="shared" si="221"/>
        <v>0.1048004897830541</v>
      </c>
      <c r="J328" s="99">
        <f t="shared" si="222"/>
        <v>1.3204314111805125E-3</v>
      </c>
      <c r="K328" s="48">
        <f t="shared" si="223"/>
        <v>2.0945074773603498E-2</v>
      </c>
      <c r="L328" s="48">
        <f t="shared" si="224"/>
        <v>8.2534983598270106E-2</v>
      </c>
      <c r="M328" s="48">
        <f t="shared" si="254"/>
        <v>0.36752845892328118</v>
      </c>
      <c r="N328" s="99">
        <f t="shared" si="225"/>
        <v>3.8007343803697917E-3</v>
      </c>
      <c r="O328" s="48">
        <f t="shared" si="226"/>
        <v>1.8764171114194574E-2</v>
      </c>
      <c r="P328" s="48">
        <f t="shared" si="227"/>
        <v>3.5606627115125945E-2</v>
      </c>
      <c r="Q328" s="48">
        <f t="shared" si="228"/>
        <v>0.14030947211705919</v>
      </c>
      <c r="R328" s="40">
        <f t="shared" si="255"/>
        <v>2.5726992124629682</v>
      </c>
      <c r="S328" s="99">
        <f t="shared" si="229"/>
        <v>6.4612484466286448E-3</v>
      </c>
      <c r="T328" s="48">
        <f t="shared" si="230"/>
        <v>3.1899090894130774E-2</v>
      </c>
      <c r="U328" s="40">
        <v>1.2274119000000006</v>
      </c>
      <c r="V328" s="40">
        <v>1.2</v>
      </c>
      <c r="W328" s="45">
        <v>0</v>
      </c>
      <c r="X328" s="40">
        <v>2.3036885902393953</v>
      </c>
      <c r="Y328" s="42">
        <v>0</v>
      </c>
      <c r="Z328" s="42">
        <v>18.289609578660141</v>
      </c>
      <c r="AA328" s="42">
        <v>81.710390421339866</v>
      </c>
      <c r="AB328" s="42">
        <v>4.8823529411764692</v>
      </c>
      <c r="AC328" s="125">
        <v>1.1000000000000001</v>
      </c>
      <c r="AD328" s="94">
        <f t="shared" si="256"/>
        <v>3.2676687983083909E-2</v>
      </c>
      <c r="AE328" s="94">
        <f t="shared" si="263"/>
        <v>7.5276913273443158E-2</v>
      </c>
      <c r="AF328" s="96">
        <f t="shared" si="264"/>
        <v>0</v>
      </c>
      <c r="AG328" s="95">
        <f t="shared" si="270"/>
        <v>1.3767853540579347E-2</v>
      </c>
      <c r="AH328" s="94">
        <f t="shared" si="271"/>
        <v>6.1509059732863823E-2</v>
      </c>
      <c r="AI328" s="94">
        <f t="shared" si="265"/>
        <v>0.36752845892328118</v>
      </c>
      <c r="AJ328" s="96">
        <f t="shared" si="231"/>
        <v>2.3389396858736573E-3</v>
      </c>
      <c r="AK328" s="95">
        <f t="shared" si="232"/>
        <v>1.2264212362851894E-2</v>
      </c>
      <c r="AL328" s="95">
        <f t="shared" si="233"/>
        <v>2.3405351018984888E-2</v>
      </c>
      <c r="AM328" s="94">
        <f t="shared" si="234"/>
        <v>0.10456540154586849</v>
      </c>
      <c r="AN328" s="93">
        <f t="shared" si="235"/>
        <v>2.5726992124629682</v>
      </c>
      <c r="AO328" s="96">
        <f t="shared" si="236"/>
        <v>3.9761974659852165E-3</v>
      </c>
      <c r="AP328" s="95">
        <f t="shared" si="237"/>
        <v>2.0849161016848219E-2</v>
      </c>
      <c r="AQ328" s="93">
        <f t="shared" si="238"/>
        <v>0.1828960957866014</v>
      </c>
      <c r="AR328" s="31">
        <v>1.7</v>
      </c>
      <c r="AS328" s="31">
        <v>1.7</v>
      </c>
      <c r="AT328" s="31">
        <v>7</v>
      </c>
      <c r="AU328" s="43">
        <v>8.5000000000000006E-2</v>
      </c>
      <c r="AV328" s="44">
        <v>0.31</v>
      </c>
      <c r="AW328" s="19">
        <v>1.9E-2</v>
      </c>
      <c r="AX328" s="44">
        <v>0.13</v>
      </c>
      <c r="AY328" s="40">
        <v>6.7734314201523542</v>
      </c>
      <c r="AZ328" s="41">
        <v>0.5</v>
      </c>
      <c r="BA328" s="40">
        <v>0.72</v>
      </c>
      <c r="BB328" s="45">
        <v>1</v>
      </c>
      <c r="BC328" s="41">
        <v>11.280218363357539</v>
      </c>
      <c r="BD328" s="41">
        <v>47.541244098024222</v>
      </c>
      <c r="BE328" s="41">
        <v>41.178537538618244</v>
      </c>
      <c r="BF328" s="125">
        <v>1.1000000000000001</v>
      </c>
      <c r="BG328" s="48">
        <f t="shared" si="257"/>
        <v>4.3206518882053669E-3</v>
      </c>
      <c r="BH328" s="48">
        <f t="shared" si="266"/>
        <v>4.3206518882053669E-3</v>
      </c>
      <c r="BI328" s="99">
        <f t="shared" si="267"/>
        <v>4.8737896771009604E-4</v>
      </c>
      <c r="BJ328" s="99">
        <f t="shared" si="258"/>
        <v>2.0540916607976064E-3</v>
      </c>
      <c r="BK328" s="48">
        <f t="shared" si="268"/>
        <v>1.779181259697665E-3</v>
      </c>
      <c r="BL328" s="99">
        <f t="shared" si="239"/>
        <v>2.8207462448966608E-4</v>
      </c>
      <c r="BM328" s="48">
        <f t="shared" si="240"/>
        <v>1.1912184363135727E-3</v>
      </c>
      <c r="BN328" s="48">
        <f t="shared" si="241"/>
        <v>3.4919558233559309E-3</v>
      </c>
      <c r="BO328" s="48">
        <f t="shared" si="242"/>
        <v>3.0246081414860302E-3</v>
      </c>
      <c r="BP328" s="99">
        <f t="shared" si="243"/>
        <v>4.7952686163243232E-4</v>
      </c>
      <c r="BQ328" s="48">
        <f t="shared" si="244"/>
        <v>2.0250713417330735E-3</v>
      </c>
      <c r="BR328" s="40">
        <f t="shared" si="245"/>
        <v>0.58821462461381768</v>
      </c>
      <c r="BS328" s="31">
        <v>1.7</v>
      </c>
      <c r="BT328" s="31">
        <v>1.7</v>
      </c>
      <c r="BU328" s="43">
        <v>0.12</v>
      </c>
      <c r="BV328" s="44">
        <v>0.45</v>
      </c>
      <c r="BW328" s="19">
        <v>0.02</v>
      </c>
      <c r="BX328" s="44">
        <v>0.15</v>
      </c>
      <c r="BY328" s="40">
        <v>17.442066059404375</v>
      </c>
      <c r="BZ328" s="40">
        <v>0.52</v>
      </c>
      <c r="CA328" s="40">
        <v>0.65</v>
      </c>
      <c r="CB328" s="45">
        <v>1</v>
      </c>
      <c r="CC328" s="41">
        <v>3.3053800540389693</v>
      </c>
      <c r="CD328" s="41">
        <v>20.32752011596035</v>
      </c>
      <c r="CE328" s="41">
        <v>76.367099830000669</v>
      </c>
      <c r="CF328" s="125">
        <v>1.1000000000000001</v>
      </c>
      <c r="CG328" s="40">
        <f t="shared" si="259"/>
        <v>2.5202924621405585E-2</v>
      </c>
      <c r="CH328" s="40">
        <f t="shared" si="269"/>
        <v>2.5202924621405585E-2</v>
      </c>
      <c r="CI328" s="99">
        <f t="shared" si="260"/>
        <v>8.3305244347041656E-4</v>
      </c>
      <c r="CJ328" s="100">
        <f t="shared" si="261"/>
        <v>5.1231295722265445E-3</v>
      </c>
      <c r="CK328" s="100">
        <f t="shared" si="262"/>
        <v>1.9246742605708623E-2</v>
      </c>
      <c r="CL328" s="101">
        <f t="shared" si="246"/>
        <v>1.1797200700064685E-3</v>
      </c>
      <c r="CM328" s="100">
        <f t="shared" si="247"/>
        <v>5.308740315029108E-3</v>
      </c>
      <c r="CN328" s="100">
        <f t="shared" si="248"/>
        <v>8.7093202727851256E-3</v>
      </c>
      <c r="CO328" s="100">
        <f t="shared" si="249"/>
        <v>3.2719462429704659E-2</v>
      </c>
      <c r="CP328" s="101">
        <f t="shared" si="250"/>
        <v>2.0055241190109962E-3</v>
      </c>
      <c r="CQ328" s="100">
        <f t="shared" si="251"/>
        <v>9.0248585355494834E-3</v>
      </c>
      <c r="CR328" s="99">
        <f t="shared" si="252"/>
        <v>0.23632900169999321</v>
      </c>
      <c r="CS328" s="31">
        <v>1.7</v>
      </c>
      <c r="CT328" s="31">
        <v>1.7</v>
      </c>
      <c r="CU328" s="43">
        <v>0.08</v>
      </c>
      <c r="CV328" s="44">
        <v>0.36</v>
      </c>
      <c r="CW328" s="19">
        <v>0.04</v>
      </c>
      <c r="CX328" s="44">
        <v>0.18</v>
      </c>
    </row>
    <row r="329" spans="1:102" x14ac:dyDescent="0.25">
      <c r="A329" s="31">
        <v>315</v>
      </c>
      <c r="B329" s="83" t="s">
        <v>254</v>
      </c>
      <c r="C329" s="31">
        <v>70</v>
      </c>
      <c r="D329" s="31" t="s">
        <v>26</v>
      </c>
      <c r="E329" s="31" t="s">
        <v>99</v>
      </c>
      <c r="F329" s="31" t="s">
        <v>63</v>
      </c>
      <c r="G329" s="31" t="str">
        <f t="shared" si="253"/>
        <v>Statlig 70 - 4S ES</v>
      </c>
      <c r="H329" s="48">
        <f t="shared" si="220"/>
        <v>0.11432172272808612</v>
      </c>
      <c r="I329" s="40">
        <f t="shared" si="221"/>
        <v>0.18062492235015143</v>
      </c>
      <c r="J329" s="99">
        <f t="shared" si="222"/>
        <v>3.8101176638091166E-3</v>
      </c>
      <c r="K329" s="48">
        <f t="shared" si="223"/>
        <v>3.9191429770532665E-2</v>
      </c>
      <c r="L329" s="48">
        <f t="shared" si="224"/>
        <v>0.13762337491580964</v>
      </c>
      <c r="M329" s="48">
        <f t="shared" si="254"/>
        <v>0.35256980696126106</v>
      </c>
      <c r="N329" s="99">
        <f t="shared" si="225"/>
        <v>6.3983539901420212E-3</v>
      </c>
      <c r="O329" s="48">
        <f t="shared" si="226"/>
        <v>3.1582032034522756E-2</v>
      </c>
      <c r="P329" s="48">
        <f t="shared" si="227"/>
        <v>6.6625430609905528E-2</v>
      </c>
      <c r="Q329" s="48">
        <f t="shared" si="228"/>
        <v>0.23395973735687639</v>
      </c>
      <c r="R329" s="40">
        <f t="shared" si="255"/>
        <v>2.4679886487288272</v>
      </c>
      <c r="S329" s="99">
        <f t="shared" si="229"/>
        <v>1.0877201783241437E-2</v>
      </c>
      <c r="T329" s="48">
        <f t="shared" si="230"/>
        <v>5.3689454458688689E-2</v>
      </c>
      <c r="U329" s="40">
        <v>3.9679200000000012</v>
      </c>
      <c r="V329" s="40">
        <v>1.2</v>
      </c>
      <c r="W329" s="41">
        <v>0.1</v>
      </c>
      <c r="X329" s="40">
        <v>1.7818944467399178</v>
      </c>
      <c r="Y329" s="42">
        <v>1.6476929697608433</v>
      </c>
      <c r="Z329" s="42">
        <v>21.187242482468413</v>
      </c>
      <c r="AA329" s="42">
        <v>77.16506454777074</v>
      </c>
      <c r="AB329" s="42">
        <v>2.333333333333333</v>
      </c>
      <c r="AC329" s="125">
        <v>1.1000000000000001</v>
      </c>
      <c r="AD329" s="94">
        <f t="shared" si="256"/>
        <v>8.4798146218475173E-2</v>
      </c>
      <c r="AE329" s="94">
        <f t="shared" si="263"/>
        <v>0.15110134584054047</v>
      </c>
      <c r="AF329" s="96">
        <f t="shared" si="264"/>
        <v>2.4896862526286039E-3</v>
      </c>
      <c r="AG329" s="95">
        <f t="shared" si="270"/>
        <v>3.2014208537508512E-2</v>
      </c>
      <c r="AH329" s="94">
        <f t="shared" si="271"/>
        <v>0.11659745105040335</v>
      </c>
      <c r="AI329" s="94">
        <f t="shared" si="265"/>
        <v>0.35256980696126106</v>
      </c>
      <c r="AJ329" s="96">
        <f t="shared" si="231"/>
        <v>4.9365592956458872E-3</v>
      </c>
      <c r="AK329" s="95">
        <f t="shared" si="232"/>
        <v>2.5082073283180073E-2</v>
      </c>
      <c r="AL329" s="95">
        <f t="shared" si="233"/>
        <v>5.4424154513764471E-2</v>
      </c>
      <c r="AM329" s="94">
        <f t="shared" si="234"/>
        <v>0.1982156667856857</v>
      </c>
      <c r="AN329" s="93">
        <f t="shared" si="235"/>
        <v>2.4679886487288272</v>
      </c>
      <c r="AO329" s="96">
        <f t="shared" si="236"/>
        <v>8.3921508025980081E-3</v>
      </c>
      <c r="AP329" s="95">
        <f t="shared" si="237"/>
        <v>4.263952458140613E-2</v>
      </c>
      <c r="AQ329" s="93">
        <f t="shared" si="238"/>
        <v>0.22834935452229257</v>
      </c>
      <c r="AR329" s="31">
        <v>1.7</v>
      </c>
      <c r="AS329" s="31">
        <v>1.7</v>
      </c>
      <c r="AT329" s="31">
        <v>7</v>
      </c>
      <c r="AU329" s="43">
        <v>8.5000000000000006E-2</v>
      </c>
      <c r="AV329" s="44">
        <v>0.31</v>
      </c>
      <c r="AW329" s="19">
        <v>1.9E-2</v>
      </c>
      <c r="AX329" s="44">
        <v>0.13</v>
      </c>
      <c r="AY329" s="40">
        <v>6.7734314201523542</v>
      </c>
      <c r="AZ329" s="41">
        <v>0.5</v>
      </c>
      <c r="BA329" s="40">
        <v>0.72</v>
      </c>
      <c r="BB329" s="45">
        <v>1</v>
      </c>
      <c r="BC329" s="41">
        <v>11.280218363357539</v>
      </c>
      <c r="BD329" s="41">
        <v>47.541244098024222</v>
      </c>
      <c r="BE329" s="41">
        <v>41.178537538618244</v>
      </c>
      <c r="BF329" s="125">
        <v>1.1000000000000001</v>
      </c>
      <c r="BG329" s="48">
        <f t="shared" si="257"/>
        <v>4.3206518882053669E-3</v>
      </c>
      <c r="BH329" s="48">
        <f t="shared" si="266"/>
        <v>4.3206518882053669E-3</v>
      </c>
      <c r="BI329" s="99">
        <f t="shared" si="267"/>
        <v>4.8737896771009604E-4</v>
      </c>
      <c r="BJ329" s="99">
        <f t="shared" si="258"/>
        <v>2.0540916607976064E-3</v>
      </c>
      <c r="BK329" s="48">
        <f t="shared" si="268"/>
        <v>1.779181259697665E-3</v>
      </c>
      <c r="BL329" s="99">
        <f t="shared" si="239"/>
        <v>2.8207462448966608E-4</v>
      </c>
      <c r="BM329" s="48">
        <f t="shared" si="240"/>
        <v>1.1912184363135727E-3</v>
      </c>
      <c r="BN329" s="48">
        <f t="shared" si="241"/>
        <v>3.4919558233559309E-3</v>
      </c>
      <c r="BO329" s="48">
        <f t="shared" si="242"/>
        <v>3.0246081414860302E-3</v>
      </c>
      <c r="BP329" s="99">
        <f t="shared" si="243"/>
        <v>4.7952686163243232E-4</v>
      </c>
      <c r="BQ329" s="48">
        <f t="shared" si="244"/>
        <v>2.0250713417330735E-3</v>
      </c>
      <c r="BR329" s="40">
        <f t="shared" si="245"/>
        <v>0.58821462461381768</v>
      </c>
      <c r="BS329" s="31">
        <v>1.7</v>
      </c>
      <c r="BT329" s="31">
        <v>1.7</v>
      </c>
      <c r="BU329" s="43">
        <v>0.12</v>
      </c>
      <c r="BV329" s="44">
        <v>0.45</v>
      </c>
      <c r="BW329" s="19">
        <v>0.02</v>
      </c>
      <c r="BX329" s="44">
        <v>0.15</v>
      </c>
      <c r="BY329" s="40">
        <v>17.442066059404375</v>
      </c>
      <c r="BZ329" s="40">
        <v>0.52</v>
      </c>
      <c r="CA329" s="40">
        <v>0.65</v>
      </c>
      <c r="CB329" s="45">
        <v>1</v>
      </c>
      <c r="CC329" s="41">
        <v>3.3053800540389693</v>
      </c>
      <c r="CD329" s="41">
        <v>20.32752011596035</v>
      </c>
      <c r="CE329" s="41">
        <v>76.367099830000669</v>
      </c>
      <c r="CF329" s="125">
        <v>1.1000000000000001</v>
      </c>
      <c r="CG329" s="40">
        <f t="shared" si="259"/>
        <v>2.5202924621405585E-2</v>
      </c>
      <c r="CH329" s="40">
        <f t="shared" si="269"/>
        <v>2.5202924621405585E-2</v>
      </c>
      <c r="CI329" s="99">
        <f t="shared" si="260"/>
        <v>8.3305244347041656E-4</v>
      </c>
      <c r="CJ329" s="100">
        <f t="shared" si="261"/>
        <v>5.1231295722265445E-3</v>
      </c>
      <c r="CK329" s="100">
        <f t="shared" si="262"/>
        <v>1.9246742605708623E-2</v>
      </c>
      <c r="CL329" s="101">
        <f t="shared" si="246"/>
        <v>1.1797200700064685E-3</v>
      </c>
      <c r="CM329" s="100">
        <f t="shared" si="247"/>
        <v>5.308740315029108E-3</v>
      </c>
      <c r="CN329" s="100">
        <f t="shared" si="248"/>
        <v>8.7093202727851256E-3</v>
      </c>
      <c r="CO329" s="100">
        <f t="shared" si="249"/>
        <v>3.2719462429704659E-2</v>
      </c>
      <c r="CP329" s="101">
        <f t="shared" si="250"/>
        <v>2.0055241190109962E-3</v>
      </c>
      <c r="CQ329" s="100">
        <f t="shared" si="251"/>
        <v>9.0248585355494834E-3</v>
      </c>
      <c r="CR329" s="99">
        <f t="shared" si="252"/>
        <v>0.23632900169999321</v>
      </c>
      <c r="CS329" s="31">
        <v>1.7</v>
      </c>
      <c r="CT329" s="31">
        <v>1.7</v>
      </c>
      <c r="CU329" s="43">
        <v>0.08</v>
      </c>
      <c r="CV329" s="44">
        <v>0.36</v>
      </c>
      <c r="CW329" s="19">
        <v>0.04</v>
      </c>
      <c r="CX329" s="44">
        <v>0.18</v>
      </c>
    </row>
    <row r="330" spans="1:102" x14ac:dyDescent="0.25">
      <c r="A330" s="31">
        <v>316</v>
      </c>
      <c r="B330" s="83" t="s">
        <v>254</v>
      </c>
      <c r="C330" s="31">
        <v>70</v>
      </c>
      <c r="D330" s="31" t="s">
        <v>26</v>
      </c>
      <c r="E330" s="31" t="s">
        <v>99</v>
      </c>
      <c r="F330" s="31" t="s">
        <v>64</v>
      </c>
      <c r="G330" s="31" t="str">
        <f t="shared" si="253"/>
        <v>Statlig 70 - 4S F</v>
      </c>
      <c r="H330" s="48">
        <f t="shared" si="220"/>
        <v>5.9747086598604615E-2</v>
      </c>
      <c r="I330" s="40">
        <f t="shared" si="221"/>
        <v>8.1257544628132616E-2</v>
      </c>
      <c r="J330" s="99">
        <f t="shared" si="222"/>
        <v>1.7439473721948123E-3</v>
      </c>
      <c r="K330" s="48">
        <f t="shared" si="223"/>
        <v>1.6174759265940374E-2</v>
      </c>
      <c r="L330" s="48">
        <f t="shared" si="224"/>
        <v>6.3338837989997426E-2</v>
      </c>
      <c r="M330" s="48">
        <f t="shared" si="254"/>
        <v>0.20693587247408674</v>
      </c>
      <c r="N330" s="99">
        <f t="shared" si="225"/>
        <v>3.0305307956612453E-3</v>
      </c>
      <c r="O330" s="48">
        <f t="shared" si="226"/>
        <v>1.4789874377743558E-2</v>
      </c>
      <c r="P330" s="48">
        <f t="shared" si="227"/>
        <v>2.7497090752098635E-2</v>
      </c>
      <c r="Q330" s="48">
        <f t="shared" si="228"/>
        <v>0.10767602458299563</v>
      </c>
      <c r="R330" s="40">
        <f t="shared" si="255"/>
        <v>1.448551107318607</v>
      </c>
      <c r="S330" s="99">
        <f t="shared" si="229"/>
        <v>5.1519023526241164E-3</v>
      </c>
      <c r="T330" s="48">
        <f t="shared" si="230"/>
        <v>2.5142786442164049E-2</v>
      </c>
      <c r="U330" s="40">
        <v>2.0037599999999993</v>
      </c>
      <c r="V330" s="40">
        <v>1.25</v>
      </c>
      <c r="W330" s="40">
        <v>0.45</v>
      </c>
      <c r="X330" s="40">
        <v>1.7117127681791451</v>
      </c>
      <c r="Y330" s="42">
        <v>0.81864194148809855</v>
      </c>
      <c r="Z330" s="42">
        <v>17.391934854683893</v>
      </c>
      <c r="AA330" s="42">
        <v>81.789423203828008</v>
      </c>
      <c r="AB330" s="42">
        <v>4.0000000000000009</v>
      </c>
      <c r="AC330" s="125">
        <v>1.1000000000000001</v>
      </c>
      <c r="AD330" s="94">
        <f t="shared" si="256"/>
        <v>3.0223510088993669E-2</v>
      </c>
      <c r="AE330" s="94">
        <f t="shared" si="263"/>
        <v>5.173396811852167E-2</v>
      </c>
      <c r="AF330" s="96">
        <f t="shared" si="264"/>
        <v>4.2351596101429973E-4</v>
      </c>
      <c r="AG330" s="95">
        <f t="shared" si="270"/>
        <v>8.9975380329162229E-3</v>
      </c>
      <c r="AH330" s="94">
        <f t="shared" si="271"/>
        <v>4.2312914124591143E-2</v>
      </c>
      <c r="AI330" s="94">
        <f t="shared" si="265"/>
        <v>0.20693587247408674</v>
      </c>
      <c r="AJ330" s="96">
        <f t="shared" si="231"/>
        <v>1.5687361011651108E-3</v>
      </c>
      <c r="AK330" s="95">
        <f t="shared" si="232"/>
        <v>8.2899156264008775E-3</v>
      </c>
      <c r="AL330" s="95">
        <f t="shared" si="233"/>
        <v>1.5295814655957578E-2</v>
      </c>
      <c r="AM330" s="94">
        <f t="shared" si="234"/>
        <v>7.1931954011804938E-2</v>
      </c>
      <c r="AN330" s="93">
        <f t="shared" si="235"/>
        <v>1.448551107318607</v>
      </c>
      <c r="AO330" s="96">
        <f t="shared" si="236"/>
        <v>2.666851371980688E-3</v>
      </c>
      <c r="AP330" s="95">
        <f t="shared" si="237"/>
        <v>1.4092856564881491E-2</v>
      </c>
      <c r="AQ330" s="93">
        <f t="shared" si="238"/>
        <v>0.18210576796171993</v>
      </c>
      <c r="AR330" s="31">
        <v>1.7</v>
      </c>
      <c r="AS330" s="31">
        <v>1.7</v>
      </c>
      <c r="AT330" s="31">
        <v>7</v>
      </c>
      <c r="AU330" s="43">
        <v>8.5000000000000006E-2</v>
      </c>
      <c r="AV330" s="44">
        <v>0.31</v>
      </c>
      <c r="AW330" s="19">
        <v>1.9E-2</v>
      </c>
      <c r="AX330" s="44">
        <v>0.13</v>
      </c>
      <c r="AY330" s="40">
        <v>6.7734314201523551</v>
      </c>
      <c r="AZ330" s="41">
        <v>0.5</v>
      </c>
      <c r="BA330" s="40">
        <v>0.72</v>
      </c>
      <c r="BB330" s="45">
        <v>1</v>
      </c>
      <c r="BC330" s="41">
        <v>11.280218363357534</v>
      </c>
      <c r="BD330" s="41">
        <v>47.541244098024215</v>
      </c>
      <c r="BE330" s="41">
        <v>41.178537538618244</v>
      </c>
      <c r="BF330" s="125">
        <v>1.1000000000000001</v>
      </c>
      <c r="BG330" s="48">
        <f t="shared" si="257"/>
        <v>4.3206518882053686E-3</v>
      </c>
      <c r="BH330" s="48">
        <f t="shared" si="266"/>
        <v>4.3206518882053686E-3</v>
      </c>
      <c r="BI330" s="99">
        <f t="shared" si="267"/>
        <v>4.8737896771009598E-4</v>
      </c>
      <c r="BJ330" s="99">
        <f t="shared" si="258"/>
        <v>2.0540916607976068E-3</v>
      </c>
      <c r="BK330" s="48">
        <f t="shared" si="268"/>
        <v>1.7791812596976656E-3</v>
      </c>
      <c r="BL330" s="99">
        <f t="shared" si="239"/>
        <v>2.8207462448966614E-4</v>
      </c>
      <c r="BM330" s="48">
        <f t="shared" si="240"/>
        <v>1.1912184363135729E-3</v>
      </c>
      <c r="BN330" s="48">
        <f t="shared" si="241"/>
        <v>3.4919558233559313E-3</v>
      </c>
      <c r="BO330" s="48">
        <f t="shared" si="242"/>
        <v>3.0246081414860315E-3</v>
      </c>
      <c r="BP330" s="99">
        <f t="shared" si="243"/>
        <v>4.7952686163243237E-4</v>
      </c>
      <c r="BQ330" s="48">
        <f t="shared" si="244"/>
        <v>2.0250713417330739E-3</v>
      </c>
      <c r="BR330" s="40">
        <f t="shared" si="245"/>
        <v>0.58821462461381757</v>
      </c>
      <c r="BS330" s="31">
        <v>1.7</v>
      </c>
      <c r="BT330" s="31">
        <v>1.7</v>
      </c>
      <c r="BU330" s="43">
        <v>0.12</v>
      </c>
      <c r="BV330" s="44">
        <v>0.45</v>
      </c>
      <c r="BW330" s="19">
        <v>0.02</v>
      </c>
      <c r="BX330" s="44">
        <v>0.15</v>
      </c>
      <c r="BY330" s="40">
        <v>17.442066059404372</v>
      </c>
      <c r="BZ330" s="40">
        <v>0.52</v>
      </c>
      <c r="CA330" s="40">
        <v>0.65</v>
      </c>
      <c r="CB330" s="45">
        <v>1</v>
      </c>
      <c r="CC330" s="41">
        <v>3.3053800540389693</v>
      </c>
      <c r="CD330" s="41">
        <v>20.327520115960354</v>
      </c>
      <c r="CE330" s="41">
        <v>76.367099830000683</v>
      </c>
      <c r="CF330" s="125">
        <v>1.1000000000000001</v>
      </c>
      <c r="CG330" s="40">
        <f t="shared" si="259"/>
        <v>2.5202924621405581E-2</v>
      </c>
      <c r="CH330" s="40">
        <f t="shared" si="269"/>
        <v>2.5202924621405581E-2</v>
      </c>
      <c r="CI330" s="99">
        <f t="shared" si="260"/>
        <v>8.3305244347041646E-4</v>
      </c>
      <c r="CJ330" s="100">
        <f t="shared" si="261"/>
        <v>5.1231295722265445E-3</v>
      </c>
      <c r="CK330" s="100">
        <f t="shared" si="262"/>
        <v>1.9246742605708623E-2</v>
      </c>
      <c r="CL330" s="101">
        <f t="shared" si="246"/>
        <v>1.1797200700064685E-3</v>
      </c>
      <c r="CM330" s="100">
        <f t="shared" si="247"/>
        <v>5.308740315029108E-3</v>
      </c>
      <c r="CN330" s="100">
        <f t="shared" si="248"/>
        <v>8.7093202727851256E-3</v>
      </c>
      <c r="CO330" s="100">
        <f t="shared" si="249"/>
        <v>3.2719462429704659E-2</v>
      </c>
      <c r="CP330" s="101">
        <f t="shared" si="250"/>
        <v>2.0055241190109962E-3</v>
      </c>
      <c r="CQ330" s="100">
        <f t="shared" si="251"/>
        <v>9.0248585355494834E-3</v>
      </c>
      <c r="CR330" s="99">
        <f t="shared" si="252"/>
        <v>0.23632900169999324</v>
      </c>
      <c r="CS330" s="31">
        <v>1.7</v>
      </c>
      <c r="CT330" s="31">
        <v>1.7</v>
      </c>
      <c r="CU330" s="43">
        <v>0.08</v>
      </c>
      <c r="CV330" s="44">
        <v>0.36</v>
      </c>
      <c r="CW330" s="19">
        <v>0.04</v>
      </c>
      <c r="CX330" s="44">
        <v>0.18</v>
      </c>
    </row>
    <row r="331" spans="1:102" x14ac:dyDescent="0.25">
      <c r="A331" s="31">
        <v>317</v>
      </c>
      <c r="B331" s="83" t="s">
        <v>254</v>
      </c>
      <c r="C331" s="31">
        <v>80</v>
      </c>
      <c r="D331" s="31" t="s">
        <v>26</v>
      </c>
      <c r="E331" s="31" t="s">
        <v>99</v>
      </c>
      <c r="F331" s="31" t="s">
        <v>12</v>
      </c>
      <c r="G331" s="31" t="str">
        <f t="shared" si="253"/>
        <v>Statlig 80 - 4S A</v>
      </c>
      <c r="H331" s="48">
        <f t="shared" si="220"/>
        <v>0.16853844867863876</v>
      </c>
      <c r="I331" s="40">
        <f t="shared" si="221"/>
        <v>0.22765252149318357</v>
      </c>
      <c r="J331" s="99">
        <f t="shared" si="222"/>
        <v>8.4609756017668715E-3</v>
      </c>
      <c r="K331" s="48">
        <f t="shared" si="223"/>
        <v>5.3432001367611379E-2</v>
      </c>
      <c r="L331" s="48">
        <f t="shared" si="224"/>
        <v>0.16575954452380531</v>
      </c>
      <c r="M331" s="48">
        <f t="shared" si="254"/>
        <v>0.33415818197857616</v>
      </c>
      <c r="N331" s="99">
        <f t="shared" si="225"/>
        <v>8.0239503982703422E-3</v>
      </c>
      <c r="O331" s="48">
        <f t="shared" si="226"/>
        <v>3.9386188504966842E-2</v>
      </c>
      <c r="P331" s="48">
        <f t="shared" si="227"/>
        <v>9.0834402324939348E-2</v>
      </c>
      <c r="Q331" s="48">
        <f t="shared" si="228"/>
        <v>0.28179122569046905</v>
      </c>
      <c r="R331" s="40">
        <f t="shared" si="255"/>
        <v>2.3391072738500331</v>
      </c>
      <c r="S331" s="99">
        <f t="shared" si="229"/>
        <v>1.364071567705958E-2</v>
      </c>
      <c r="T331" s="48">
        <f t="shared" si="230"/>
        <v>6.6956520458443622E-2</v>
      </c>
      <c r="U331" s="40">
        <v>9.430080000000002</v>
      </c>
      <c r="V331" s="40">
        <v>1.25</v>
      </c>
      <c r="W331" s="40">
        <v>0.45</v>
      </c>
      <c r="X331" s="40">
        <v>1.4156007350397048</v>
      </c>
      <c r="Y331" s="42">
        <v>2.9967294945844558</v>
      </c>
      <c r="Z331" s="42">
        <v>22.82981368176182</v>
      </c>
      <c r="AA331" s="42">
        <v>74.173456823653723</v>
      </c>
      <c r="AB331" s="42">
        <v>1.6595744680851066</v>
      </c>
      <c r="AC331" s="125">
        <v>1.1000000000000001</v>
      </c>
      <c r="AD331" s="94">
        <f t="shared" si="256"/>
        <v>0.14223765222382798</v>
      </c>
      <c r="AE331" s="94">
        <f t="shared" si="263"/>
        <v>0.20135172503837279</v>
      </c>
      <c r="AF331" s="96">
        <f t="shared" si="264"/>
        <v>6.0339665320795124E-3</v>
      </c>
      <c r="AG331" s="95">
        <f t="shared" si="270"/>
        <v>4.5968223671273865E-2</v>
      </c>
      <c r="AH331" s="94">
        <f t="shared" si="271"/>
        <v>0.14934953483501942</v>
      </c>
      <c r="AI331" s="94">
        <f t="shared" si="265"/>
        <v>0.33415818197857616</v>
      </c>
      <c r="AJ331" s="96">
        <f t="shared" si="231"/>
        <v>6.7449401739236477E-3</v>
      </c>
      <c r="AK331" s="95">
        <f t="shared" si="232"/>
        <v>3.3665588866647424E-2</v>
      </c>
      <c r="AL331" s="95">
        <f t="shared" si="233"/>
        <v>7.8145980241165564E-2</v>
      </c>
      <c r="AM331" s="94">
        <f t="shared" si="234"/>
        <v>0.25389420921953298</v>
      </c>
      <c r="AN331" s="93">
        <f t="shared" si="235"/>
        <v>2.3391072738500331</v>
      </c>
      <c r="AO331" s="96">
        <f t="shared" si="236"/>
        <v>1.1466398295670199E-2</v>
      </c>
      <c r="AP331" s="95">
        <f t="shared" si="237"/>
        <v>5.723150107330062E-2</v>
      </c>
      <c r="AQ331" s="93">
        <f t="shared" si="238"/>
        <v>0.25826543176346273</v>
      </c>
      <c r="AR331" s="31">
        <v>1.7</v>
      </c>
      <c r="AS331" s="31">
        <v>1.7</v>
      </c>
      <c r="AT331" s="31">
        <v>7</v>
      </c>
      <c r="AU331" s="43">
        <v>8.5000000000000006E-2</v>
      </c>
      <c r="AV331" s="44">
        <v>0.31</v>
      </c>
      <c r="AW331" s="19">
        <v>1.9E-2</v>
      </c>
      <c r="AX331" s="44">
        <v>0.13</v>
      </c>
      <c r="AY331" s="40">
        <v>5.8843957389478314</v>
      </c>
      <c r="AZ331" s="41">
        <v>0.5</v>
      </c>
      <c r="BA331" s="40">
        <v>0.72</v>
      </c>
      <c r="BB331" s="45">
        <v>1</v>
      </c>
      <c r="BC331" s="41">
        <v>23.21224490001492</v>
      </c>
      <c r="BD331" s="41">
        <v>36.921911535570835</v>
      </c>
      <c r="BE331" s="41">
        <v>39.865843564414241</v>
      </c>
      <c r="BF331" s="125">
        <v>1.1000000000000001</v>
      </c>
      <c r="BG331" s="48">
        <f t="shared" si="257"/>
        <v>3.7535517794997763E-3</v>
      </c>
      <c r="BH331" s="48">
        <f t="shared" si="266"/>
        <v>3.7535517794997763E-3</v>
      </c>
      <c r="BI331" s="99">
        <f t="shared" si="267"/>
        <v>8.7128363150635604E-4</v>
      </c>
      <c r="BJ331" s="99">
        <f t="shared" si="258"/>
        <v>1.3858830674687522E-3</v>
      </c>
      <c r="BK331" s="48">
        <f t="shared" si="268"/>
        <v>1.4963850805246679E-3</v>
      </c>
      <c r="BL331" s="99">
        <f t="shared" si="239"/>
        <v>1.9623366970674362E-4</v>
      </c>
      <c r="BM331" s="48">
        <f t="shared" si="240"/>
        <v>8.4810514243963868E-4</v>
      </c>
      <c r="BN331" s="48">
        <f t="shared" si="241"/>
        <v>2.3560012146968787E-3</v>
      </c>
      <c r="BO331" s="48">
        <f t="shared" si="242"/>
        <v>2.5438546368919354E-3</v>
      </c>
      <c r="BP331" s="99">
        <f t="shared" si="243"/>
        <v>3.3359723850146417E-4</v>
      </c>
      <c r="BQ331" s="48">
        <f t="shared" si="244"/>
        <v>1.4417787421473858E-3</v>
      </c>
      <c r="BR331" s="40">
        <f t="shared" si="245"/>
        <v>0.60134156435585751</v>
      </c>
      <c r="BS331" s="31">
        <v>1.7</v>
      </c>
      <c r="BT331" s="31">
        <v>1.7</v>
      </c>
      <c r="BU331" s="43">
        <v>0.12</v>
      </c>
      <c r="BV331" s="44">
        <v>0.45</v>
      </c>
      <c r="BW331" s="19">
        <v>0.02</v>
      </c>
      <c r="BX331" s="44">
        <v>0.15</v>
      </c>
      <c r="BY331" s="40">
        <v>15.604162492725626</v>
      </c>
      <c r="BZ331" s="40">
        <v>0.52</v>
      </c>
      <c r="CA331" s="40">
        <v>0.65</v>
      </c>
      <c r="CB331" s="45">
        <v>1</v>
      </c>
      <c r="CC331" s="41">
        <v>6.8998472344805162</v>
      </c>
      <c r="CD331" s="41">
        <v>26.95626324365918</v>
      </c>
      <c r="CE331" s="41">
        <v>66.143889521860302</v>
      </c>
      <c r="CF331" s="125">
        <v>1.1000000000000001</v>
      </c>
      <c r="CG331" s="40">
        <f t="shared" si="259"/>
        <v>2.2547244675311013E-2</v>
      </c>
      <c r="CH331" s="40">
        <f t="shared" si="269"/>
        <v>2.2547244675311013E-2</v>
      </c>
      <c r="CI331" s="99">
        <f t="shared" si="260"/>
        <v>1.5557254381810023E-3</v>
      </c>
      <c r="CJ331" s="100">
        <f t="shared" si="261"/>
        <v>6.0778946288687638E-3</v>
      </c>
      <c r="CK331" s="100">
        <f t="shared" si="262"/>
        <v>1.4913624608261246E-2</v>
      </c>
      <c r="CL331" s="101">
        <f t="shared" si="246"/>
        <v>1.0827765546399509E-3</v>
      </c>
      <c r="CM331" s="100">
        <f t="shared" si="247"/>
        <v>4.8724944958797789E-3</v>
      </c>
      <c r="CN331" s="100">
        <f t="shared" si="248"/>
        <v>1.0332420869076897E-2</v>
      </c>
      <c r="CO331" s="100">
        <f t="shared" si="249"/>
        <v>2.5353161834044118E-2</v>
      </c>
      <c r="CP331" s="101">
        <f t="shared" si="250"/>
        <v>1.8407201428879165E-3</v>
      </c>
      <c r="CQ331" s="100">
        <f t="shared" si="251"/>
        <v>8.2832406429956245E-3</v>
      </c>
      <c r="CR331" s="99">
        <f t="shared" si="252"/>
        <v>0.33856110478139695</v>
      </c>
      <c r="CS331" s="31">
        <v>1.7</v>
      </c>
      <c r="CT331" s="31">
        <v>1.7</v>
      </c>
      <c r="CU331" s="43">
        <v>0.08</v>
      </c>
      <c r="CV331" s="44">
        <v>0.36</v>
      </c>
      <c r="CW331" s="19">
        <v>0.04</v>
      </c>
      <c r="CX331" s="44">
        <v>0.18</v>
      </c>
    </row>
    <row r="332" spans="1:102" x14ac:dyDescent="0.25">
      <c r="A332" s="31">
        <v>318</v>
      </c>
      <c r="B332" s="83" t="s">
        <v>254</v>
      </c>
      <c r="C332" s="31">
        <v>80</v>
      </c>
      <c r="D332" s="31" t="s">
        <v>26</v>
      </c>
      <c r="E332" s="31" t="s">
        <v>99</v>
      </c>
      <c r="F332" s="31" t="s">
        <v>13</v>
      </c>
      <c r="G332" s="31" t="str">
        <f t="shared" si="253"/>
        <v>Statlig 80 - 4S B</v>
      </c>
      <c r="H332" s="48">
        <f t="shared" si="220"/>
        <v>0.16853844867863876</v>
      </c>
      <c r="I332" s="40">
        <f t="shared" si="221"/>
        <v>0.22765252149318357</v>
      </c>
      <c r="J332" s="99">
        <f t="shared" si="222"/>
        <v>8.4609756017668715E-3</v>
      </c>
      <c r="K332" s="48">
        <f t="shared" si="223"/>
        <v>5.3432001367611379E-2</v>
      </c>
      <c r="L332" s="48">
        <f t="shared" si="224"/>
        <v>0.16575954452380531</v>
      </c>
      <c r="M332" s="48">
        <f t="shared" si="254"/>
        <v>0.33415818197857616</v>
      </c>
      <c r="N332" s="99">
        <f t="shared" si="225"/>
        <v>8.0239503982703422E-3</v>
      </c>
      <c r="O332" s="48">
        <f t="shared" si="226"/>
        <v>3.9386188504966842E-2</v>
      </c>
      <c r="P332" s="48">
        <f t="shared" si="227"/>
        <v>9.0834402324939348E-2</v>
      </c>
      <c r="Q332" s="48">
        <f t="shared" si="228"/>
        <v>0.28179122569046905</v>
      </c>
      <c r="R332" s="40">
        <f t="shared" si="255"/>
        <v>2.3391072738500331</v>
      </c>
      <c r="S332" s="99">
        <f t="shared" si="229"/>
        <v>1.364071567705958E-2</v>
      </c>
      <c r="T332" s="48">
        <f t="shared" si="230"/>
        <v>6.6956520458443622E-2</v>
      </c>
      <c r="U332" s="40">
        <v>9.430080000000002</v>
      </c>
      <c r="V332" s="40">
        <v>1.25</v>
      </c>
      <c r="W332" s="40">
        <v>0.45</v>
      </c>
      <c r="X332" s="40">
        <v>1.4156007350397048</v>
      </c>
      <c r="Y332" s="42">
        <v>2.9967294945844558</v>
      </c>
      <c r="Z332" s="42">
        <v>22.82981368176182</v>
      </c>
      <c r="AA332" s="42">
        <v>74.173456823653723</v>
      </c>
      <c r="AB332" s="42">
        <v>1.6595744680851066</v>
      </c>
      <c r="AC332" s="125">
        <v>1.1000000000000001</v>
      </c>
      <c r="AD332" s="94">
        <f t="shared" si="256"/>
        <v>0.14223765222382798</v>
      </c>
      <c r="AE332" s="94">
        <f t="shared" si="263"/>
        <v>0.20135172503837279</v>
      </c>
      <c r="AF332" s="96">
        <f t="shared" si="264"/>
        <v>6.0339665320795124E-3</v>
      </c>
      <c r="AG332" s="95">
        <f t="shared" si="270"/>
        <v>4.5968223671273865E-2</v>
      </c>
      <c r="AH332" s="94">
        <f t="shared" si="271"/>
        <v>0.14934953483501942</v>
      </c>
      <c r="AI332" s="94">
        <f t="shared" si="265"/>
        <v>0.33415818197857616</v>
      </c>
      <c r="AJ332" s="96">
        <f t="shared" si="231"/>
        <v>6.7449401739236477E-3</v>
      </c>
      <c r="AK332" s="95">
        <f t="shared" si="232"/>
        <v>3.3665588866647424E-2</v>
      </c>
      <c r="AL332" s="95">
        <f t="shared" si="233"/>
        <v>7.8145980241165564E-2</v>
      </c>
      <c r="AM332" s="94">
        <f t="shared" si="234"/>
        <v>0.25389420921953298</v>
      </c>
      <c r="AN332" s="93">
        <f t="shared" si="235"/>
        <v>2.3391072738500331</v>
      </c>
      <c r="AO332" s="96">
        <f t="shared" si="236"/>
        <v>1.1466398295670199E-2</v>
      </c>
      <c r="AP332" s="95">
        <f t="shared" si="237"/>
        <v>5.723150107330062E-2</v>
      </c>
      <c r="AQ332" s="93">
        <f t="shared" si="238"/>
        <v>0.25826543176346273</v>
      </c>
      <c r="AR332" s="31">
        <v>1.7</v>
      </c>
      <c r="AS332" s="31">
        <v>1.7</v>
      </c>
      <c r="AT332" s="31">
        <v>7</v>
      </c>
      <c r="AU332" s="43">
        <v>8.5000000000000006E-2</v>
      </c>
      <c r="AV332" s="44">
        <v>0.31</v>
      </c>
      <c r="AW332" s="19">
        <v>1.9E-2</v>
      </c>
      <c r="AX332" s="44">
        <v>0.13</v>
      </c>
      <c r="AY332" s="40">
        <v>5.8843957389478314</v>
      </c>
      <c r="AZ332" s="41">
        <v>0.5</v>
      </c>
      <c r="BA332" s="40">
        <v>0.72</v>
      </c>
      <c r="BB332" s="45">
        <v>1</v>
      </c>
      <c r="BC332" s="41">
        <v>23.21224490001492</v>
      </c>
      <c r="BD332" s="41">
        <v>36.921911535570835</v>
      </c>
      <c r="BE332" s="41">
        <v>39.865843564414241</v>
      </c>
      <c r="BF332" s="125">
        <v>1.1000000000000001</v>
      </c>
      <c r="BG332" s="48">
        <f t="shared" si="257"/>
        <v>3.7535517794997763E-3</v>
      </c>
      <c r="BH332" s="48">
        <f t="shared" si="266"/>
        <v>3.7535517794997763E-3</v>
      </c>
      <c r="BI332" s="99">
        <f t="shared" si="267"/>
        <v>8.7128363150635604E-4</v>
      </c>
      <c r="BJ332" s="99">
        <f t="shared" si="258"/>
        <v>1.3858830674687522E-3</v>
      </c>
      <c r="BK332" s="48">
        <f t="shared" si="268"/>
        <v>1.4963850805246679E-3</v>
      </c>
      <c r="BL332" s="99">
        <f t="shared" si="239"/>
        <v>1.9623366970674362E-4</v>
      </c>
      <c r="BM332" s="48">
        <f t="shared" si="240"/>
        <v>8.4810514243963868E-4</v>
      </c>
      <c r="BN332" s="48">
        <f t="shared" si="241"/>
        <v>2.3560012146968787E-3</v>
      </c>
      <c r="BO332" s="48">
        <f t="shared" si="242"/>
        <v>2.5438546368919354E-3</v>
      </c>
      <c r="BP332" s="99">
        <f t="shared" si="243"/>
        <v>3.3359723850146417E-4</v>
      </c>
      <c r="BQ332" s="48">
        <f t="shared" si="244"/>
        <v>1.4417787421473858E-3</v>
      </c>
      <c r="BR332" s="40">
        <f t="shared" si="245"/>
        <v>0.60134156435585751</v>
      </c>
      <c r="BS332" s="31">
        <v>1.7</v>
      </c>
      <c r="BT332" s="31">
        <v>1.7</v>
      </c>
      <c r="BU332" s="43">
        <v>0.12</v>
      </c>
      <c r="BV332" s="44">
        <v>0.45</v>
      </c>
      <c r="BW332" s="19">
        <v>0.02</v>
      </c>
      <c r="BX332" s="44">
        <v>0.15</v>
      </c>
      <c r="BY332" s="40">
        <v>15.604162492725626</v>
      </c>
      <c r="BZ332" s="40">
        <v>0.52</v>
      </c>
      <c r="CA332" s="40">
        <v>0.65</v>
      </c>
      <c r="CB332" s="45">
        <v>1</v>
      </c>
      <c r="CC332" s="41">
        <v>6.8998472344805162</v>
      </c>
      <c r="CD332" s="41">
        <v>26.95626324365918</v>
      </c>
      <c r="CE332" s="41">
        <v>66.143889521860302</v>
      </c>
      <c r="CF332" s="125">
        <v>1.1000000000000001</v>
      </c>
      <c r="CG332" s="40">
        <f t="shared" si="259"/>
        <v>2.2547244675311013E-2</v>
      </c>
      <c r="CH332" s="40">
        <f t="shared" si="269"/>
        <v>2.2547244675311013E-2</v>
      </c>
      <c r="CI332" s="99">
        <f t="shared" si="260"/>
        <v>1.5557254381810023E-3</v>
      </c>
      <c r="CJ332" s="100">
        <f t="shared" si="261"/>
        <v>6.0778946288687638E-3</v>
      </c>
      <c r="CK332" s="100">
        <f t="shared" si="262"/>
        <v>1.4913624608261246E-2</v>
      </c>
      <c r="CL332" s="101">
        <f t="shared" si="246"/>
        <v>1.0827765546399509E-3</v>
      </c>
      <c r="CM332" s="100">
        <f t="shared" si="247"/>
        <v>4.8724944958797789E-3</v>
      </c>
      <c r="CN332" s="100">
        <f t="shared" si="248"/>
        <v>1.0332420869076897E-2</v>
      </c>
      <c r="CO332" s="100">
        <f t="shared" si="249"/>
        <v>2.5353161834044118E-2</v>
      </c>
      <c r="CP332" s="101">
        <f t="shared" si="250"/>
        <v>1.8407201428879165E-3</v>
      </c>
      <c r="CQ332" s="100">
        <f t="shared" si="251"/>
        <v>8.2832406429956245E-3</v>
      </c>
      <c r="CR332" s="99">
        <f t="shared" si="252"/>
        <v>0.33856110478139695</v>
      </c>
      <c r="CS332" s="31">
        <v>1.7</v>
      </c>
      <c r="CT332" s="31">
        <v>1.7</v>
      </c>
      <c r="CU332" s="43">
        <v>0.08</v>
      </c>
      <c r="CV332" s="44">
        <v>0.36</v>
      </c>
      <c r="CW332" s="19">
        <v>0.04</v>
      </c>
      <c r="CX332" s="44">
        <v>0.18</v>
      </c>
    </row>
    <row r="333" spans="1:102" x14ac:dyDescent="0.25">
      <c r="A333" s="31">
        <v>319</v>
      </c>
      <c r="B333" s="83" t="s">
        <v>254</v>
      </c>
      <c r="C333" s="31">
        <v>80</v>
      </c>
      <c r="D333" s="31" t="s">
        <v>26</v>
      </c>
      <c r="E333" s="31" t="s">
        <v>99</v>
      </c>
      <c r="F333" s="31" t="s">
        <v>70</v>
      </c>
      <c r="G333" s="31" t="str">
        <f t="shared" si="253"/>
        <v>Statlig 80 - 4S Ck</v>
      </c>
      <c r="H333" s="48">
        <f t="shared" si="220"/>
        <v>0.16853844867863876</v>
      </c>
      <c r="I333" s="40">
        <f t="shared" si="221"/>
        <v>0.22765252149318357</v>
      </c>
      <c r="J333" s="99">
        <f t="shared" si="222"/>
        <v>8.4609756017668715E-3</v>
      </c>
      <c r="K333" s="48">
        <f t="shared" si="223"/>
        <v>5.3432001367611379E-2</v>
      </c>
      <c r="L333" s="48">
        <f t="shared" si="224"/>
        <v>0.16575954452380531</v>
      </c>
      <c r="M333" s="48">
        <f t="shared" si="254"/>
        <v>0.33415818197857616</v>
      </c>
      <c r="N333" s="99">
        <f t="shared" si="225"/>
        <v>8.0239503982703422E-3</v>
      </c>
      <c r="O333" s="48">
        <f t="shared" si="226"/>
        <v>3.9386188504966842E-2</v>
      </c>
      <c r="P333" s="48">
        <f t="shared" si="227"/>
        <v>9.0834402324939348E-2</v>
      </c>
      <c r="Q333" s="48">
        <f t="shared" si="228"/>
        <v>0.28179122569046905</v>
      </c>
      <c r="R333" s="40">
        <f t="shared" si="255"/>
        <v>2.3391072738500331</v>
      </c>
      <c r="S333" s="99">
        <f t="shared" si="229"/>
        <v>1.364071567705958E-2</v>
      </c>
      <c r="T333" s="48">
        <f t="shared" si="230"/>
        <v>6.6956520458443622E-2</v>
      </c>
      <c r="U333" s="40">
        <v>9.430080000000002</v>
      </c>
      <c r="V333" s="40">
        <v>1.25</v>
      </c>
      <c r="W333" s="40">
        <v>0.45</v>
      </c>
      <c r="X333" s="40">
        <v>1.4156007350397048</v>
      </c>
      <c r="Y333" s="42">
        <v>2.9967294945844558</v>
      </c>
      <c r="Z333" s="42">
        <v>22.82981368176182</v>
      </c>
      <c r="AA333" s="42">
        <v>74.173456823653723</v>
      </c>
      <c r="AB333" s="42">
        <v>1.6595744680851066</v>
      </c>
      <c r="AC333" s="125">
        <v>1.1000000000000001</v>
      </c>
      <c r="AD333" s="94">
        <f t="shared" si="256"/>
        <v>0.14223765222382798</v>
      </c>
      <c r="AE333" s="94">
        <f t="shared" si="263"/>
        <v>0.20135172503837279</v>
      </c>
      <c r="AF333" s="96">
        <f t="shared" si="264"/>
        <v>6.0339665320795124E-3</v>
      </c>
      <c r="AG333" s="95">
        <f t="shared" si="270"/>
        <v>4.5968223671273865E-2</v>
      </c>
      <c r="AH333" s="94">
        <f t="shared" si="271"/>
        <v>0.14934953483501942</v>
      </c>
      <c r="AI333" s="94">
        <f t="shared" si="265"/>
        <v>0.33415818197857616</v>
      </c>
      <c r="AJ333" s="96">
        <f t="shared" si="231"/>
        <v>6.7449401739236477E-3</v>
      </c>
      <c r="AK333" s="95">
        <f t="shared" si="232"/>
        <v>3.3665588866647424E-2</v>
      </c>
      <c r="AL333" s="95">
        <f t="shared" si="233"/>
        <v>7.8145980241165564E-2</v>
      </c>
      <c r="AM333" s="94">
        <f t="shared" si="234"/>
        <v>0.25389420921953298</v>
      </c>
      <c r="AN333" s="93">
        <f t="shared" si="235"/>
        <v>2.3391072738500331</v>
      </c>
      <c r="AO333" s="96">
        <f t="shared" si="236"/>
        <v>1.1466398295670199E-2</v>
      </c>
      <c r="AP333" s="95">
        <f t="shared" si="237"/>
        <v>5.723150107330062E-2</v>
      </c>
      <c r="AQ333" s="93">
        <f t="shared" si="238"/>
        <v>0.25826543176346273</v>
      </c>
      <c r="AR333" s="31">
        <v>1.7</v>
      </c>
      <c r="AS333" s="31">
        <v>1.7</v>
      </c>
      <c r="AT333" s="31">
        <v>7</v>
      </c>
      <c r="AU333" s="43">
        <v>8.5000000000000006E-2</v>
      </c>
      <c r="AV333" s="44">
        <v>0.31</v>
      </c>
      <c r="AW333" s="19">
        <v>1.9E-2</v>
      </c>
      <c r="AX333" s="44">
        <v>0.13</v>
      </c>
      <c r="AY333" s="40">
        <v>5.8843957389478314</v>
      </c>
      <c r="AZ333" s="41">
        <v>0.5</v>
      </c>
      <c r="BA333" s="40">
        <v>0.72</v>
      </c>
      <c r="BB333" s="45">
        <v>1</v>
      </c>
      <c r="BC333" s="41">
        <v>23.21224490001492</v>
      </c>
      <c r="BD333" s="41">
        <v>36.921911535570835</v>
      </c>
      <c r="BE333" s="41">
        <v>39.865843564414241</v>
      </c>
      <c r="BF333" s="125">
        <v>1.1000000000000001</v>
      </c>
      <c r="BG333" s="48">
        <f t="shared" si="257"/>
        <v>3.7535517794997763E-3</v>
      </c>
      <c r="BH333" s="48">
        <f t="shared" si="266"/>
        <v>3.7535517794997763E-3</v>
      </c>
      <c r="BI333" s="99">
        <f t="shared" si="267"/>
        <v>8.7128363150635604E-4</v>
      </c>
      <c r="BJ333" s="99">
        <f t="shared" si="258"/>
        <v>1.3858830674687522E-3</v>
      </c>
      <c r="BK333" s="48">
        <f t="shared" si="268"/>
        <v>1.4963850805246679E-3</v>
      </c>
      <c r="BL333" s="99">
        <f t="shared" si="239"/>
        <v>1.9623366970674362E-4</v>
      </c>
      <c r="BM333" s="48">
        <f t="shared" si="240"/>
        <v>8.4810514243963868E-4</v>
      </c>
      <c r="BN333" s="48">
        <f t="shared" si="241"/>
        <v>2.3560012146968787E-3</v>
      </c>
      <c r="BO333" s="48">
        <f t="shared" si="242"/>
        <v>2.5438546368919354E-3</v>
      </c>
      <c r="BP333" s="99">
        <f t="shared" si="243"/>
        <v>3.3359723850146417E-4</v>
      </c>
      <c r="BQ333" s="48">
        <f t="shared" si="244"/>
        <v>1.4417787421473858E-3</v>
      </c>
      <c r="BR333" s="40">
        <f t="shared" si="245"/>
        <v>0.60134156435585751</v>
      </c>
      <c r="BS333" s="31">
        <v>1.7</v>
      </c>
      <c r="BT333" s="31">
        <v>1.7</v>
      </c>
      <c r="BU333" s="43">
        <v>0.12</v>
      </c>
      <c r="BV333" s="44">
        <v>0.45</v>
      </c>
      <c r="BW333" s="19">
        <v>0.02</v>
      </c>
      <c r="BX333" s="44">
        <v>0.15</v>
      </c>
      <c r="BY333" s="40">
        <v>15.604162492725626</v>
      </c>
      <c r="BZ333" s="40">
        <v>0.52</v>
      </c>
      <c r="CA333" s="40">
        <v>0.65</v>
      </c>
      <c r="CB333" s="45">
        <v>1</v>
      </c>
      <c r="CC333" s="41">
        <v>6.8998472344805162</v>
      </c>
      <c r="CD333" s="41">
        <v>26.95626324365918</v>
      </c>
      <c r="CE333" s="41">
        <v>66.143889521860302</v>
      </c>
      <c r="CF333" s="125">
        <v>1.1000000000000001</v>
      </c>
      <c r="CG333" s="40">
        <f t="shared" si="259"/>
        <v>2.2547244675311013E-2</v>
      </c>
      <c r="CH333" s="40">
        <f t="shared" si="269"/>
        <v>2.2547244675311013E-2</v>
      </c>
      <c r="CI333" s="99">
        <f t="shared" si="260"/>
        <v>1.5557254381810023E-3</v>
      </c>
      <c r="CJ333" s="100">
        <f t="shared" si="261"/>
        <v>6.0778946288687638E-3</v>
      </c>
      <c r="CK333" s="100">
        <f t="shared" si="262"/>
        <v>1.4913624608261246E-2</v>
      </c>
      <c r="CL333" s="101">
        <f t="shared" si="246"/>
        <v>1.0827765546399509E-3</v>
      </c>
      <c r="CM333" s="100">
        <f t="shared" si="247"/>
        <v>4.8724944958797789E-3</v>
      </c>
      <c r="CN333" s="100">
        <f t="shared" si="248"/>
        <v>1.0332420869076897E-2</v>
      </c>
      <c r="CO333" s="100">
        <f t="shared" si="249"/>
        <v>2.5353161834044118E-2</v>
      </c>
      <c r="CP333" s="101">
        <f t="shared" si="250"/>
        <v>1.8407201428879165E-3</v>
      </c>
      <c r="CQ333" s="100">
        <f t="shared" si="251"/>
        <v>8.2832406429956245E-3</v>
      </c>
      <c r="CR333" s="99">
        <f t="shared" si="252"/>
        <v>0.33856110478139695</v>
      </c>
      <c r="CS333" s="31">
        <v>1.7</v>
      </c>
      <c r="CT333" s="31">
        <v>1.7</v>
      </c>
      <c r="CU333" s="43">
        <v>0.08</v>
      </c>
      <c r="CV333" s="44">
        <v>0.36</v>
      </c>
      <c r="CW333" s="19">
        <v>0.04</v>
      </c>
      <c r="CX333" s="44">
        <v>0.18</v>
      </c>
    </row>
    <row r="334" spans="1:102" x14ac:dyDescent="0.25">
      <c r="A334" s="31">
        <v>320</v>
      </c>
      <c r="B334" s="83" t="s">
        <v>254</v>
      </c>
      <c r="C334" s="31">
        <v>80</v>
      </c>
      <c r="D334" s="31" t="s">
        <v>26</v>
      </c>
      <c r="E334" s="31" t="s">
        <v>99</v>
      </c>
      <c r="F334" s="31" t="s">
        <v>71</v>
      </c>
      <c r="G334" s="31" t="str">
        <f t="shared" si="253"/>
        <v>Statlig 80 - 4S Cm</v>
      </c>
      <c r="H334" s="48">
        <f t="shared" si="220"/>
        <v>0.14720280084506454</v>
      </c>
      <c r="I334" s="40">
        <f t="shared" si="221"/>
        <v>0.19744976273742759</v>
      </c>
      <c r="J334" s="99">
        <f t="shared" si="222"/>
        <v>7.5558806219549416E-3</v>
      </c>
      <c r="K334" s="48">
        <f t="shared" si="223"/>
        <v>4.6536767816920288E-2</v>
      </c>
      <c r="L334" s="48">
        <f t="shared" si="224"/>
        <v>0.14335711429855233</v>
      </c>
      <c r="M334" s="48">
        <f t="shared" si="254"/>
        <v>0.28403445468178956</v>
      </c>
      <c r="N334" s="99">
        <f t="shared" si="225"/>
        <v>7.0122093721817925E-3</v>
      </c>
      <c r="O334" s="48">
        <f t="shared" si="226"/>
        <v>3.4336350174969714E-2</v>
      </c>
      <c r="P334" s="48">
        <f t="shared" si="227"/>
        <v>7.9112505288764498E-2</v>
      </c>
      <c r="Q334" s="48">
        <f t="shared" si="228"/>
        <v>0.24370709430753901</v>
      </c>
      <c r="R334" s="40">
        <f t="shared" si="255"/>
        <v>1.9882411827725268</v>
      </c>
      <c r="S334" s="99">
        <f t="shared" si="229"/>
        <v>1.1920755932709047E-2</v>
      </c>
      <c r="T334" s="48">
        <f t="shared" si="230"/>
        <v>5.8371795297448514E-2</v>
      </c>
      <c r="U334" s="40">
        <v>8.015568</v>
      </c>
      <c r="V334" s="40">
        <v>1.25</v>
      </c>
      <c r="W334" s="40">
        <v>0.45</v>
      </c>
      <c r="X334" s="40">
        <v>1.4156007350397046</v>
      </c>
      <c r="Y334" s="42">
        <v>2.9967294945844549</v>
      </c>
      <c r="Z334" s="42">
        <v>22.82981368176182</v>
      </c>
      <c r="AA334" s="42">
        <v>74.173456823653723</v>
      </c>
      <c r="AB334" s="42">
        <v>1.6595744680851063</v>
      </c>
      <c r="AC334" s="125">
        <v>1.1000000000000001</v>
      </c>
      <c r="AD334" s="94">
        <f t="shared" si="256"/>
        <v>0.12090200439025375</v>
      </c>
      <c r="AE334" s="94">
        <f t="shared" si="263"/>
        <v>0.1711489662826168</v>
      </c>
      <c r="AF334" s="96">
        <f t="shared" si="264"/>
        <v>5.1288715522675825E-3</v>
      </c>
      <c r="AG334" s="95">
        <f t="shared" si="270"/>
        <v>3.9072990120582775E-2</v>
      </c>
      <c r="AH334" s="94">
        <f t="shared" si="271"/>
        <v>0.12694710460976644</v>
      </c>
      <c r="AI334" s="94">
        <f t="shared" si="265"/>
        <v>0.28403445468178956</v>
      </c>
      <c r="AJ334" s="96">
        <f t="shared" si="231"/>
        <v>5.7331991478350979E-3</v>
      </c>
      <c r="AK334" s="95">
        <f t="shared" si="232"/>
        <v>2.8615750536650299E-2</v>
      </c>
      <c r="AL334" s="95">
        <f t="shared" si="233"/>
        <v>6.6424083204990714E-2</v>
      </c>
      <c r="AM334" s="94">
        <f t="shared" si="234"/>
        <v>0.21581007783660294</v>
      </c>
      <c r="AN334" s="93">
        <f t="shared" si="235"/>
        <v>1.9882411827725268</v>
      </c>
      <c r="AO334" s="96">
        <f t="shared" si="236"/>
        <v>9.7464385513196666E-3</v>
      </c>
      <c r="AP334" s="95">
        <f t="shared" si="237"/>
        <v>4.8646775912305505E-2</v>
      </c>
      <c r="AQ334" s="93">
        <f t="shared" si="238"/>
        <v>0.25826543176346273</v>
      </c>
      <c r="AR334" s="31">
        <v>1.7</v>
      </c>
      <c r="AS334" s="31">
        <v>1.7</v>
      </c>
      <c r="AT334" s="31">
        <v>7</v>
      </c>
      <c r="AU334" s="43">
        <v>8.5000000000000006E-2</v>
      </c>
      <c r="AV334" s="44">
        <v>0.31</v>
      </c>
      <c r="AW334" s="19">
        <v>1.9E-2</v>
      </c>
      <c r="AX334" s="44">
        <v>0.13</v>
      </c>
      <c r="AY334" s="40">
        <v>5.8843957389478314</v>
      </c>
      <c r="AZ334" s="41">
        <v>0.5</v>
      </c>
      <c r="BA334" s="40">
        <v>0.72</v>
      </c>
      <c r="BB334" s="45">
        <v>1</v>
      </c>
      <c r="BC334" s="41">
        <v>23.21224490001492</v>
      </c>
      <c r="BD334" s="41">
        <v>36.921911535570835</v>
      </c>
      <c r="BE334" s="41">
        <v>39.865843564414241</v>
      </c>
      <c r="BF334" s="125">
        <v>1.1000000000000001</v>
      </c>
      <c r="BG334" s="48">
        <f t="shared" si="257"/>
        <v>3.7535517794997763E-3</v>
      </c>
      <c r="BH334" s="48">
        <f t="shared" si="266"/>
        <v>3.7535517794997763E-3</v>
      </c>
      <c r="BI334" s="99">
        <f t="shared" si="267"/>
        <v>8.7128363150635604E-4</v>
      </c>
      <c r="BJ334" s="99">
        <f t="shared" si="258"/>
        <v>1.3858830674687522E-3</v>
      </c>
      <c r="BK334" s="48">
        <f t="shared" si="268"/>
        <v>1.4963850805246679E-3</v>
      </c>
      <c r="BL334" s="99">
        <f t="shared" si="239"/>
        <v>1.9623366970674362E-4</v>
      </c>
      <c r="BM334" s="48">
        <f t="shared" si="240"/>
        <v>8.4810514243963868E-4</v>
      </c>
      <c r="BN334" s="48">
        <f t="shared" si="241"/>
        <v>2.3560012146968787E-3</v>
      </c>
      <c r="BO334" s="48">
        <f t="shared" si="242"/>
        <v>2.5438546368919354E-3</v>
      </c>
      <c r="BP334" s="99">
        <f t="shared" si="243"/>
        <v>3.3359723850146417E-4</v>
      </c>
      <c r="BQ334" s="48">
        <f t="shared" si="244"/>
        <v>1.4417787421473858E-3</v>
      </c>
      <c r="BR334" s="40">
        <f t="shared" si="245"/>
        <v>0.60134156435585751</v>
      </c>
      <c r="BS334" s="31">
        <v>1.7</v>
      </c>
      <c r="BT334" s="31">
        <v>1.7</v>
      </c>
      <c r="BU334" s="43">
        <v>0.12</v>
      </c>
      <c r="BV334" s="44">
        <v>0.45</v>
      </c>
      <c r="BW334" s="19">
        <v>0.02</v>
      </c>
      <c r="BX334" s="44">
        <v>0.15</v>
      </c>
      <c r="BY334" s="40">
        <v>15.604162492725626</v>
      </c>
      <c r="BZ334" s="40">
        <v>0.52</v>
      </c>
      <c r="CA334" s="40">
        <v>0.65</v>
      </c>
      <c r="CB334" s="45">
        <v>1</v>
      </c>
      <c r="CC334" s="41">
        <v>6.8998472344805162</v>
      </c>
      <c r="CD334" s="41">
        <v>26.95626324365918</v>
      </c>
      <c r="CE334" s="41">
        <v>66.143889521860302</v>
      </c>
      <c r="CF334" s="125">
        <v>1.1000000000000001</v>
      </c>
      <c r="CG334" s="40">
        <f t="shared" si="259"/>
        <v>2.2547244675311013E-2</v>
      </c>
      <c r="CH334" s="40">
        <f t="shared" si="269"/>
        <v>2.2547244675311013E-2</v>
      </c>
      <c r="CI334" s="99">
        <f t="shared" si="260"/>
        <v>1.5557254381810023E-3</v>
      </c>
      <c r="CJ334" s="100">
        <f t="shared" si="261"/>
        <v>6.0778946288687638E-3</v>
      </c>
      <c r="CK334" s="100">
        <f t="shared" si="262"/>
        <v>1.4913624608261246E-2</v>
      </c>
      <c r="CL334" s="101">
        <f t="shared" si="246"/>
        <v>1.0827765546399509E-3</v>
      </c>
      <c r="CM334" s="100">
        <f t="shared" si="247"/>
        <v>4.8724944958797789E-3</v>
      </c>
      <c r="CN334" s="100">
        <f t="shared" si="248"/>
        <v>1.0332420869076897E-2</v>
      </c>
      <c r="CO334" s="100">
        <f t="shared" si="249"/>
        <v>2.5353161834044118E-2</v>
      </c>
      <c r="CP334" s="101">
        <f t="shared" si="250"/>
        <v>1.8407201428879165E-3</v>
      </c>
      <c r="CQ334" s="100">
        <f t="shared" si="251"/>
        <v>8.2832406429956245E-3</v>
      </c>
      <c r="CR334" s="99">
        <f t="shared" si="252"/>
        <v>0.33856110478139695</v>
      </c>
      <c r="CS334" s="31">
        <v>1.7</v>
      </c>
      <c r="CT334" s="31">
        <v>1.7</v>
      </c>
      <c r="CU334" s="43">
        <v>0.08</v>
      </c>
      <c r="CV334" s="44">
        <v>0.36</v>
      </c>
      <c r="CW334" s="19">
        <v>0.04</v>
      </c>
      <c r="CX334" s="44">
        <v>0.18</v>
      </c>
    </row>
    <row r="335" spans="1:102" x14ac:dyDescent="0.25">
      <c r="A335" s="31">
        <v>321</v>
      </c>
      <c r="B335" s="83" t="s">
        <v>254</v>
      </c>
      <c r="C335" s="31">
        <v>80</v>
      </c>
      <c r="D335" s="31" t="s">
        <v>26</v>
      </c>
      <c r="E335" s="31" t="s">
        <v>99</v>
      </c>
      <c r="F335" s="31" t="s">
        <v>64</v>
      </c>
      <c r="G335" s="31" t="str">
        <f t="shared" si="253"/>
        <v>Statlig 80 - 4S F</v>
      </c>
      <c r="H335" s="48">
        <f t="shared" ref="H335:H350" si="272">AD335+BG335+CG335</f>
        <v>8.2136640785228365E-2</v>
      </c>
      <c r="I335" s="40">
        <f t="shared" ref="I335:I350" si="273">AE335+BH335+CH335</f>
        <v>8.8036547780920266E-2</v>
      </c>
      <c r="J335" s="99">
        <f t="shared" ref="J335:J350" si="274">AF335+BI335+CI335</f>
        <v>2.8795565595933223E-3</v>
      </c>
      <c r="K335" s="48">
        <f t="shared" ref="K335:K350" si="275">AG335+BJ335+CJ335</f>
        <v>1.754142673196294E-2</v>
      </c>
      <c r="L335" s="48">
        <f t="shared" ref="L335:L350" si="276">AH335+BK335+CK335</f>
        <v>6.7615564489363997E-2</v>
      </c>
      <c r="M335" s="48">
        <f t="shared" si="254"/>
        <v>0.12648300271690724</v>
      </c>
      <c r="N335" s="99">
        <f t="shared" ref="N335:N350" si="277">AJ335+BL335+CL335</f>
        <v>3.1085159335858398E-3</v>
      </c>
      <c r="O335" s="48">
        <f t="shared" ref="O335:O350" si="278">AK335+BM335+CM335</f>
        <v>1.5501392963438452E-2</v>
      </c>
      <c r="P335" s="48">
        <f t="shared" ref="P335:P350" si="279">AL335+BN335+CN335</f>
        <v>2.9820425444337002E-2</v>
      </c>
      <c r="Q335" s="48">
        <f t="shared" ref="Q335:Q350" si="280">AM335+BO335+CO335</f>
        <v>0.11494645963191881</v>
      </c>
      <c r="R335" s="40">
        <f t="shared" si="255"/>
        <v>0.88538101901835065</v>
      </c>
      <c r="S335" s="99">
        <f t="shared" ref="S335:S350" si="281">AO335++BP335+CP335</f>
        <v>5.2844770870959269E-3</v>
      </c>
      <c r="T335" s="48">
        <f t="shared" ref="T335:T350" si="282">AP335++BQ335+CQ335</f>
        <v>2.6352368037845367E-2</v>
      </c>
      <c r="U335" s="40">
        <v>3.7018080000000011</v>
      </c>
      <c r="V335" s="40">
        <v>1.25</v>
      </c>
      <c r="W335" s="40">
        <v>0.45</v>
      </c>
      <c r="X335" s="40">
        <v>1.1056652239514504</v>
      </c>
      <c r="Y335" s="42">
        <v>0.73303957623428262</v>
      </c>
      <c r="Z335" s="42">
        <v>16.323846100765532</v>
      </c>
      <c r="AA335" s="42">
        <v>82.943114323000174</v>
      </c>
      <c r="AB335" s="42">
        <v>2.0487804878048781</v>
      </c>
      <c r="AC335" s="125">
        <v>1.1000000000000001</v>
      </c>
      <c r="AD335" s="94">
        <f t="shared" si="256"/>
        <v>5.5835844330417585E-2</v>
      </c>
      <c r="AE335" s="94">
        <f t="shared" si="263"/>
        <v>6.1735751326109478E-2</v>
      </c>
      <c r="AF335" s="96">
        <f t="shared" si="264"/>
        <v>4.5254748990596343E-4</v>
      </c>
      <c r="AG335" s="95">
        <f t="shared" si="270"/>
        <v>1.0077649035625427E-2</v>
      </c>
      <c r="AH335" s="94">
        <f t="shared" si="271"/>
        <v>5.1205554800578083E-2</v>
      </c>
      <c r="AI335" s="94">
        <f t="shared" si="265"/>
        <v>0.12648300271690724</v>
      </c>
      <c r="AJ335" s="96">
        <f t="shared" ref="AJ335:AJ350" si="283">AG335*AU335+AH335*AW335</f>
        <v>1.8295057092391448E-3</v>
      </c>
      <c r="AK335" s="95">
        <f t="shared" ref="AK335:AK350" si="284">AG335*AV335+AH335*AX335</f>
        <v>9.7807933251190336E-3</v>
      </c>
      <c r="AL335" s="95">
        <f t="shared" ref="AL335:AL350" si="285">AG335*AR335</f>
        <v>1.7132003360563225E-2</v>
      </c>
      <c r="AM335" s="94">
        <f t="shared" ref="AM335:AM350" si="286">AH335*AS335</f>
        <v>8.7049443160982745E-2</v>
      </c>
      <c r="AN335" s="93">
        <f t="shared" ref="AN335:AN350" si="287">AI335*AT335</f>
        <v>0.88538101901835065</v>
      </c>
      <c r="AO335" s="96">
        <f t="shared" ref="AO335:AO350" si="288">AL335*AU335+AM335*AW335</f>
        <v>3.1101597057065465E-3</v>
      </c>
      <c r="AP335" s="95">
        <f t="shared" ref="AP335:AP350" si="289">AL335*AV335+AM335*AX335</f>
        <v>1.6627348652702358E-2</v>
      </c>
      <c r="AQ335" s="93">
        <f t="shared" ref="AQ335:AQ350" si="290">(AF335+AG335)/AE335</f>
        <v>0.17056885676999817</v>
      </c>
      <c r="AR335" s="31">
        <v>1.7</v>
      </c>
      <c r="AS335" s="31">
        <v>1.7</v>
      </c>
      <c r="AT335" s="31">
        <v>7</v>
      </c>
      <c r="AU335" s="43">
        <v>8.5000000000000006E-2</v>
      </c>
      <c r="AV335" s="44">
        <v>0.31</v>
      </c>
      <c r="AW335" s="19">
        <v>1.9E-2</v>
      </c>
      <c r="AX335" s="44">
        <v>0.13</v>
      </c>
      <c r="AY335" s="40">
        <v>5.8843957389478314</v>
      </c>
      <c r="AZ335" s="41">
        <v>0.5</v>
      </c>
      <c r="BA335" s="40">
        <v>0.72</v>
      </c>
      <c r="BB335" s="45">
        <v>1</v>
      </c>
      <c r="BC335" s="41">
        <v>23.21224490001492</v>
      </c>
      <c r="BD335" s="41">
        <v>36.921911535570842</v>
      </c>
      <c r="BE335" s="41">
        <v>39.865843564414241</v>
      </c>
      <c r="BF335" s="125">
        <v>1.1000000000000001</v>
      </c>
      <c r="BG335" s="48">
        <f t="shared" si="257"/>
        <v>3.7535517794997763E-3</v>
      </c>
      <c r="BH335" s="48">
        <f t="shared" si="266"/>
        <v>3.7535517794997763E-3</v>
      </c>
      <c r="BI335" s="99">
        <f t="shared" si="267"/>
        <v>8.7128363150635604E-4</v>
      </c>
      <c r="BJ335" s="99">
        <f t="shared" si="258"/>
        <v>1.3858830674687525E-3</v>
      </c>
      <c r="BK335" s="48">
        <f t="shared" si="268"/>
        <v>1.4963850805246679E-3</v>
      </c>
      <c r="BL335" s="99">
        <f t="shared" ref="BL335:BL350" si="291">BJ335*BU335+BK335*BW335</f>
        <v>1.9623366970674365E-4</v>
      </c>
      <c r="BM335" s="48">
        <f t="shared" ref="BM335:BM350" si="292">BJ335*BV335+BK335*BX335</f>
        <v>8.481051424396389E-4</v>
      </c>
      <c r="BN335" s="48">
        <f t="shared" ref="BN335:BN350" si="293">BJ335*BS335</f>
        <v>2.3560012146968791E-3</v>
      </c>
      <c r="BO335" s="48">
        <f t="shared" ref="BO335:BO350" si="294">BK335*BT335</f>
        <v>2.5438546368919354E-3</v>
      </c>
      <c r="BP335" s="99">
        <f t="shared" ref="BP335:BP350" si="295">BN335*BU335+BO335*BW335</f>
        <v>3.3359723850146417E-4</v>
      </c>
      <c r="BQ335" s="48">
        <f t="shared" ref="BQ335:BQ350" si="296">BN335*BV335+BO335*BX335</f>
        <v>1.441778742147386E-3</v>
      </c>
      <c r="BR335" s="40">
        <f t="shared" ref="BR335:BR350" si="297">(BI335+BJ335)/BH335</f>
        <v>0.60134156435585751</v>
      </c>
      <c r="BS335" s="31">
        <v>1.7</v>
      </c>
      <c r="BT335" s="31">
        <v>1.7</v>
      </c>
      <c r="BU335" s="43">
        <v>0.12</v>
      </c>
      <c r="BV335" s="44">
        <v>0.45</v>
      </c>
      <c r="BW335" s="19">
        <v>0.02</v>
      </c>
      <c r="BX335" s="44">
        <v>0.15</v>
      </c>
      <c r="BY335" s="40">
        <v>15.604162492725624</v>
      </c>
      <c r="BZ335" s="40">
        <v>0.52</v>
      </c>
      <c r="CA335" s="40">
        <v>0.65</v>
      </c>
      <c r="CB335" s="45">
        <v>1</v>
      </c>
      <c r="CC335" s="41">
        <v>6.899847234480518</v>
      </c>
      <c r="CD335" s="41">
        <v>26.95626324365918</v>
      </c>
      <c r="CE335" s="41">
        <v>66.143889521860316</v>
      </c>
      <c r="CF335" s="125">
        <v>1.1000000000000001</v>
      </c>
      <c r="CG335" s="40">
        <f t="shared" si="259"/>
        <v>2.254724467531101E-2</v>
      </c>
      <c r="CH335" s="40">
        <f t="shared" si="269"/>
        <v>2.254724467531101E-2</v>
      </c>
      <c r="CI335" s="99">
        <f t="shared" si="260"/>
        <v>1.5557254381810025E-3</v>
      </c>
      <c r="CJ335" s="100">
        <f t="shared" si="261"/>
        <v>6.077894628868763E-3</v>
      </c>
      <c r="CK335" s="100">
        <f t="shared" si="262"/>
        <v>1.4913624608261249E-2</v>
      </c>
      <c r="CL335" s="101">
        <f t="shared" ref="CL335:CL350" si="298">CJ335*CU335+CK335*CW335</f>
        <v>1.0827765546399511E-3</v>
      </c>
      <c r="CM335" s="100">
        <f t="shared" ref="CM335:CM350" si="299">CJ335*CV335+CK335*CX335</f>
        <v>4.8724944958797797E-3</v>
      </c>
      <c r="CN335" s="100">
        <f t="shared" ref="CN335:CN350" si="300">CJ335*CS335</f>
        <v>1.0332420869076897E-2</v>
      </c>
      <c r="CO335" s="100">
        <f t="shared" ref="CO335:CO350" si="301">CK335*CT335</f>
        <v>2.5353161834044121E-2</v>
      </c>
      <c r="CP335" s="101">
        <f t="shared" ref="CP335:CP350" si="302">CN335*CU335+CO335*CW335</f>
        <v>1.8407201428879167E-3</v>
      </c>
      <c r="CQ335" s="100">
        <f t="shared" ref="CQ335:CQ350" si="303">CN335*CV335+CO335*CX335</f>
        <v>8.2832406429956245E-3</v>
      </c>
      <c r="CR335" s="99">
        <f t="shared" ref="CR335:CR350" si="304">(CI335+CJ335)/CH335</f>
        <v>0.33856110478139695</v>
      </c>
      <c r="CS335" s="31">
        <v>1.7</v>
      </c>
      <c r="CT335" s="31">
        <v>1.7</v>
      </c>
      <c r="CU335" s="43">
        <v>0.08</v>
      </c>
      <c r="CV335" s="44">
        <v>0.36</v>
      </c>
      <c r="CW335" s="19">
        <v>0.04</v>
      </c>
      <c r="CX335" s="44">
        <v>0.18</v>
      </c>
    </row>
    <row r="336" spans="1:102" x14ac:dyDescent="0.25">
      <c r="A336" s="31">
        <v>322</v>
      </c>
      <c r="B336" s="83" t="s">
        <v>254</v>
      </c>
      <c r="C336" s="31">
        <v>90</v>
      </c>
      <c r="D336" s="31" t="s">
        <v>26</v>
      </c>
      <c r="E336" s="31" t="s">
        <v>99</v>
      </c>
      <c r="F336" s="31" t="s">
        <v>12</v>
      </c>
      <c r="G336" s="31" t="str">
        <f t="shared" ref="G336:G350" si="305">D336&amp;" "&amp;C336&amp;" "&amp;E336&amp;" "&amp;B336&amp;" "&amp;F336</f>
        <v>Statlig 90 - 4S A</v>
      </c>
      <c r="H336" s="48">
        <f t="shared" si="272"/>
        <v>0.16136268914118407</v>
      </c>
      <c r="I336" s="40">
        <f t="shared" si="273"/>
        <v>0.24794998101691457</v>
      </c>
      <c r="J336" s="99">
        <f t="shared" si="274"/>
        <v>1.0193946508152855E-2</v>
      </c>
      <c r="K336" s="48">
        <f t="shared" si="275"/>
        <v>6.1416093525990097E-2</v>
      </c>
      <c r="L336" s="48">
        <f t="shared" si="276"/>
        <v>0.17633994098277161</v>
      </c>
      <c r="M336" s="48">
        <f t="shared" ref="M336:M350" si="306">AI336</f>
        <v>0.40669452899201669</v>
      </c>
      <c r="N336" s="99">
        <f t="shared" si="277"/>
        <v>7.640331087467294E-3</v>
      </c>
      <c r="O336" s="48">
        <f t="shared" si="278"/>
        <v>4.2465485271358197E-2</v>
      </c>
      <c r="P336" s="48">
        <f t="shared" si="279"/>
        <v>0.10440735899418316</v>
      </c>
      <c r="Q336" s="48">
        <f t="shared" si="280"/>
        <v>0.29977789967071172</v>
      </c>
      <c r="R336" s="40">
        <f t="shared" ref="R336:R350" si="307">AN336</f>
        <v>2.8468617029441168</v>
      </c>
      <c r="S336" s="99">
        <f t="shared" si="281"/>
        <v>1.29885628486944E-2</v>
      </c>
      <c r="T336" s="48">
        <f t="shared" si="282"/>
        <v>7.2191324961308936E-2</v>
      </c>
      <c r="U336" s="40">
        <v>8.7780000000000005</v>
      </c>
      <c r="V336" s="40">
        <v>1.25</v>
      </c>
      <c r="W336" s="40">
        <v>0.45</v>
      </c>
      <c r="X336" s="40">
        <v>1.6539723430924427</v>
      </c>
      <c r="Y336" s="42">
        <v>3.3197225366043686</v>
      </c>
      <c r="Z336" s="42">
        <v>24.127673726603245</v>
      </c>
      <c r="AA336" s="42">
        <v>72.552603736792392</v>
      </c>
      <c r="AB336" s="42">
        <v>1.8571428571428572</v>
      </c>
      <c r="AC336" s="125">
        <v>1.1000000000000001</v>
      </c>
      <c r="AD336" s="94">
        <f t="shared" ref="AD336:AD350" si="308">AC336*$E$7*U336/10^6*($B$7)^V336*($B$8/$B$7)^W336</f>
        <v>0.13240206988920156</v>
      </c>
      <c r="AE336" s="94">
        <f t="shared" si="263"/>
        <v>0.21898936176493206</v>
      </c>
      <c r="AF336" s="96">
        <f t="shared" si="264"/>
        <v>7.2698391952765199E-3</v>
      </c>
      <c r="AG336" s="95">
        <f t="shared" si="270"/>
        <v>5.2837038702613644E-2</v>
      </c>
      <c r="AH336" s="94">
        <f t="shared" si="271"/>
        <v>0.1588824838670419</v>
      </c>
      <c r="AI336" s="94">
        <f t="shared" si="265"/>
        <v>0.40669452899201669</v>
      </c>
      <c r="AJ336" s="96">
        <f t="shared" si="283"/>
        <v>6.7173599026567514E-3</v>
      </c>
      <c r="AK336" s="95">
        <f t="shared" si="284"/>
        <v>3.7034204900525676E-2</v>
      </c>
      <c r="AL336" s="95">
        <f t="shared" si="285"/>
        <v>8.9822965794443196E-2</v>
      </c>
      <c r="AM336" s="94">
        <f t="shared" si="286"/>
        <v>0.2701002225739712</v>
      </c>
      <c r="AN336" s="93">
        <f t="shared" si="287"/>
        <v>2.8468617029441168</v>
      </c>
      <c r="AO336" s="96">
        <f t="shared" si="288"/>
        <v>1.1419511834516477E-2</v>
      </c>
      <c r="AP336" s="95">
        <f t="shared" si="289"/>
        <v>6.2958148330893651E-2</v>
      </c>
      <c r="AQ336" s="93">
        <f t="shared" si="290"/>
        <v>0.27447396263207613</v>
      </c>
      <c r="AR336" s="31">
        <v>1.7</v>
      </c>
      <c r="AS336" s="31">
        <v>1.7</v>
      </c>
      <c r="AT336" s="31">
        <v>7</v>
      </c>
      <c r="AU336" s="43">
        <v>7.0000000000000007E-2</v>
      </c>
      <c r="AV336" s="44">
        <v>0.31</v>
      </c>
      <c r="AW336" s="19">
        <v>1.9E-2</v>
      </c>
      <c r="AX336" s="44">
        <v>0.13</v>
      </c>
      <c r="AY336" s="40">
        <v>6.638540530839391</v>
      </c>
      <c r="AZ336" s="41">
        <v>0.5</v>
      </c>
      <c r="BA336" s="40">
        <v>0.72</v>
      </c>
      <c r="BB336" s="45">
        <v>1</v>
      </c>
      <c r="BC336" s="41">
        <v>24.789531138900774</v>
      </c>
      <c r="BD336" s="41">
        <v>37.617868674255881</v>
      </c>
      <c r="BE336" s="41">
        <v>37.592600186843342</v>
      </c>
      <c r="BF336" s="125">
        <v>1.1000000000000001</v>
      </c>
      <c r="BG336" s="48">
        <f t="shared" ref="BG336:BG350" si="309">BF336*$E$8*AY336/10^6*($B$7)^AZ336*($B$9)^BA336</f>
        <v>4.2346073799701825E-3</v>
      </c>
      <c r="BH336" s="48">
        <f t="shared" si="266"/>
        <v>4.2346073799701825E-3</v>
      </c>
      <c r="BI336" s="99">
        <f t="shared" si="267"/>
        <v>1.0497393150678987E-3</v>
      </c>
      <c r="BJ336" s="99">
        <f t="shared" ref="BJ336:BJ350" si="310">$BH336*BD336/100</f>
        <v>1.5929690430675312E-3</v>
      </c>
      <c r="BK336" s="48">
        <f t="shared" si="268"/>
        <v>1.5918990218347529E-3</v>
      </c>
      <c r="BL336" s="99">
        <f t="shared" si="291"/>
        <v>2.4688880125081181E-4</v>
      </c>
      <c r="BM336" s="48">
        <f t="shared" si="292"/>
        <v>9.55620922655602E-4</v>
      </c>
      <c r="BN336" s="48">
        <f t="shared" si="293"/>
        <v>2.7080473732148027E-3</v>
      </c>
      <c r="BO336" s="48">
        <f t="shared" si="294"/>
        <v>2.7062283371190798E-3</v>
      </c>
      <c r="BP336" s="99">
        <f t="shared" si="295"/>
        <v>4.1971096212637998E-4</v>
      </c>
      <c r="BQ336" s="48">
        <f t="shared" si="296"/>
        <v>1.6245555685145232E-3</v>
      </c>
      <c r="BR336" s="40">
        <f t="shared" si="297"/>
        <v>0.62407399813156661</v>
      </c>
      <c r="BS336" s="31">
        <v>1.7</v>
      </c>
      <c r="BT336" s="31">
        <v>1.7</v>
      </c>
      <c r="BU336" s="43">
        <v>0.13500000000000001</v>
      </c>
      <c r="BV336" s="44">
        <v>0.45</v>
      </c>
      <c r="BW336" s="19">
        <v>0.02</v>
      </c>
      <c r="BX336" s="44">
        <v>0.15</v>
      </c>
      <c r="BY336" s="40">
        <v>17.112011361211735</v>
      </c>
      <c r="BZ336" s="40">
        <v>0.52</v>
      </c>
      <c r="CA336" s="40">
        <v>0.65</v>
      </c>
      <c r="CB336" s="45">
        <v>1</v>
      </c>
      <c r="CC336" s="41">
        <v>7.5805512328903255</v>
      </c>
      <c r="CD336" s="41">
        <v>28.253993472423133</v>
      </c>
      <c r="CE336" s="41">
        <v>64.165455294686552</v>
      </c>
      <c r="CF336" s="125">
        <v>1.1000000000000001</v>
      </c>
      <c r="CG336" s="40">
        <f t="shared" ref="CG336:CG350" si="311">CF336*$E$9*BY336/10^6*($B$7)^BZ336*($B$10)^CA336</f>
        <v>2.4726011872012302E-2</v>
      </c>
      <c r="CH336" s="40">
        <f t="shared" si="269"/>
        <v>2.4726011872012302E-2</v>
      </c>
      <c r="CI336" s="99">
        <f t="shared" ref="CI336:CI350" si="312">CC336/100*CH336</f>
        <v>1.8743679978084368E-3</v>
      </c>
      <c r="CJ336" s="100">
        <f t="shared" ref="CJ336:CJ350" si="313">CD336/100*CH336</f>
        <v>6.9860857803089246E-3</v>
      </c>
      <c r="CK336" s="100">
        <f t="shared" ref="CK336:CK350" si="314">CE336/100*CH336</f>
        <v>1.5865558093894946E-2</v>
      </c>
      <c r="CL336" s="101">
        <f t="shared" si="298"/>
        <v>6.7608238355973058E-4</v>
      </c>
      <c r="CM336" s="100">
        <f t="shared" si="299"/>
        <v>4.4756594481769191E-3</v>
      </c>
      <c r="CN336" s="100">
        <f t="shared" si="300"/>
        <v>1.1876345826525171E-2</v>
      </c>
      <c r="CO336" s="100">
        <f t="shared" si="301"/>
        <v>2.6971448759621406E-2</v>
      </c>
      <c r="CP336" s="101">
        <f t="shared" si="302"/>
        <v>1.1493400520515421E-3</v>
      </c>
      <c r="CQ336" s="100">
        <f t="shared" si="303"/>
        <v>7.6086210619007617E-3</v>
      </c>
      <c r="CR336" s="99">
        <f t="shared" si="304"/>
        <v>0.35834544705313459</v>
      </c>
      <c r="CS336" s="31">
        <v>1.7</v>
      </c>
      <c r="CT336" s="31">
        <v>1.7</v>
      </c>
      <c r="CU336" s="43">
        <v>0.04</v>
      </c>
      <c r="CV336" s="44">
        <v>0.3</v>
      </c>
      <c r="CW336" s="19">
        <v>2.5000000000000001E-2</v>
      </c>
      <c r="CX336" s="44">
        <v>0.15</v>
      </c>
    </row>
    <row r="337" spans="1:102" x14ac:dyDescent="0.25">
      <c r="A337" s="31">
        <v>323</v>
      </c>
      <c r="B337" s="83" t="s">
        <v>254</v>
      </c>
      <c r="C337" s="31">
        <v>90</v>
      </c>
      <c r="D337" s="31" t="s">
        <v>26</v>
      </c>
      <c r="E337" s="31" t="s">
        <v>99</v>
      </c>
      <c r="F337" s="31" t="s">
        <v>13</v>
      </c>
      <c r="G337" s="31" t="str">
        <f t="shared" si="305"/>
        <v>Statlig 90 - 4S B</v>
      </c>
      <c r="H337" s="48">
        <f t="shared" si="272"/>
        <v>0.16136268914118407</v>
      </c>
      <c r="I337" s="40">
        <f t="shared" si="273"/>
        <v>0.24794998101691457</v>
      </c>
      <c r="J337" s="99">
        <f t="shared" si="274"/>
        <v>1.0193946508152855E-2</v>
      </c>
      <c r="K337" s="48">
        <f t="shared" si="275"/>
        <v>6.1416093525990097E-2</v>
      </c>
      <c r="L337" s="48">
        <f t="shared" si="276"/>
        <v>0.17633994098277161</v>
      </c>
      <c r="M337" s="48">
        <f t="shared" si="306"/>
        <v>0.40669452899201669</v>
      </c>
      <c r="N337" s="99">
        <f t="shared" si="277"/>
        <v>7.640331087467294E-3</v>
      </c>
      <c r="O337" s="48">
        <f t="shared" si="278"/>
        <v>4.2465485271358197E-2</v>
      </c>
      <c r="P337" s="48">
        <f t="shared" si="279"/>
        <v>0.10440735899418316</v>
      </c>
      <c r="Q337" s="48">
        <f t="shared" si="280"/>
        <v>0.29977789967071172</v>
      </c>
      <c r="R337" s="40">
        <f t="shared" si="307"/>
        <v>2.8468617029441168</v>
      </c>
      <c r="S337" s="99">
        <f t="shared" si="281"/>
        <v>1.29885628486944E-2</v>
      </c>
      <c r="T337" s="48">
        <f t="shared" si="282"/>
        <v>7.2191324961308936E-2</v>
      </c>
      <c r="U337" s="40">
        <v>8.7780000000000005</v>
      </c>
      <c r="V337" s="40">
        <v>1.25</v>
      </c>
      <c r="W337" s="40">
        <v>0.45</v>
      </c>
      <c r="X337" s="40">
        <v>1.6539723430924427</v>
      </c>
      <c r="Y337" s="42">
        <v>3.3197225366043686</v>
      </c>
      <c r="Z337" s="42">
        <v>24.127673726603245</v>
      </c>
      <c r="AA337" s="42">
        <v>72.552603736792392</v>
      </c>
      <c r="AB337" s="42">
        <v>1.8571428571428572</v>
      </c>
      <c r="AC337" s="125">
        <v>1.1000000000000001</v>
      </c>
      <c r="AD337" s="94">
        <f t="shared" si="308"/>
        <v>0.13240206988920156</v>
      </c>
      <c r="AE337" s="94">
        <f t="shared" si="263"/>
        <v>0.21898936176493206</v>
      </c>
      <c r="AF337" s="96">
        <f t="shared" si="264"/>
        <v>7.2698391952765199E-3</v>
      </c>
      <c r="AG337" s="95">
        <f t="shared" si="270"/>
        <v>5.2837038702613644E-2</v>
      </c>
      <c r="AH337" s="94">
        <f t="shared" si="271"/>
        <v>0.1588824838670419</v>
      </c>
      <c r="AI337" s="94">
        <f t="shared" si="265"/>
        <v>0.40669452899201669</v>
      </c>
      <c r="AJ337" s="96">
        <f t="shared" si="283"/>
        <v>6.7173599026567514E-3</v>
      </c>
      <c r="AK337" s="95">
        <f t="shared" si="284"/>
        <v>3.7034204900525676E-2</v>
      </c>
      <c r="AL337" s="95">
        <f t="shared" si="285"/>
        <v>8.9822965794443196E-2</v>
      </c>
      <c r="AM337" s="94">
        <f t="shared" si="286"/>
        <v>0.2701002225739712</v>
      </c>
      <c r="AN337" s="93">
        <f t="shared" si="287"/>
        <v>2.8468617029441168</v>
      </c>
      <c r="AO337" s="96">
        <f t="shared" si="288"/>
        <v>1.1419511834516477E-2</v>
      </c>
      <c r="AP337" s="95">
        <f t="shared" si="289"/>
        <v>6.2958148330893651E-2</v>
      </c>
      <c r="AQ337" s="93">
        <f t="shared" si="290"/>
        <v>0.27447396263207613</v>
      </c>
      <c r="AR337" s="31">
        <v>1.7</v>
      </c>
      <c r="AS337" s="31">
        <v>1.7</v>
      </c>
      <c r="AT337" s="31">
        <v>7</v>
      </c>
      <c r="AU337" s="43">
        <v>7.0000000000000007E-2</v>
      </c>
      <c r="AV337" s="44">
        <v>0.31</v>
      </c>
      <c r="AW337" s="19">
        <v>1.9E-2</v>
      </c>
      <c r="AX337" s="44">
        <v>0.13</v>
      </c>
      <c r="AY337" s="40">
        <v>6.638540530839391</v>
      </c>
      <c r="AZ337" s="41">
        <v>0.5</v>
      </c>
      <c r="BA337" s="40">
        <v>0.72</v>
      </c>
      <c r="BB337" s="45">
        <v>1</v>
      </c>
      <c r="BC337" s="41">
        <v>24.789531138900774</v>
      </c>
      <c r="BD337" s="41">
        <v>37.617868674255881</v>
      </c>
      <c r="BE337" s="41">
        <v>37.592600186843342</v>
      </c>
      <c r="BF337" s="125">
        <v>1.1000000000000001</v>
      </c>
      <c r="BG337" s="48">
        <f t="shared" si="309"/>
        <v>4.2346073799701825E-3</v>
      </c>
      <c r="BH337" s="48">
        <f t="shared" si="266"/>
        <v>4.2346073799701825E-3</v>
      </c>
      <c r="BI337" s="99">
        <f t="shared" si="267"/>
        <v>1.0497393150678987E-3</v>
      </c>
      <c r="BJ337" s="99">
        <f t="shared" si="310"/>
        <v>1.5929690430675312E-3</v>
      </c>
      <c r="BK337" s="48">
        <f t="shared" si="268"/>
        <v>1.5918990218347529E-3</v>
      </c>
      <c r="BL337" s="99">
        <f t="shared" si="291"/>
        <v>2.4688880125081181E-4</v>
      </c>
      <c r="BM337" s="48">
        <f t="shared" si="292"/>
        <v>9.55620922655602E-4</v>
      </c>
      <c r="BN337" s="48">
        <f t="shared" si="293"/>
        <v>2.7080473732148027E-3</v>
      </c>
      <c r="BO337" s="48">
        <f t="shared" si="294"/>
        <v>2.7062283371190798E-3</v>
      </c>
      <c r="BP337" s="99">
        <f t="shared" si="295"/>
        <v>4.1971096212637998E-4</v>
      </c>
      <c r="BQ337" s="48">
        <f t="shared" si="296"/>
        <v>1.6245555685145232E-3</v>
      </c>
      <c r="BR337" s="40">
        <f t="shared" si="297"/>
        <v>0.62407399813156661</v>
      </c>
      <c r="BS337" s="31">
        <v>1.7</v>
      </c>
      <c r="BT337" s="31">
        <v>1.7</v>
      </c>
      <c r="BU337" s="43">
        <v>0.13500000000000001</v>
      </c>
      <c r="BV337" s="44">
        <v>0.45</v>
      </c>
      <c r="BW337" s="19">
        <v>0.02</v>
      </c>
      <c r="BX337" s="44">
        <v>0.15</v>
      </c>
      <c r="BY337" s="40">
        <v>17.112011361211735</v>
      </c>
      <c r="BZ337" s="40">
        <v>0.52</v>
      </c>
      <c r="CA337" s="40">
        <v>0.65</v>
      </c>
      <c r="CB337" s="45">
        <v>1</v>
      </c>
      <c r="CC337" s="41">
        <v>7.5805512328903255</v>
      </c>
      <c r="CD337" s="41">
        <v>28.253993472423133</v>
      </c>
      <c r="CE337" s="41">
        <v>64.165455294686552</v>
      </c>
      <c r="CF337" s="125">
        <v>1.1000000000000001</v>
      </c>
      <c r="CG337" s="40">
        <f t="shared" si="311"/>
        <v>2.4726011872012302E-2</v>
      </c>
      <c r="CH337" s="40">
        <f t="shared" si="269"/>
        <v>2.4726011872012302E-2</v>
      </c>
      <c r="CI337" s="99">
        <f t="shared" si="312"/>
        <v>1.8743679978084368E-3</v>
      </c>
      <c r="CJ337" s="100">
        <f t="shared" si="313"/>
        <v>6.9860857803089246E-3</v>
      </c>
      <c r="CK337" s="100">
        <f t="shared" si="314"/>
        <v>1.5865558093894946E-2</v>
      </c>
      <c r="CL337" s="101">
        <f t="shared" si="298"/>
        <v>6.7608238355973058E-4</v>
      </c>
      <c r="CM337" s="100">
        <f t="shared" si="299"/>
        <v>4.4756594481769191E-3</v>
      </c>
      <c r="CN337" s="100">
        <f t="shared" si="300"/>
        <v>1.1876345826525171E-2</v>
      </c>
      <c r="CO337" s="100">
        <f t="shared" si="301"/>
        <v>2.6971448759621406E-2</v>
      </c>
      <c r="CP337" s="101">
        <f t="shared" si="302"/>
        <v>1.1493400520515421E-3</v>
      </c>
      <c r="CQ337" s="100">
        <f t="shared" si="303"/>
        <v>7.6086210619007617E-3</v>
      </c>
      <c r="CR337" s="99">
        <f t="shared" si="304"/>
        <v>0.35834544705313459</v>
      </c>
      <c r="CS337" s="31">
        <v>1.7</v>
      </c>
      <c r="CT337" s="31">
        <v>1.7</v>
      </c>
      <c r="CU337" s="43">
        <v>0.04</v>
      </c>
      <c r="CV337" s="44">
        <v>0.3</v>
      </c>
      <c r="CW337" s="19">
        <v>2.5000000000000001E-2</v>
      </c>
      <c r="CX337" s="44">
        <v>0.15</v>
      </c>
    </row>
    <row r="338" spans="1:102" x14ac:dyDescent="0.25">
      <c r="A338" s="31">
        <v>324</v>
      </c>
      <c r="B338" s="83" t="s">
        <v>254</v>
      </c>
      <c r="C338" s="31">
        <v>90</v>
      </c>
      <c r="D338" s="31" t="s">
        <v>26</v>
      </c>
      <c r="E338" s="31" t="s">
        <v>99</v>
      </c>
      <c r="F338" s="31" t="s">
        <v>70</v>
      </c>
      <c r="G338" s="31" t="str">
        <f t="shared" si="305"/>
        <v>Statlig 90 - 4S Ck</v>
      </c>
      <c r="H338" s="48">
        <f t="shared" si="272"/>
        <v>0.16136268914118407</v>
      </c>
      <c r="I338" s="40">
        <f t="shared" si="273"/>
        <v>0.24794998101691457</v>
      </c>
      <c r="J338" s="99">
        <f t="shared" si="274"/>
        <v>1.0193946508152855E-2</v>
      </c>
      <c r="K338" s="48">
        <f t="shared" si="275"/>
        <v>6.1416093525990097E-2</v>
      </c>
      <c r="L338" s="48">
        <f t="shared" si="276"/>
        <v>0.17633994098277161</v>
      </c>
      <c r="M338" s="48">
        <f t="shared" si="306"/>
        <v>0.40669452899201669</v>
      </c>
      <c r="N338" s="99">
        <f t="shared" si="277"/>
        <v>7.640331087467294E-3</v>
      </c>
      <c r="O338" s="48">
        <f t="shared" si="278"/>
        <v>4.2465485271358197E-2</v>
      </c>
      <c r="P338" s="48">
        <f t="shared" si="279"/>
        <v>0.10440735899418316</v>
      </c>
      <c r="Q338" s="48">
        <f t="shared" si="280"/>
        <v>0.29977789967071172</v>
      </c>
      <c r="R338" s="40">
        <f t="shared" si="307"/>
        <v>2.8468617029441168</v>
      </c>
      <c r="S338" s="99">
        <f t="shared" si="281"/>
        <v>1.29885628486944E-2</v>
      </c>
      <c r="T338" s="48">
        <f t="shared" si="282"/>
        <v>7.2191324961308936E-2</v>
      </c>
      <c r="U338" s="40">
        <v>8.7780000000000005</v>
      </c>
      <c r="V338" s="40">
        <v>1.25</v>
      </c>
      <c r="W338" s="40">
        <v>0.45</v>
      </c>
      <c r="X338" s="40">
        <v>1.6539723430924427</v>
      </c>
      <c r="Y338" s="42">
        <v>3.3197225366043686</v>
      </c>
      <c r="Z338" s="42">
        <v>24.127673726603245</v>
      </c>
      <c r="AA338" s="42">
        <v>72.552603736792392</v>
      </c>
      <c r="AB338" s="42">
        <v>1.8571428571428572</v>
      </c>
      <c r="AC338" s="125">
        <v>1.1000000000000001</v>
      </c>
      <c r="AD338" s="94">
        <f t="shared" si="308"/>
        <v>0.13240206988920156</v>
      </c>
      <c r="AE338" s="94">
        <f t="shared" si="263"/>
        <v>0.21898936176493206</v>
      </c>
      <c r="AF338" s="96">
        <f t="shared" si="264"/>
        <v>7.2698391952765199E-3</v>
      </c>
      <c r="AG338" s="95">
        <f t="shared" si="270"/>
        <v>5.2837038702613644E-2</v>
      </c>
      <c r="AH338" s="94">
        <f t="shared" si="271"/>
        <v>0.1588824838670419</v>
      </c>
      <c r="AI338" s="94">
        <f t="shared" si="265"/>
        <v>0.40669452899201669</v>
      </c>
      <c r="AJ338" s="96">
        <f t="shared" si="283"/>
        <v>6.7173599026567514E-3</v>
      </c>
      <c r="AK338" s="95">
        <f t="shared" si="284"/>
        <v>3.7034204900525676E-2</v>
      </c>
      <c r="AL338" s="95">
        <f t="shared" si="285"/>
        <v>8.9822965794443196E-2</v>
      </c>
      <c r="AM338" s="94">
        <f t="shared" si="286"/>
        <v>0.2701002225739712</v>
      </c>
      <c r="AN338" s="93">
        <f t="shared" si="287"/>
        <v>2.8468617029441168</v>
      </c>
      <c r="AO338" s="96">
        <f t="shared" si="288"/>
        <v>1.1419511834516477E-2</v>
      </c>
      <c r="AP338" s="95">
        <f t="shared" si="289"/>
        <v>6.2958148330893651E-2</v>
      </c>
      <c r="AQ338" s="93">
        <f t="shared" si="290"/>
        <v>0.27447396263207613</v>
      </c>
      <c r="AR338" s="31">
        <v>1.7</v>
      </c>
      <c r="AS338" s="31">
        <v>1.7</v>
      </c>
      <c r="AT338" s="31">
        <v>7</v>
      </c>
      <c r="AU338" s="43">
        <v>7.0000000000000007E-2</v>
      </c>
      <c r="AV338" s="44">
        <v>0.31</v>
      </c>
      <c r="AW338" s="19">
        <v>1.9E-2</v>
      </c>
      <c r="AX338" s="44">
        <v>0.13</v>
      </c>
      <c r="AY338" s="40">
        <v>6.638540530839391</v>
      </c>
      <c r="AZ338" s="41">
        <v>0.5</v>
      </c>
      <c r="BA338" s="40">
        <v>0.72</v>
      </c>
      <c r="BB338" s="45">
        <v>1</v>
      </c>
      <c r="BC338" s="41">
        <v>24.789531138900774</v>
      </c>
      <c r="BD338" s="41">
        <v>37.617868674255881</v>
      </c>
      <c r="BE338" s="41">
        <v>37.592600186843342</v>
      </c>
      <c r="BF338" s="125">
        <v>1.1000000000000001</v>
      </c>
      <c r="BG338" s="48">
        <f t="shared" si="309"/>
        <v>4.2346073799701825E-3</v>
      </c>
      <c r="BH338" s="48">
        <f t="shared" si="266"/>
        <v>4.2346073799701825E-3</v>
      </c>
      <c r="BI338" s="99">
        <f t="shared" si="267"/>
        <v>1.0497393150678987E-3</v>
      </c>
      <c r="BJ338" s="99">
        <f t="shared" si="310"/>
        <v>1.5929690430675312E-3</v>
      </c>
      <c r="BK338" s="48">
        <f t="shared" si="268"/>
        <v>1.5918990218347529E-3</v>
      </c>
      <c r="BL338" s="99">
        <f t="shared" si="291"/>
        <v>2.4688880125081181E-4</v>
      </c>
      <c r="BM338" s="48">
        <f t="shared" si="292"/>
        <v>9.55620922655602E-4</v>
      </c>
      <c r="BN338" s="48">
        <f t="shared" si="293"/>
        <v>2.7080473732148027E-3</v>
      </c>
      <c r="BO338" s="48">
        <f t="shared" si="294"/>
        <v>2.7062283371190798E-3</v>
      </c>
      <c r="BP338" s="99">
        <f t="shared" si="295"/>
        <v>4.1971096212637998E-4</v>
      </c>
      <c r="BQ338" s="48">
        <f t="shared" si="296"/>
        <v>1.6245555685145232E-3</v>
      </c>
      <c r="BR338" s="40">
        <f t="shared" si="297"/>
        <v>0.62407399813156661</v>
      </c>
      <c r="BS338" s="31">
        <v>1.7</v>
      </c>
      <c r="BT338" s="31">
        <v>1.7</v>
      </c>
      <c r="BU338" s="43">
        <v>0.13500000000000001</v>
      </c>
      <c r="BV338" s="44">
        <v>0.45</v>
      </c>
      <c r="BW338" s="19">
        <v>0.02</v>
      </c>
      <c r="BX338" s="44">
        <v>0.15</v>
      </c>
      <c r="BY338" s="40">
        <v>17.112011361211735</v>
      </c>
      <c r="BZ338" s="40">
        <v>0.52</v>
      </c>
      <c r="CA338" s="40">
        <v>0.65</v>
      </c>
      <c r="CB338" s="45">
        <v>1</v>
      </c>
      <c r="CC338" s="41">
        <v>7.5805512328903255</v>
      </c>
      <c r="CD338" s="41">
        <v>28.253993472423133</v>
      </c>
      <c r="CE338" s="41">
        <v>64.165455294686552</v>
      </c>
      <c r="CF338" s="125">
        <v>1.1000000000000001</v>
      </c>
      <c r="CG338" s="40">
        <f t="shared" si="311"/>
        <v>2.4726011872012302E-2</v>
      </c>
      <c r="CH338" s="40">
        <f t="shared" si="269"/>
        <v>2.4726011872012302E-2</v>
      </c>
      <c r="CI338" s="99">
        <f t="shared" si="312"/>
        <v>1.8743679978084368E-3</v>
      </c>
      <c r="CJ338" s="100">
        <f t="shared" si="313"/>
        <v>6.9860857803089246E-3</v>
      </c>
      <c r="CK338" s="100">
        <f t="shared" si="314"/>
        <v>1.5865558093894946E-2</v>
      </c>
      <c r="CL338" s="101">
        <f t="shared" si="298"/>
        <v>6.7608238355973058E-4</v>
      </c>
      <c r="CM338" s="100">
        <f t="shared" si="299"/>
        <v>4.4756594481769191E-3</v>
      </c>
      <c r="CN338" s="100">
        <f t="shared" si="300"/>
        <v>1.1876345826525171E-2</v>
      </c>
      <c r="CO338" s="100">
        <f t="shared" si="301"/>
        <v>2.6971448759621406E-2</v>
      </c>
      <c r="CP338" s="101">
        <f t="shared" si="302"/>
        <v>1.1493400520515421E-3</v>
      </c>
      <c r="CQ338" s="100">
        <f t="shared" si="303"/>
        <v>7.6086210619007617E-3</v>
      </c>
      <c r="CR338" s="99">
        <f t="shared" si="304"/>
        <v>0.35834544705313459</v>
      </c>
      <c r="CS338" s="31">
        <v>1.7</v>
      </c>
      <c r="CT338" s="31">
        <v>1.7</v>
      </c>
      <c r="CU338" s="43">
        <v>0.04</v>
      </c>
      <c r="CV338" s="44">
        <v>0.3</v>
      </c>
      <c r="CW338" s="19">
        <v>2.5000000000000001E-2</v>
      </c>
      <c r="CX338" s="44">
        <v>0.15</v>
      </c>
    </row>
    <row r="339" spans="1:102" x14ac:dyDescent="0.25">
      <c r="A339" s="31">
        <v>325</v>
      </c>
      <c r="B339" s="83" t="s">
        <v>254</v>
      </c>
      <c r="C339" s="31">
        <v>90</v>
      </c>
      <c r="D339" s="31" t="s">
        <v>26</v>
      </c>
      <c r="E339" s="31" t="s">
        <v>99</v>
      </c>
      <c r="F339" s="31" t="s">
        <v>71</v>
      </c>
      <c r="G339" s="31" t="str">
        <f t="shared" si="305"/>
        <v>Statlig 90 - 4S Cm</v>
      </c>
      <c r="H339" s="48">
        <f t="shared" si="272"/>
        <v>0.1415023786578038</v>
      </c>
      <c r="I339" s="40">
        <f t="shared" si="273"/>
        <v>0.21510157675217467</v>
      </c>
      <c r="J339" s="99">
        <f t="shared" si="274"/>
        <v>9.1034706288613768E-3</v>
      </c>
      <c r="K339" s="48">
        <f t="shared" si="275"/>
        <v>5.3490537720598037E-2</v>
      </c>
      <c r="L339" s="48">
        <f t="shared" si="276"/>
        <v>0.15250756840271529</v>
      </c>
      <c r="M339" s="48">
        <f t="shared" si="306"/>
        <v>0.3456903496432141</v>
      </c>
      <c r="N339" s="99">
        <f t="shared" si="277"/>
        <v>6.6327271020687794E-3</v>
      </c>
      <c r="O339" s="48">
        <f t="shared" si="278"/>
        <v>3.691035453627934E-2</v>
      </c>
      <c r="P339" s="48">
        <f t="shared" si="279"/>
        <v>9.0933914125016668E-2</v>
      </c>
      <c r="Q339" s="48">
        <f t="shared" si="280"/>
        <v>0.25926286628461598</v>
      </c>
      <c r="R339" s="40">
        <f t="shared" si="307"/>
        <v>2.4198324475024986</v>
      </c>
      <c r="S339" s="99">
        <f t="shared" si="281"/>
        <v>1.1275636073516926E-2</v>
      </c>
      <c r="T339" s="48">
        <f t="shared" si="282"/>
        <v>6.2747602711674871E-2</v>
      </c>
      <c r="U339" s="40">
        <v>7.4613000000000005</v>
      </c>
      <c r="V339" s="40">
        <v>1.25</v>
      </c>
      <c r="W339" s="40">
        <v>0.45</v>
      </c>
      <c r="X339" s="40">
        <v>1.6539723430924425</v>
      </c>
      <c r="Y339" s="42">
        <v>3.3197225366043686</v>
      </c>
      <c r="Z339" s="42">
        <v>24.127673726603245</v>
      </c>
      <c r="AA339" s="42">
        <v>72.552603736792392</v>
      </c>
      <c r="AB339" s="42">
        <v>1.8571428571428574</v>
      </c>
      <c r="AC339" s="125">
        <v>1.1000000000000001</v>
      </c>
      <c r="AD339" s="94">
        <f t="shared" si="308"/>
        <v>0.11254175940582131</v>
      </c>
      <c r="AE339" s="94">
        <f t="shared" si="263"/>
        <v>0.18614095750019219</v>
      </c>
      <c r="AF339" s="96">
        <f t="shared" si="264"/>
        <v>6.1793633159850404E-3</v>
      </c>
      <c r="AG339" s="95">
        <f t="shared" si="270"/>
        <v>4.4911482897221584E-2</v>
      </c>
      <c r="AH339" s="94">
        <f t="shared" si="271"/>
        <v>0.13505011128698557</v>
      </c>
      <c r="AI339" s="94">
        <f t="shared" si="265"/>
        <v>0.3456903496432141</v>
      </c>
      <c r="AJ339" s="96">
        <f t="shared" si="283"/>
        <v>5.7097559172582368E-3</v>
      </c>
      <c r="AK339" s="95">
        <f t="shared" si="284"/>
        <v>3.1479074165446819E-2</v>
      </c>
      <c r="AL339" s="95">
        <f t="shared" si="285"/>
        <v>7.6349520925276693E-2</v>
      </c>
      <c r="AM339" s="94">
        <f t="shared" si="286"/>
        <v>0.22958518918787546</v>
      </c>
      <c r="AN339" s="93">
        <f t="shared" si="287"/>
        <v>2.4198324475024986</v>
      </c>
      <c r="AO339" s="96">
        <f t="shared" si="288"/>
        <v>9.7065850593390027E-3</v>
      </c>
      <c r="AP339" s="95">
        <f t="shared" si="289"/>
        <v>5.3514426081259586E-2</v>
      </c>
      <c r="AQ339" s="93">
        <f t="shared" si="290"/>
        <v>0.27447396263207618</v>
      </c>
      <c r="AR339" s="31">
        <v>1.7</v>
      </c>
      <c r="AS339" s="31">
        <v>1.7</v>
      </c>
      <c r="AT339" s="31">
        <v>7</v>
      </c>
      <c r="AU339" s="43">
        <v>7.0000000000000007E-2</v>
      </c>
      <c r="AV339" s="44">
        <v>0.31</v>
      </c>
      <c r="AW339" s="19">
        <v>1.9E-2</v>
      </c>
      <c r="AX339" s="44">
        <v>0.13</v>
      </c>
      <c r="AY339" s="40">
        <v>6.638540530839391</v>
      </c>
      <c r="AZ339" s="41">
        <v>0.5</v>
      </c>
      <c r="BA339" s="40">
        <v>0.72</v>
      </c>
      <c r="BB339" s="45">
        <v>1</v>
      </c>
      <c r="BC339" s="41">
        <v>24.789531138900774</v>
      </c>
      <c r="BD339" s="41">
        <v>37.617868674255881</v>
      </c>
      <c r="BE339" s="41">
        <v>37.592600186843342</v>
      </c>
      <c r="BF339" s="125">
        <v>1.1000000000000001</v>
      </c>
      <c r="BG339" s="48">
        <f t="shared" si="309"/>
        <v>4.2346073799701825E-3</v>
      </c>
      <c r="BH339" s="48">
        <f t="shared" si="266"/>
        <v>4.2346073799701825E-3</v>
      </c>
      <c r="BI339" s="99">
        <f t="shared" si="267"/>
        <v>1.0497393150678987E-3</v>
      </c>
      <c r="BJ339" s="99">
        <f t="shared" si="310"/>
        <v>1.5929690430675312E-3</v>
      </c>
      <c r="BK339" s="48">
        <f t="shared" si="268"/>
        <v>1.5918990218347529E-3</v>
      </c>
      <c r="BL339" s="99">
        <f t="shared" si="291"/>
        <v>2.4688880125081181E-4</v>
      </c>
      <c r="BM339" s="48">
        <f t="shared" si="292"/>
        <v>9.55620922655602E-4</v>
      </c>
      <c r="BN339" s="48">
        <f t="shared" si="293"/>
        <v>2.7080473732148027E-3</v>
      </c>
      <c r="BO339" s="48">
        <f t="shared" si="294"/>
        <v>2.7062283371190798E-3</v>
      </c>
      <c r="BP339" s="99">
        <f t="shared" si="295"/>
        <v>4.1971096212637998E-4</v>
      </c>
      <c r="BQ339" s="48">
        <f t="shared" si="296"/>
        <v>1.6245555685145232E-3</v>
      </c>
      <c r="BR339" s="40">
        <f t="shared" si="297"/>
        <v>0.62407399813156661</v>
      </c>
      <c r="BS339" s="31">
        <v>1.7</v>
      </c>
      <c r="BT339" s="31">
        <v>1.7</v>
      </c>
      <c r="BU339" s="43">
        <v>0.13500000000000001</v>
      </c>
      <c r="BV339" s="44">
        <v>0.45</v>
      </c>
      <c r="BW339" s="19">
        <v>0.02</v>
      </c>
      <c r="BX339" s="44">
        <v>0.15</v>
      </c>
      <c r="BY339" s="40">
        <v>17.112011361211735</v>
      </c>
      <c r="BZ339" s="40">
        <v>0.52</v>
      </c>
      <c r="CA339" s="40">
        <v>0.65</v>
      </c>
      <c r="CB339" s="45">
        <v>1</v>
      </c>
      <c r="CC339" s="41">
        <v>7.5805512328903255</v>
      </c>
      <c r="CD339" s="41">
        <v>28.253993472423133</v>
      </c>
      <c r="CE339" s="41">
        <v>64.165455294686552</v>
      </c>
      <c r="CF339" s="125">
        <v>1.1000000000000001</v>
      </c>
      <c r="CG339" s="40">
        <f t="shared" si="311"/>
        <v>2.4726011872012302E-2</v>
      </c>
      <c r="CH339" s="40">
        <f t="shared" si="269"/>
        <v>2.4726011872012302E-2</v>
      </c>
      <c r="CI339" s="99">
        <f t="shared" si="312"/>
        <v>1.8743679978084368E-3</v>
      </c>
      <c r="CJ339" s="100">
        <f t="shared" si="313"/>
        <v>6.9860857803089246E-3</v>
      </c>
      <c r="CK339" s="100">
        <f t="shared" si="314"/>
        <v>1.5865558093894946E-2</v>
      </c>
      <c r="CL339" s="101">
        <f t="shared" si="298"/>
        <v>6.7608238355973058E-4</v>
      </c>
      <c r="CM339" s="100">
        <f t="shared" si="299"/>
        <v>4.4756594481769191E-3</v>
      </c>
      <c r="CN339" s="100">
        <f t="shared" si="300"/>
        <v>1.1876345826525171E-2</v>
      </c>
      <c r="CO339" s="100">
        <f t="shared" si="301"/>
        <v>2.6971448759621406E-2</v>
      </c>
      <c r="CP339" s="101">
        <f t="shared" si="302"/>
        <v>1.1493400520515421E-3</v>
      </c>
      <c r="CQ339" s="100">
        <f t="shared" si="303"/>
        <v>7.6086210619007617E-3</v>
      </c>
      <c r="CR339" s="99">
        <f t="shared" si="304"/>
        <v>0.35834544705313459</v>
      </c>
      <c r="CS339" s="31">
        <v>1.7</v>
      </c>
      <c r="CT339" s="31">
        <v>1.7</v>
      </c>
      <c r="CU339" s="43">
        <v>0.04</v>
      </c>
      <c r="CV339" s="44">
        <v>0.3</v>
      </c>
      <c r="CW339" s="19">
        <v>2.5000000000000001E-2</v>
      </c>
      <c r="CX339" s="44">
        <v>0.15</v>
      </c>
    </row>
    <row r="340" spans="1:102" x14ac:dyDescent="0.25">
      <c r="A340" s="31">
        <v>326</v>
      </c>
      <c r="B340" s="83" t="s">
        <v>254</v>
      </c>
      <c r="C340" s="31">
        <v>90</v>
      </c>
      <c r="D340" s="31" t="s">
        <v>26</v>
      </c>
      <c r="E340" s="31" t="s">
        <v>99</v>
      </c>
      <c r="F340" s="31" t="s">
        <v>64</v>
      </c>
      <c r="G340" s="31" t="str">
        <f t="shared" si="305"/>
        <v>Statlig 90 - 4S F</v>
      </c>
      <c r="H340" s="48">
        <f t="shared" si="272"/>
        <v>8.0029989066388821E-2</v>
      </c>
      <c r="I340" s="40">
        <f t="shared" si="273"/>
        <v>9.5563356298978219E-2</v>
      </c>
      <c r="J340" s="99">
        <f t="shared" si="274"/>
        <v>3.4693452525220748E-3</v>
      </c>
      <c r="K340" s="48">
        <f t="shared" si="275"/>
        <v>2.0162559462026372E-2</v>
      </c>
      <c r="L340" s="48">
        <f t="shared" si="276"/>
        <v>7.193145158442979E-2</v>
      </c>
      <c r="M340" s="48">
        <f t="shared" si="306"/>
        <v>0.15540638644299007</v>
      </c>
      <c r="N340" s="99">
        <f t="shared" si="277"/>
        <v>2.7688224044213382E-3</v>
      </c>
      <c r="O340" s="48">
        <f t="shared" si="278"/>
        <v>1.6103786089745005E-2</v>
      </c>
      <c r="P340" s="48">
        <f t="shared" si="279"/>
        <v>3.4276351085444828E-2</v>
      </c>
      <c r="Q340" s="48">
        <f t="shared" si="280"/>
        <v>0.12228346769353063</v>
      </c>
      <c r="R340" s="40">
        <f t="shared" si="307"/>
        <v>1.0878447051009306</v>
      </c>
      <c r="S340" s="99">
        <f t="shared" si="281"/>
        <v>4.706998087516275E-3</v>
      </c>
      <c r="T340" s="48">
        <f t="shared" si="282"/>
        <v>2.7376436352566511E-2</v>
      </c>
      <c r="U340" s="40">
        <v>3.3858000000000015</v>
      </c>
      <c r="V340" s="40">
        <v>1.25</v>
      </c>
      <c r="W340" s="40">
        <v>0.45</v>
      </c>
      <c r="X340" s="40">
        <v>1.304162109088872</v>
      </c>
      <c r="Y340" s="42">
        <v>0.81864194148809855</v>
      </c>
      <c r="Z340" s="42">
        <v>17.391934854683896</v>
      </c>
      <c r="AA340" s="42">
        <v>81.789423203828022</v>
      </c>
      <c r="AB340" s="42">
        <v>2.3333333333333335</v>
      </c>
      <c r="AC340" s="125">
        <v>1.1000000000000001</v>
      </c>
      <c r="AD340" s="94">
        <f t="shared" si="308"/>
        <v>5.106936981440633E-2</v>
      </c>
      <c r="AE340" s="94">
        <f t="shared" si="263"/>
        <v>6.6602737046995736E-2</v>
      </c>
      <c r="AF340" s="96">
        <f t="shared" si="264"/>
        <v>5.4523793964573889E-4</v>
      </c>
      <c r="AG340" s="95">
        <f t="shared" si="270"/>
        <v>1.1583504638649916E-2</v>
      </c>
      <c r="AH340" s="94">
        <f t="shared" si="271"/>
        <v>5.447399446870009E-2</v>
      </c>
      <c r="AI340" s="94">
        <f t="shared" si="265"/>
        <v>0.15540638644299007</v>
      </c>
      <c r="AJ340" s="96">
        <f t="shared" si="283"/>
        <v>1.8458512196107958E-3</v>
      </c>
      <c r="AK340" s="95">
        <f t="shared" si="284"/>
        <v>1.0672505718912486E-2</v>
      </c>
      <c r="AL340" s="95">
        <f t="shared" si="285"/>
        <v>1.9691957885704856E-2</v>
      </c>
      <c r="AM340" s="94">
        <f t="shared" si="286"/>
        <v>9.2605790596790152E-2</v>
      </c>
      <c r="AN340" s="93">
        <f t="shared" si="287"/>
        <v>1.0878447051009306</v>
      </c>
      <c r="AO340" s="96">
        <f t="shared" si="288"/>
        <v>3.1379470733383531E-3</v>
      </c>
      <c r="AP340" s="95">
        <f t="shared" si="289"/>
        <v>1.8143259722151226E-2</v>
      </c>
      <c r="AQ340" s="93">
        <f t="shared" si="290"/>
        <v>0.18210576796171996</v>
      </c>
      <c r="AR340" s="31">
        <v>1.7</v>
      </c>
      <c r="AS340" s="31">
        <v>1.7</v>
      </c>
      <c r="AT340" s="31">
        <v>7</v>
      </c>
      <c r="AU340" s="43">
        <v>7.0000000000000007E-2</v>
      </c>
      <c r="AV340" s="44">
        <v>0.31</v>
      </c>
      <c r="AW340" s="19">
        <v>1.9E-2</v>
      </c>
      <c r="AX340" s="44">
        <v>0.13</v>
      </c>
      <c r="AY340" s="40">
        <v>6.6385405308393919</v>
      </c>
      <c r="AZ340" s="41">
        <v>0.5</v>
      </c>
      <c r="BA340" s="40">
        <v>0.72</v>
      </c>
      <c r="BB340" s="45">
        <v>1</v>
      </c>
      <c r="BC340" s="41">
        <v>24.789531138900777</v>
      </c>
      <c r="BD340" s="41">
        <v>37.617868674255881</v>
      </c>
      <c r="BE340" s="41">
        <v>37.592600186843342</v>
      </c>
      <c r="BF340" s="125">
        <v>1.1000000000000001</v>
      </c>
      <c r="BG340" s="48">
        <f t="shared" si="309"/>
        <v>4.2346073799701834E-3</v>
      </c>
      <c r="BH340" s="48">
        <f t="shared" si="266"/>
        <v>4.2346073799701834E-3</v>
      </c>
      <c r="BI340" s="99">
        <f t="shared" si="267"/>
        <v>1.0497393150678989E-3</v>
      </c>
      <c r="BJ340" s="99">
        <f t="shared" si="310"/>
        <v>1.5929690430675314E-3</v>
      </c>
      <c r="BK340" s="48">
        <f t="shared" si="268"/>
        <v>1.5918990218347531E-3</v>
      </c>
      <c r="BL340" s="99">
        <f t="shared" si="291"/>
        <v>2.4688880125081181E-4</v>
      </c>
      <c r="BM340" s="48">
        <f t="shared" si="292"/>
        <v>9.5562092265560211E-4</v>
      </c>
      <c r="BN340" s="48">
        <f t="shared" si="293"/>
        <v>2.7080473732148031E-3</v>
      </c>
      <c r="BO340" s="48">
        <f t="shared" si="294"/>
        <v>2.7062283371190802E-3</v>
      </c>
      <c r="BP340" s="99">
        <f t="shared" si="295"/>
        <v>4.1971096212638004E-4</v>
      </c>
      <c r="BQ340" s="48">
        <f t="shared" si="296"/>
        <v>1.6245555685145234E-3</v>
      </c>
      <c r="BR340" s="40">
        <f t="shared" si="297"/>
        <v>0.62407399813156661</v>
      </c>
      <c r="BS340" s="31">
        <v>1.7</v>
      </c>
      <c r="BT340" s="31">
        <v>1.7</v>
      </c>
      <c r="BU340" s="43">
        <v>0.13500000000000001</v>
      </c>
      <c r="BV340" s="44">
        <v>0.45</v>
      </c>
      <c r="BW340" s="19">
        <v>0.02</v>
      </c>
      <c r="BX340" s="44">
        <v>0.15</v>
      </c>
      <c r="BY340" s="40">
        <v>17.112011361211739</v>
      </c>
      <c r="BZ340" s="40">
        <v>0.52</v>
      </c>
      <c r="CA340" s="40">
        <v>0.65</v>
      </c>
      <c r="CB340" s="45">
        <v>1</v>
      </c>
      <c r="CC340" s="41">
        <v>7.5805512328903255</v>
      </c>
      <c r="CD340" s="41">
        <v>28.253993472423122</v>
      </c>
      <c r="CE340" s="41">
        <v>64.165455294686552</v>
      </c>
      <c r="CF340" s="125">
        <v>1.1000000000000001</v>
      </c>
      <c r="CG340" s="40">
        <f t="shared" si="311"/>
        <v>2.4726011872012305E-2</v>
      </c>
      <c r="CH340" s="40">
        <f t="shared" si="269"/>
        <v>2.4726011872012305E-2</v>
      </c>
      <c r="CI340" s="99">
        <f t="shared" si="312"/>
        <v>1.8743679978084371E-3</v>
      </c>
      <c r="CJ340" s="100">
        <f t="shared" si="313"/>
        <v>6.9860857803089229E-3</v>
      </c>
      <c r="CK340" s="100">
        <f t="shared" si="314"/>
        <v>1.5865558093894946E-2</v>
      </c>
      <c r="CL340" s="101">
        <f t="shared" si="298"/>
        <v>6.7608238355973058E-4</v>
      </c>
      <c r="CM340" s="100">
        <f t="shared" si="299"/>
        <v>4.4756594481769191E-3</v>
      </c>
      <c r="CN340" s="100">
        <f t="shared" si="300"/>
        <v>1.1876345826525169E-2</v>
      </c>
      <c r="CO340" s="100">
        <f t="shared" si="301"/>
        <v>2.6971448759621406E-2</v>
      </c>
      <c r="CP340" s="101">
        <f t="shared" si="302"/>
        <v>1.1493400520515419E-3</v>
      </c>
      <c r="CQ340" s="100">
        <f t="shared" si="303"/>
        <v>7.6086210619007617E-3</v>
      </c>
      <c r="CR340" s="99">
        <f t="shared" si="304"/>
        <v>0.35834544705313448</v>
      </c>
      <c r="CS340" s="31">
        <v>1.7</v>
      </c>
      <c r="CT340" s="31">
        <v>1.7</v>
      </c>
      <c r="CU340" s="43">
        <v>0.04</v>
      </c>
      <c r="CV340" s="44">
        <v>0.3</v>
      </c>
      <c r="CW340" s="19">
        <v>2.5000000000000001E-2</v>
      </c>
      <c r="CX340" s="44">
        <v>0.15</v>
      </c>
    </row>
    <row r="341" spans="1:102" x14ac:dyDescent="0.25">
      <c r="A341" s="31">
        <v>327</v>
      </c>
      <c r="B341" s="83" t="s">
        <v>254</v>
      </c>
      <c r="C341" s="31">
        <v>100</v>
      </c>
      <c r="D341" s="31" t="s">
        <v>26</v>
      </c>
      <c r="E341" s="31" t="s">
        <v>99</v>
      </c>
      <c r="F341" s="31" t="s">
        <v>12</v>
      </c>
      <c r="G341" s="31" t="str">
        <f t="shared" si="305"/>
        <v>Statlig 100 - 4S A</v>
      </c>
      <c r="H341" s="48">
        <f t="shared" si="272"/>
        <v>0.18574795273152253</v>
      </c>
      <c r="I341" s="40">
        <f t="shared" si="273"/>
        <v>0.2424101560344985</v>
      </c>
      <c r="J341" s="99">
        <f t="shared" si="274"/>
        <v>1.2527138124038278E-2</v>
      </c>
      <c r="K341" s="48">
        <f t="shared" si="275"/>
        <v>5.9899246908356178E-2</v>
      </c>
      <c r="L341" s="48">
        <f t="shared" si="276"/>
        <v>0.16998377100210404</v>
      </c>
      <c r="M341" s="48">
        <f t="shared" si="306"/>
        <v>0.29487104651280538</v>
      </c>
      <c r="N341" s="99">
        <f t="shared" si="277"/>
        <v>7.351295597223851E-3</v>
      </c>
      <c r="O341" s="48">
        <f t="shared" si="278"/>
        <v>4.100514785665163E-2</v>
      </c>
      <c r="P341" s="48">
        <f t="shared" si="279"/>
        <v>0.1018287197442055</v>
      </c>
      <c r="Q341" s="48">
        <f t="shared" si="280"/>
        <v>0.28897241070357688</v>
      </c>
      <c r="R341" s="40">
        <f t="shared" si="307"/>
        <v>2.0640973255896378</v>
      </c>
      <c r="S341" s="99">
        <f t="shared" si="281"/>
        <v>1.2497202515280546E-2</v>
      </c>
      <c r="T341" s="48">
        <f t="shared" si="282"/>
        <v>6.970875135630776E-2</v>
      </c>
      <c r="U341" s="40">
        <v>10.633920000000002</v>
      </c>
      <c r="V341" s="40">
        <v>1.25</v>
      </c>
      <c r="W341" s="40">
        <v>0.45</v>
      </c>
      <c r="X341" s="40">
        <v>1.3532652111744523</v>
      </c>
      <c r="Y341" s="42">
        <v>3.764432480501803</v>
      </c>
      <c r="Z341" s="42">
        <v>23.825100429537908</v>
      </c>
      <c r="AA341" s="42">
        <v>72.410467089960292</v>
      </c>
      <c r="AB341" s="42">
        <v>1.3584905660377358</v>
      </c>
      <c r="AC341" s="125">
        <v>1.1000000000000001</v>
      </c>
      <c r="AD341" s="94">
        <f t="shared" si="308"/>
        <v>0.16039565038006132</v>
      </c>
      <c r="AE341" s="94">
        <f t="shared" si="263"/>
        <v>0.21705785368303729</v>
      </c>
      <c r="AF341" s="96">
        <f t="shared" si="264"/>
        <v>8.1709963455243347E-3</v>
      </c>
      <c r="AG341" s="95">
        <f t="shared" si="270"/>
        <v>5.1714251630183082E-2</v>
      </c>
      <c r="AH341" s="94">
        <f t="shared" si="271"/>
        <v>0.15717260570732988</v>
      </c>
      <c r="AI341" s="94">
        <f t="shared" si="265"/>
        <v>0.29487104651280538</v>
      </c>
      <c r="AJ341" s="96">
        <f t="shared" si="283"/>
        <v>6.6062771225520837E-3</v>
      </c>
      <c r="AK341" s="95">
        <f t="shared" si="284"/>
        <v>3.6463856747309641E-2</v>
      </c>
      <c r="AL341" s="95">
        <f t="shared" si="285"/>
        <v>8.7914227771311235E-2</v>
      </c>
      <c r="AM341" s="94">
        <f t="shared" si="286"/>
        <v>0.26719342970246079</v>
      </c>
      <c r="AN341" s="93">
        <f t="shared" si="287"/>
        <v>2.0640973255896378</v>
      </c>
      <c r="AO341" s="96">
        <f t="shared" si="288"/>
        <v>1.1230671108338542E-2</v>
      </c>
      <c r="AP341" s="95">
        <f t="shared" si="289"/>
        <v>6.1988556470426392E-2</v>
      </c>
      <c r="AQ341" s="93">
        <f t="shared" si="290"/>
        <v>0.27589532910039716</v>
      </c>
      <c r="AR341" s="31">
        <v>1.7</v>
      </c>
      <c r="AS341" s="31">
        <v>1.7</v>
      </c>
      <c r="AT341" s="31">
        <v>7</v>
      </c>
      <c r="AU341" s="43">
        <v>7.0000000000000007E-2</v>
      </c>
      <c r="AV341" s="44">
        <v>0.31</v>
      </c>
      <c r="AW341" s="19">
        <v>1.9E-2</v>
      </c>
      <c r="AX341" s="44">
        <v>0.13</v>
      </c>
      <c r="AY341" s="40">
        <v>5.7364015212287551</v>
      </c>
      <c r="AZ341" s="41">
        <v>0.5</v>
      </c>
      <c r="BA341" s="40">
        <v>0.72</v>
      </c>
      <c r="BB341" s="45">
        <v>1</v>
      </c>
      <c r="BC341" s="41">
        <v>34.015858318041701</v>
      </c>
      <c r="BD341" s="41">
        <v>29.900893458486223</v>
      </c>
      <c r="BE341" s="41">
        <v>36.083248223472076</v>
      </c>
      <c r="BF341" s="125">
        <v>1.1000000000000001</v>
      </c>
      <c r="BG341" s="48">
        <f t="shared" si="309"/>
        <v>3.6591488902450093E-3</v>
      </c>
      <c r="BH341" s="48">
        <f t="shared" si="266"/>
        <v>3.6591488902450093E-3</v>
      </c>
      <c r="BI341" s="99">
        <f t="shared" si="267"/>
        <v>1.2446909021519375E-3</v>
      </c>
      <c r="BJ341" s="99">
        <f t="shared" si="310"/>
        <v>1.0941182111595413E-3</v>
      </c>
      <c r="BK341" s="48">
        <f t="shared" si="268"/>
        <v>1.3203397769335303E-3</v>
      </c>
      <c r="BL341" s="99">
        <f t="shared" si="291"/>
        <v>1.7411275404520871E-4</v>
      </c>
      <c r="BM341" s="48">
        <f t="shared" si="292"/>
        <v>6.904041615618231E-4</v>
      </c>
      <c r="BN341" s="48">
        <f t="shared" si="293"/>
        <v>1.86000095897122E-3</v>
      </c>
      <c r="BO341" s="48">
        <f t="shared" si="294"/>
        <v>2.2445776207870014E-3</v>
      </c>
      <c r="BP341" s="99">
        <f t="shared" si="295"/>
        <v>2.9599168187685474E-4</v>
      </c>
      <c r="BQ341" s="48">
        <f t="shared" si="296"/>
        <v>1.1736870746550992E-3</v>
      </c>
      <c r="BR341" s="40">
        <f t="shared" si="297"/>
        <v>0.63916751776527925</v>
      </c>
      <c r="BS341" s="31">
        <v>1.7</v>
      </c>
      <c r="BT341" s="31">
        <v>1.7</v>
      </c>
      <c r="BU341" s="43">
        <v>0.13500000000000001</v>
      </c>
      <c r="BV341" s="44">
        <v>0.45</v>
      </c>
      <c r="BW341" s="19">
        <v>0.02</v>
      </c>
      <c r="BX341" s="44">
        <v>0.15</v>
      </c>
      <c r="BY341" s="40">
        <v>15.013075720028375</v>
      </c>
      <c r="BZ341" s="40">
        <v>0.52</v>
      </c>
      <c r="CA341" s="40">
        <v>0.65</v>
      </c>
      <c r="CB341" s="45">
        <v>1</v>
      </c>
      <c r="CC341" s="41">
        <v>14.343008645215042</v>
      </c>
      <c r="CD341" s="41">
        <v>32.687165928599939</v>
      </c>
      <c r="CE341" s="41">
        <v>52.969825426185011</v>
      </c>
      <c r="CF341" s="125">
        <v>1.1000000000000001</v>
      </c>
      <c r="CG341" s="40">
        <f t="shared" si="311"/>
        <v>2.1693153461216197E-2</v>
      </c>
      <c r="CH341" s="40">
        <f t="shared" si="269"/>
        <v>2.1693153461216197E-2</v>
      </c>
      <c r="CI341" s="99">
        <f t="shared" si="312"/>
        <v>3.1114508763620051E-3</v>
      </c>
      <c r="CJ341" s="100">
        <f t="shared" si="313"/>
        <v>7.0908770670135585E-3</v>
      </c>
      <c r="CK341" s="100">
        <f t="shared" si="314"/>
        <v>1.1490825517840631E-2</v>
      </c>
      <c r="CL341" s="101">
        <f t="shared" si="298"/>
        <v>5.7090572062655812E-4</v>
      </c>
      <c r="CM341" s="100">
        <f t="shared" si="299"/>
        <v>3.8508869477801621E-3</v>
      </c>
      <c r="CN341" s="100">
        <f t="shared" si="300"/>
        <v>1.2054491013923049E-2</v>
      </c>
      <c r="CO341" s="100">
        <f t="shared" si="301"/>
        <v>1.9534403380329073E-2</v>
      </c>
      <c r="CP341" s="101">
        <f t="shared" si="302"/>
        <v>9.7053972506514884E-4</v>
      </c>
      <c r="CQ341" s="100">
        <f t="shared" si="303"/>
        <v>6.5465078112262754E-3</v>
      </c>
      <c r="CR341" s="99">
        <f t="shared" si="304"/>
        <v>0.47030174573814981</v>
      </c>
      <c r="CS341" s="31">
        <v>1.7</v>
      </c>
      <c r="CT341" s="31">
        <v>1.7</v>
      </c>
      <c r="CU341" s="43">
        <v>0.04</v>
      </c>
      <c r="CV341" s="44">
        <v>0.3</v>
      </c>
      <c r="CW341" s="19">
        <v>2.5000000000000001E-2</v>
      </c>
      <c r="CX341" s="44">
        <v>0.15</v>
      </c>
    </row>
    <row r="342" spans="1:102" x14ac:dyDescent="0.25">
      <c r="A342" s="31">
        <v>328</v>
      </c>
      <c r="B342" s="83" t="s">
        <v>254</v>
      </c>
      <c r="C342" s="31">
        <v>100</v>
      </c>
      <c r="D342" s="31" t="s">
        <v>26</v>
      </c>
      <c r="E342" s="31" t="s">
        <v>99</v>
      </c>
      <c r="F342" s="31" t="s">
        <v>13</v>
      </c>
      <c r="G342" s="31" t="str">
        <f t="shared" si="305"/>
        <v>Statlig 100 - 4S B</v>
      </c>
      <c r="H342" s="48">
        <f t="shared" si="272"/>
        <v>0.18574795273152253</v>
      </c>
      <c r="I342" s="40">
        <f t="shared" si="273"/>
        <v>0.2424101560344985</v>
      </c>
      <c r="J342" s="99">
        <f t="shared" si="274"/>
        <v>1.2527138124038278E-2</v>
      </c>
      <c r="K342" s="48">
        <f t="shared" si="275"/>
        <v>5.9899246908356178E-2</v>
      </c>
      <c r="L342" s="48">
        <f t="shared" si="276"/>
        <v>0.16998377100210404</v>
      </c>
      <c r="M342" s="48">
        <f t="shared" si="306"/>
        <v>0.29487104651280538</v>
      </c>
      <c r="N342" s="99">
        <f t="shared" si="277"/>
        <v>7.351295597223851E-3</v>
      </c>
      <c r="O342" s="48">
        <f t="shared" si="278"/>
        <v>4.100514785665163E-2</v>
      </c>
      <c r="P342" s="48">
        <f t="shared" si="279"/>
        <v>0.1018287197442055</v>
      </c>
      <c r="Q342" s="48">
        <f t="shared" si="280"/>
        <v>0.28897241070357688</v>
      </c>
      <c r="R342" s="40">
        <f t="shared" si="307"/>
        <v>2.0640973255896378</v>
      </c>
      <c r="S342" s="99">
        <f t="shared" si="281"/>
        <v>1.2497202515280546E-2</v>
      </c>
      <c r="T342" s="48">
        <f t="shared" si="282"/>
        <v>6.970875135630776E-2</v>
      </c>
      <c r="U342" s="40">
        <v>10.633920000000002</v>
      </c>
      <c r="V342" s="40">
        <v>1.25</v>
      </c>
      <c r="W342" s="40">
        <v>0.45</v>
      </c>
      <c r="X342" s="40">
        <v>1.3532652111744523</v>
      </c>
      <c r="Y342" s="42">
        <v>3.764432480501803</v>
      </c>
      <c r="Z342" s="42">
        <v>23.825100429537908</v>
      </c>
      <c r="AA342" s="42">
        <v>72.410467089960292</v>
      </c>
      <c r="AB342" s="42">
        <v>1.3584905660377358</v>
      </c>
      <c r="AC342" s="125">
        <v>1.1000000000000001</v>
      </c>
      <c r="AD342" s="94">
        <f t="shared" si="308"/>
        <v>0.16039565038006132</v>
      </c>
      <c r="AE342" s="94">
        <f t="shared" si="263"/>
        <v>0.21705785368303729</v>
      </c>
      <c r="AF342" s="96">
        <f t="shared" si="264"/>
        <v>8.1709963455243347E-3</v>
      </c>
      <c r="AG342" s="95">
        <f t="shared" si="270"/>
        <v>5.1714251630183082E-2</v>
      </c>
      <c r="AH342" s="94">
        <f t="shared" si="271"/>
        <v>0.15717260570732988</v>
      </c>
      <c r="AI342" s="94">
        <f t="shared" si="265"/>
        <v>0.29487104651280538</v>
      </c>
      <c r="AJ342" s="96">
        <f t="shared" si="283"/>
        <v>6.6062771225520837E-3</v>
      </c>
      <c r="AK342" s="95">
        <f t="shared" si="284"/>
        <v>3.6463856747309641E-2</v>
      </c>
      <c r="AL342" s="95">
        <f t="shared" si="285"/>
        <v>8.7914227771311235E-2</v>
      </c>
      <c r="AM342" s="94">
        <f t="shared" si="286"/>
        <v>0.26719342970246079</v>
      </c>
      <c r="AN342" s="93">
        <f t="shared" si="287"/>
        <v>2.0640973255896378</v>
      </c>
      <c r="AO342" s="96">
        <f t="shared" si="288"/>
        <v>1.1230671108338542E-2</v>
      </c>
      <c r="AP342" s="95">
        <f t="shared" si="289"/>
        <v>6.1988556470426392E-2</v>
      </c>
      <c r="AQ342" s="93">
        <f t="shared" si="290"/>
        <v>0.27589532910039716</v>
      </c>
      <c r="AR342" s="31">
        <v>1.7</v>
      </c>
      <c r="AS342" s="31">
        <v>1.7</v>
      </c>
      <c r="AT342" s="31">
        <v>7</v>
      </c>
      <c r="AU342" s="43">
        <v>7.0000000000000007E-2</v>
      </c>
      <c r="AV342" s="44">
        <v>0.31</v>
      </c>
      <c r="AW342" s="19">
        <v>1.9E-2</v>
      </c>
      <c r="AX342" s="44">
        <v>0.13</v>
      </c>
      <c r="AY342" s="40">
        <v>5.7364015212287551</v>
      </c>
      <c r="AZ342" s="41">
        <v>0.5</v>
      </c>
      <c r="BA342" s="40">
        <v>0.72</v>
      </c>
      <c r="BB342" s="45">
        <v>1</v>
      </c>
      <c r="BC342" s="41">
        <v>34.015858318041701</v>
      </c>
      <c r="BD342" s="41">
        <v>29.900893458486223</v>
      </c>
      <c r="BE342" s="41">
        <v>36.083248223472076</v>
      </c>
      <c r="BF342" s="125">
        <v>1.1000000000000001</v>
      </c>
      <c r="BG342" s="48">
        <f t="shared" si="309"/>
        <v>3.6591488902450093E-3</v>
      </c>
      <c r="BH342" s="48">
        <f t="shared" si="266"/>
        <v>3.6591488902450093E-3</v>
      </c>
      <c r="BI342" s="99">
        <f t="shared" si="267"/>
        <v>1.2446909021519375E-3</v>
      </c>
      <c r="BJ342" s="99">
        <f t="shared" si="310"/>
        <v>1.0941182111595413E-3</v>
      </c>
      <c r="BK342" s="48">
        <f t="shared" si="268"/>
        <v>1.3203397769335303E-3</v>
      </c>
      <c r="BL342" s="99">
        <f t="shared" si="291"/>
        <v>1.7411275404520871E-4</v>
      </c>
      <c r="BM342" s="48">
        <f t="shared" si="292"/>
        <v>6.904041615618231E-4</v>
      </c>
      <c r="BN342" s="48">
        <f t="shared" si="293"/>
        <v>1.86000095897122E-3</v>
      </c>
      <c r="BO342" s="48">
        <f t="shared" si="294"/>
        <v>2.2445776207870014E-3</v>
      </c>
      <c r="BP342" s="99">
        <f t="shared" si="295"/>
        <v>2.9599168187685474E-4</v>
      </c>
      <c r="BQ342" s="48">
        <f t="shared" si="296"/>
        <v>1.1736870746550992E-3</v>
      </c>
      <c r="BR342" s="40">
        <f t="shared" si="297"/>
        <v>0.63916751776527925</v>
      </c>
      <c r="BS342" s="31">
        <v>1.7</v>
      </c>
      <c r="BT342" s="31">
        <v>1.7</v>
      </c>
      <c r="BU342" s="43">
        <v>0.13500000000000001</v>
      </c>
      <c r="BV342" s="44">
        <v>0.45</v>
      </c>
      <c r="BW342" s="19">
        <v>0.02</v>
      </c>
      <c r="BX342" s="44">
        <v>0.15</v>
      </c>
      <c r="BY342" s="40">
        <v>15.013075720028375</v>
      </c>
      <c r="BZ342" s="40">
        <v>0.52</v>
      </c>
      <c r="CA342" s="40">
        <v>0.65</v>
      </c>
      <c r="CB342" s="45">
        <v>1</v>
      </c>
      <c r="CC342" s="41">
        <v>14.343008645215042</v>
      </c>
      <c r="CD342" s="41">
        <v>32.687165928599939</v>
      </c>
      <c r="CE342" s="41">
        <v>52.969825426185011</v>
      </c>
      <c r="CF342" s="125">
        <v>1.1000000000000001</v>
      </c>
      <c r="CG342" s="40">
        <f t="shared" si="311"/>
        <v>2.1693153461216197E-2</v>
      </c>
      <c r="CH342" s="40">
        <f t="shared" si="269"/>
        <v>2.1693153461216197E-2</v>
      </c>
      <c r="CI342" s="99">
        <f t="shared" si="312"/>
        <v>3.1114508763620051E-3</v>
      </c>
      <c r="CJ342" s="100">
        <f t="shared" si="313"/>
        <v>7.0908770670135585E-3</v>
      </c>
      <c r="CK342" s="100">
        <f t="shared" si="314"/>
        <v>1.1490825517840631E-2</v>
      </c>
      <c r="CL342" s="101">
        <f t="shared" si="298"/>
        <v>5.7090572062655812E-4</v>
      </c>
      <c r="CM342" s="100">
        <f t="shared" si="299"/>
        <v>3.8508869477801621E-3</v>
      </c>
      <c r="CN342" s="100">
        <f t="shared" si="300"/>
        <v>1.2054491013923049E-2</v>
      </c>
      <c r="CO342" s="100">
        <f t="shared" si="301"/>
        <v>1.9534403380329073E-2</v>
      </c>
      <c r="CP342" s="101">
        <f t="shared" si="302"/>
        <v>9.7053972506514884E-4</v>
      </c>
      <c r="CQ342" s="100">
        <f t="shared" si="303"/>
        <v>6.5465078112262754E-3</v>
      </c>
      <c r="CR342" s="99">
        <f t="shared" si="304"/>
        <v>0.47030174573814981</v>
      </c>
      <c r="CS342" s="31">
        <v>1.7</v>
      </c>
      <c r="CT342" s="31">
        <v>1.7</v>
      </c>
      <c r="CU342" s="43">
        <v>0.04</v>
      </c>
      <c r="CV342" s="44">
        <v>0.3</v>
      </c>
      <c r="CW342" s="19">
        <v>2.5000000000000001E-2</v>
      </c>
      <c r="CX342" s="44">
        <v>0.15</v>
      </c>
    </row>
    <row r="343" spans="1:102" x14ac:dyDescent="0.25">
      <c r="A343" s="31">
        <v>329</v>
      </c>
      <c r="B343" s="83" t="s">
        <v>254</v>
      </c>
      <c r="C343" s="31">
        <v>100</v>
      </c>
      <c r="D343" s="31" t="s">
        <v>26</v>
      </c>
      <c r="E343" s="31" t="s">
        <v>99</v>
      </c>
      <c r="F343" s="31" t="s">
        <v>70</v>
      </c>
      <c r="G343" s="31" t="str">
        <f t="shared" si="305"/>
        <v>Statlig 100 - 4S Ck</v>
      </c>
      <c r="H343" s="48">
        <f t="shared" si="272"/>
        <v>0.18574795273152253</v>
      </c>
      <c r="I343" s="40">
        <f t="shared" si="273"/>
        <v>0.2424101560344985</v>
      </c>
      <c r="J343" s="99">
        <f t="shared" si="274"/>
        <v>1.2527138124038278E-2</v>
      </c>
      <c r="K343" s="48">
        <f t="shared" si="275"/>
        <v>5.9899246908356178E-2</v>
      </c>
      <c r="L343" s="48">
        <f t="shared" si="276"/>
        <v>0.16998377100210404</v>
      </c>
      <c r="M343" s="48">
        <f t="shared" si="306"/>
        <v>0.29487104651280538</v>
      </c>
      <c r="N343" s="99">
        <f t="shared" si="277"/>
        <v>7.351295597223851E-3</v>
      </c>
      <c r="O343" s="48">
        <f t="shared" si="278"/>
        <v>4.100514785665163E-2</v>
      </c>
      <c r="P343" s="48">
        <f t="shared" si="279"/>
        <v>0.1018287197442055</v>
      </c>
      <c r="Q343" s="48">
        <f t="shared" si="280"/>
        <v>0.28897241070357688</v>
      </c>
      <c r="R343" s="40">
        <f t="shared" si="307"/>
        <v>2.0640973255896378</v>
      </c>
      <c r="S343" s="99">
        <f t="shared" si="281"/>
        <v>1.2497202515280546E-2</v>
      </c>
      <c r="T343" s="48">
        <f t="shared" si="282"/>
        <v>6.970875135630776E-2</v>
      </c>
      <c r="U343" s="40">
        <v>10.633920000000002</v>
      </c>
      <c r="V343" s="40">
        <v>1.25</v>
      </c>
      <c r="W343" s="40">
        <v>0.45</v>
      </c>
      <c r="X343" s="40">
        <v>1.3532652111744523</v>
      </c>
      <c r="Y343" s="42">
        <v>3.764432480501803</v>
      </c>
      <c r="Z343" s="42">
        <v>23.825100429537908</v>
      </c>
      <c r="AA343" s="42">
        <v>72.410467089960292</v>
      </c>
      <c r="AB343" s="42">
        <v>1.3584905660377358</v>
      </c>
      <c r="AC343" s="125">
        <v>1.1000000000000001</v>
      </c>
      <c r="AD343" s="94">
        <f t="shared" si="308"/>
        <v>0.16039565038006132</v>
      </c>
      <c r="AE343" s="94">
        <f t="shared" si="263"/>
        <v>0.21705785368303729</v>
      </c>
      <c r="AF343" s="96">
        <f t="shared" si="264"/>
        <v>8.1709963455243347E-3</v>
      </c>
      <c r="AG343" s="95">
        <f t="shared" si="270"/>
        <v>5.1714251630183082E-2</v>
      </c>
      <c r="AH343" s="94">
        <f t="shared" si="271"/>
        <v>0.15717260570732988</v>
      </c>
      <c r="AI343" s="94">
        <f t="shared" si="265"/>
        <v>0.29487104651280538</v>
      </c>
      <c r="AJ343" s="96">
        <f t="shared" si="283"/>
        <v>6.6062771225520837E-3</v>
      </c>
      <c r="AK343" s="95">
        <f t="shared" si="284"/>
        <v>3.6463856747309641E-2</v>
      </c>
      <c r="AL343" s="95">
        <f t="shared" si="285"/>
        <v>8.7914227771311235E-2</v>
      </c>
      <c r="AM343" s="94">
        <f t="shared" si="286"/>
        <v>0.26719342970246079</v>
      </c>
      <c r="AN343" s="93">
        <f t="shared" si="287"/>
        <v>2.0640973255896378</v>
      </c>
      <c r="AO343" s="96">
        <f t="shared" si="288"/>
        <v>1.1230671108338542E-2</v>
      </c>
      <c r="AP343" s="95">
        <f t="shared" si="289"/>
        <v>6.1988556470426392E-2</v>
      </c>
      <c r="AQ343" s="93">
        <f t="shared" si="290"/>
        <v>0.27589532910039716</v>
      </c>
      <c r="AR343" s="31">
        <v>1.7</v>
      </c>
      <c r="AS343" s="31">
        <v>1.7</v>
      </c>
      <c r="AT343" s="31">
        <v>7</v>
      </c>
      <c r="AU343" s="43">
        <v>7.0000000000000007E-2</v>
      </c>
      <c r="AV343" s="44">
        <v>0.31</v>
      </c>
      <c r="AW343" s="19">
        <v>1.9E-2</v>
      </c>
      <c r="AX343" s="44">
        <v>0.13</v>
      </c>
      <c r="AY343" s="40">
        <v>5.7364015212287551</v>
      </c>
      <c r="AZ343" s="41">
        <v>0.5</v>
      </c>
      <c r="BA343" s="40">
        <v>0.72</v>
      </c>
      <c r="BB343" s="45">
        <v>1</v>
      </c>
      <c r="BC343" s="41">
        <v>34.015858318041701</v>
      </c>
      <c r="BD343" s="41">
        <v>29.900893458486223</v>
      </c>
      <c r="BE343" s="41">
        <v>36.083248223472076</v>
      </c>
      <c r="BF343" s="125">
        <v>1.1000000000000001</v>
      </c>
      <c r="BG343" s="48">
        <f t="shared" si="309"/>
        <v>3.6591488902450093E-3</v>
      </c>
      <c r="BH343" s="48">
        <f t="shared" si="266"/>
        <v>3.6591488902450093E-3</v>
      </c>
      <c r="BI343" s="99">
        <f t="shared" si="267"/>
        <v>1.2446909021519375E-3</v>
      </c>
      <c r="BJ343" s="99">
        <f t="shared" si="310"/>
        <v>1.0941182111595413E-3</v>
      </c>
      <c r="BK343" s="48">
        <f t="shared" si="268"/>
        <v>1.3203397769335303E-3</v>
      </c>
      <c r="BL343" s="99">
        <f t="shared" si="291"/>
        <v>1.7411275404520871E-4</v>
      </c>
      <c r="BM343" s="48">
        <f t="shared" si="292"/>
        <v>6.904041615618231E-4</v>
      </c>
      <c r="BN343" s="48">
        <f t="shared" si="293"/>
        <v>1.86000095897122E-3</v>
      </c>
      <c r="BO343" s="48">
        <f t="shared" si="294"/>
        <v>2.2445776207870014E-3</v>
      </c>
      <c r="BP343" s="99">
        <f t="shared" si="295"/>
        <v>2.9599168187685474E-4</v>
      </c>
      <c r="BQ343" s="48">
        <f t="shared" si="296"/>
        <v>1.1736870746550992E-3</v>
      </c>
      <c r="BR343" s="40">
        <f t="shared" si="297"/>
        <v>0.63916751776527925</v>
      </c>
      <c r="BS343" s="31">
        <v>1.7</v>
      </c>
      <c r="BT343" s="31">
        <v>1.7</v>
      </c>
      <c r="BU343" s="43">
        <v>0.13500000000000001</v>
      </c>
      <c r="BV343" s="44">
        <v>0.45</v>
      </c>
      <c r="BW343" s="19">
        <v>0.02</v>
      </c>
      <c r="BX343" s="44">
        <v>0.15</v>
      </c>
      <c r="BY343" s="40">
        <v>15.013075720028375</v>
      </c>
      <c r="BZ343" s="40">
        <v>0.52</v>
      </c>
      <c r="CA343" s="40">
        <v>0.65</v>
      </c>
      <c r="CB343" s="45">
        <v>1</v>
      </c>
      <c r="CC343" s="41">
        <v>14.343008645215042</v>
      </c>
      <c r="CD343" s="41">
        <v>32.687165928599939</v>
      </c>
      <c r="CE343" s="41">
        <v>52.969825426185011</v>
      </c>
      <c r="CF343" s="125">
        <v>1.1000000000000001</v>
      </c>
      <c r="CG343" s="40">
        <f t="shared" si="311"/>
        <v>2.1693153461216197E-2</v>
      </c>
      <c r="CH343" s="40">
        <f t="shared" si="269"/>
        <v>2.1693153461216197E-2</v>
      </c>
      <c r="CI343" s="99">
        <f t="shared" si="312"/>
        <v>3.1114508763620051E-3</v>
      </c>
      <c r="CJ343" s="100">
        <f t="shared" si="313"/>
        <v>7.0908770670135585E-3</v>
      </c>
      <c r="CK343" s="100">
        <f t="shared" si="314"/>
        <v>1.1490825517840631E-2</v>
      </c>
      <c r="CL343" s="101">
        <f t="shared" si="298"/>
        <v>5.7090572062655812E-4</v>
      </c>
      <c r="CM343" s="100">
        <f t="shared" si="299"/>
        <v>3.8508869477801621E-3</v>
      </c>
      <c r="CN343" s="100">
        <f t="shared" si="300"/>
        <v>1.2054491013923049E-2</v>
      </c>
      <c r="CO343" s="100">
        <f t="shared" si="301"/>
        <v>1.9534403380329073E-2</v>
      </c>
      <c r="CP343" s="101">
        <f t="shared" si="302"/>
        <v>9.7053972506514884E-4</v>
      </c>
      <c r="CQ343" s="100">
        <f t="shared" si="303"/>
        <v>6.5465078112262754E-3</v>
      </c>
      <c r="CR343" s="99">
        <f t="shared" si="304"/>
        <v>0.47030174573814981</v>
      </c>
      <c r="CS343" s="31">
        <v>1.7</v>
      </c>
      <c r="CT343" s="31">
        <v>1.7</v>
      </c>
      <c r="CU343" s="43">
        <v>0.04</v>
      </c>
      <c r="CV343" s="44">
        <v>0.3</v>
      </c>
      <c r="CW343" s="19">
        <v>2.5000000000000001E-2</v>
      </c>
      <c r="CX343" s="44">
        <v>0.15</v>
      </c>
    </row>
    <row r="344" spans="1:102" x14ac:dyDescent="0.25">
      <c r="A344" s="31">
        <v>330</v>
      </c>
      <c r="B344" s="83" t="s">
        <v>254</v>
      </c>
      <c r="C344" s="31">
        <v>100</v>
      </c>
      <c r="D344" s="31" t="s">
        <v>26</v>
      </c>
      <c r="E344" s="31" t="s">
        <v>99</v>
      </c>
      <c r="F344" s="31" t="s">
        <v>71</v>
      </c>
      <c r="G344" s="31" t="str">
        <f t="shared" si="305"/>
        <v>Statlig 100 - 4S Cm</v>
      </c>
      <c r="H344" s="48">
        <f t="shared" si="272"/>
        <v>0.16168860517451336</v>
      </c>
      <c r="I344" s="40">
        <f t="shared" si="273"/>
        <v>0.20985147798204296</v>
      </c>
      <c r="J344" s="99">
        <f t="shared" si="274"/>
        <v>1.1301488672209628E-2</v>
      </c>
      <c r="K344" s="48">
        <f t="shared" si="275"/>
        <v>5.2142109163828727E-2</v>
      </c>
      <c r="L344" s="48">
        <f t="shared" si="276"/>
        <v>0.14640788014600459</v>
      </c>
      <c r="M344" s="48">
        <f t="shared" si="306"/>
        <v>0.25064038953588458</v>
      </c>
      <c r="N344" s="99">
        <f t="shared" si="277"/>
        <v>6.3603540288410393E-3</v>
      </c>
      <c r="O344" s="48">
        <f t="shared" si="278"/>
        <v>3.5535569344555193E-2</v>
      </c>
      <c r="P344" s="48">
        <f t="shared" si="279"/>
        <v>8.8641585578508833E-2</v>
      </c>
      <c r="Q344" s="48">
        <f t="shared" si="280"/>
        <v>0.2488933962482078</v>
      </c>
      <c r="R344" s="40">
        <f t="shared" si="307"/>
        <v>1.754482726751192</v>
      </c>
      <c r="S344" s="99">
        <f t="shared" si="281"/>
        <v>1.0812601849029765E-2</v>
      </c>
      <c r="T344" s="48">
        <f t="shared" si="282"/>
        <v>6.0410467885743814E-2</v>
      </c>
      <c r="U344" s="40">
        <v>9.0388320000000029</v>
      </c>
      <c r="V344" s="40">
        <v>1.25</v>
      </c>
      <c r="W344" s="40">
        <v>0.45</v>
      </c>
      <c r="X344" s="40">
        <v>1.3532652111744523</v>
      </c>
      <c r="Y344" s="42">
        <v>3.7644324805018026</v>
      </c>
      <c r="Z344" s="42">
        <v>23.825100429537908</v>
      </c>
      <c r="AA344" s="42">
        <v>72.410467089960292</v>
      </c>
      <c r="AB344" s="42">
        <v>1.3584905660377355</v>
      </c>
      <c r="AC344" s="125">
        <v>1.1000000000000001</v>
      </c>
      <c r="AD344" s="94">
        <f t="shared" si="308"/>
        <v>0.13633630282305215</v>
      </c>
      <c r="AE344" s="94">
        <f t="shared" si="263"/>
        <v>0.18449917563058174</v>
      </c>
      <c r="AF344" s="96">
        <f t="shared" si="264"/>
        <v>6.945346893695685E-3</v>
      </c>
      <c r="AG344" s="95">
        <f t="shared" si="270"/>
        <v>4.3957113885655631E-2</v>
      </c>
      <c r="AH344" s="94">
        <f t="shared" si="271"/>
        <v>0.13359671485123042</v>
      </c>
      <c r="AI344" s="94">
        <f t="shared" si="265"/>
        <v>0.25064038953588458</v>
      </c>
      <c r="AJ344" s="96">
        <f t="shared" si="283"/>
        <v>5.615335554169272E-3</v>
      </c>
      <c r="AK344" s="95">
        <f t="shared" si="284"/>
        <v>3.0994278235213203E-2</v>
      </c>
      <c r="AL344" s="95">
        <f t="shared" si="285"/>
        <v>7.4727093605614567E-2</v>
      </c>
      <c r="AM344" s="94">
        <f t="shared" si="286"/>
        <v>0.22711441524709172</v>
      </c>
      <c r="AN344" s="93">
        <f t="shared" si="287"/>
        <v>1.754482726751192</v>
      </c>
      <c r="AO344" s="96">
        <f t="shared" si="288"/>
        <v>9.5460704420877625E-3</v>
      </c>
      <c r="AP344" s="95">
        <f t="shared" si="289"/>
        <v>5.2690272999862439E-2</v>
      </c>
      <c r="AQ344" s="93">
        <f t="shared" si="290"/>
        <v>0.2758953291003971</v>
      </c>
      <c r="AR344" s="31">
        <v>1.7</v>
      </c>
      <c r="AS344" s="31">
        <v>1.7</v>
      </c>
      <c r="AT344" s="31">
        <v>7</v>
      </c>
      <c r="AU344" s="43">
        <v>7.0000000000000007E-2</v>
      </c>
      <c r="AV344" s="44">
        <v>0.31</v>
      </c>
      <c r="AW344" s="19">
        <v>1.9E-2</v>
      </c>
      <c r="AX344" s="44">
        <v>0.13</v>
      </c>
      <c r="AY344" s="40">
        <v>5.7364015212287551</v>
      </c>
      <c r="AZ344" s="41">
        <v>0.5</v>
      </c>
      <c r="BA344" s="40">
        <v>0.72</v>
      </c>
      <c r="BB344" s="45">
        <v>1</v>
      </c>
      <c r="BC344" s="41">
        <v>34.015858318041701</v>
      </c>
      <c r="BD344" s="41">
        <v>29.900893458486223</v>
      </c>
      <c r="BE344" s="41">
        <v>36.083248223472076</v>
      </c>
      <c r="BF344" s="125">
        <v>1.1000000000000001</v>
      </c>
      <c r="BG344" s="48">
        <f t="shared" si="309"/>
        <v>3.6591488902450093E-3</v>
      </c>
      <c r="BH344" s="48">
        <f t="shared" si="266"/>
        <v>3.6591488902450093E-3</v>
      </c>
      <c r="BI344" s="99">
        <f t="shared" si="267"/>
        <v>1.2446909021519375E-3</v>
      </c>
      <c r="BJ344" s="99">
        <f t="shared" si="310"/>
        <v>1.0941182111595413E-3</v>
      </c>
      <c r="BK344" s="48">
        <f t="shared" si="268"/>
        <v>1.3203397769335303E-3</v>
      </c>
      <c r="BL344" s="99">
        <f t="shared" si="291"/>
        <v>1.7411275404520871E-4</v>
      </c>
      <c r="BM344" s="48">
        <f t="shared" si="292"/>
        <v>6.904041615618231E-4</v>
      </c>
      <c r="BN344" s="48">
        <f t="shared" si="293"/>
        <v>1.86000095897122E-3</v>
      </c>
      <c r="BO344" s="48">
        <f t="shared" si="294"/>
        <v>2.2445776207870014E-3</v>
      </c>
      <c r="BP344" s="99">
        <f t="shared" si="295"/>
        <v>2.9599168187685474E-4</v>
      </c>
      <c r="BQ344" s="48">
        <f t="shared" si="296"/>
        <v>1.1736870746550992E-3</v>
      </c>
      <c r="BR344" s="40">
        <f t="shared" si="297"/>
        <v>0.63916751776527925</v>
      </c>
      <c r="BS344" s="31">
        <v>1.7</v>
      </c>
      <c r="BT344" s="31">
        <v>1.7</v>
      </c>
      <c r="BU344" s="43">
        <v>0.13500000000000001</v>
      </c>
      <c r="BV344" s="44">
        <v>0.45</v>
      </c>
      <c r="BW344" s="19">
        <v>0.02</v>
      </c>
      <c r="BX344" s="44">
        <v>0.15</v>
      </c>
      <c r="BY344" s="40">
        <v>15.013075720028375</v>
      </c>
      <c r="BZ344" s="40">
        <v>0.52</v>
      </c>
      <c r="CA344" s="40">
        <v>0.65</v>
      </c>
      <c r="CB344" s="45">
        <v>1</v>
      </c>
      <c r="CC344" s="41">
        <v>14.343008645215042</v>
      </c>
      <c r="CD344" s="41">
        <v>32.687165928599939</v>
      </c>
      <c r="CE344" s="41">
        <v>52.969825426185011</v>
      </c>
      <c r="CF344" s="125">
        <v>1.1000000000000001</v>
      </c>
      <c r="CG344" s="40">
        <f t="shared" si="311"/>
        <v>2.1693153461216197E-2</v>
      </c>
      <c r="CH344" s="40">
        <f t="shared" si="269"/>
        <v>2.1693153461216197E-2</v>
      </c>
      <c r="CI344" s="99">
        <f t="shared" si="312"/>
        <v>3.1114508763620051E-3</v>
      </c>
      <c r="CJ344" s="100">
        <f t="shared" si="313"/>
        <v>7.0908770670135585E-3</v>
      </c>
      <c r="CK344" s="100">
        <f t="shared" si="314"/>
        <v>1.1490825517840631E-2</v>
      </c>
      <c r="CL344" s="101">
        <f t="shared" si="298"/>
        <v>5.7090572062655812E-4</v>
      </c>
      <c r="CM344" s="100">
        <f t="shared" si="299"/>
        <v>3.8508869477801621E-3</v>
      </c>
      <c r="CN344" s="100">
        <f t="shared" si="300"/>
        <v>1.2054491013923049E-2</v>
      </c>
      <c r="CO344" s="100">
        <f t="shared" si="301"/>
        <v>1.9534403380329073E-2</v>
      </c>
      <c r="CP344" s="101">
        <f t="shared" si="302"/>
        <v>9.7053972506514884E-4</v>
      </c>
      <c r="CQ344" s="100">
        <f t="shared" si="303"/>
        <v>6.5465078112262754E-3</v>
      </c>
      <c r="CR344" s="99">
        <f t="shared" si="304"/>
        <v>0.47030174573814981</v>
      </c>
      <c r="CS344" s="31">
        <v>1.7</v>
      </c>
      <c r="CT344" s="31">
        <v>1.7</v>
      </c>
      <c r="CU344" s="43">
        <v>0.04</v>
      </c>
      <c r="CV344" s="44">
        <v>0.3</v>
      </c>
      <c r="CW344" s="19">
        <v>2.5000000000000001E-2</v>
      </c>
      <c r="CX344" s="44">
        <v>0.15</v>
      </c>
    </row>
    <row r="345" spans="1:102" x14ac:dyDescent="0.25">
      <c r="A345" s="31">
        <v>331</v>
      </c>
      <c r="B345" s="83" t="s">
        <v>254</v>
      </c>
      <c r="C345" s="31">
        <v>100</v>
      </c>
      <c r="D345" s="31" t="s">
        <v>26</v>
      </c>
      <c r="E345" s="31" t="s">
        <v>99</v>
      </c>
      <c r="F345" s="31" t="s">
        <v>64</v>
      </c>
      <c r="G345" s="31" t="str">
        <f t="shared" si="305"/>
        <v>Statlig 100 - 4S F</v>
      </c>
      <c r="H345" s="48">
        <f t="shared" si="272"/>
        <v>8.1188146681878792E-2</v>
      </c>
      <c r="I345" s="40">
        <f t="shared" si="273"/>
        <v>8.9977943201519819E-2</v>
      </c>
      <c r="J345" s="99">
        <f t="shared" si="274"/>
        <v>5.3064915073164649E-3</v>
      </c>
      <c r="K345" s="48">
        <f t="shared" si="275"/>
        <v>1.8766526765579796E-2</v>
      </c>
      <c r="L345" s="48">
        <f t="shared" si="276"/>
        <v>6.5904924928623557E-2</v>
      </c>
      <c r="M345" s="48">
        <f t="shared" si="306"/>
        <v>0.13240375198548596</v>
      </c>
      <c r="N345" s="99">
        <f t="shared" si="277"/>
        <v>2.4945071118333741E-3</v>
      </c>
      <c r="O345" s="48">
        <f t="shared" si="278"/>
        <v>1.4723754622838483E-2</v>
      </c>
      <c r="P345" s="48">
        <f t="shared" si="279"/>
        <v>3.1903095501485651E-2</v>
      </c>
      <c r="Q345" s="48">
        <f t="shared" si="280"/>
        <v>0.11203837237866004</v>
      </c>
      <c r="R345" s="40">
        <f t="shared" si="307"/>
        <v>0.92682626389840173</v>
      </c>
      <c r="S345" s="99">
        <f t="shared" si="281"/>
        <v>4.2406620901167353E-3</v>
      </c>
      <c r="T345" s="48">
        <f t="shared" si="282"/>
        <v>2.5030382858825417E-2</v>
      </c>
      <c r="U345" s="40">
        <v>3.7018080000000011</v>
      </c>
      <c r="V345" s="40">
        <v>1.25</v>
      </c>
      <c r="W345" s="40">
        <v>0.45</v>
      </c>
      <c r="X345" s="40">
        <v>1.1574221116390038</v>
      </c>
      <c r="Y345" s="42">
        <v>1.4705459262020781</v>
      </c>
      <c r="Z345" s="42">
        <v>16.37358074631317</v>
      </c>
      <c r="AA345" s="42">
        <v>82.155873327484755</v>
      </c>
      <c r="AB345" s="42">
        <v>2.0487804878048781</v>
      </c>
      <c r="AC345" s="125">
        <v>1.1000000000000001</v>
      </c>
      <c r="AD345" s="94">
        <f t="shared" si="308"/>
        <v>5.5835844330417585E-2</v>
      </c>
      <c r="AE345" s="94">
        <f t="shared" si="263"/>
        <v>6.4625640850058619E-2</v>
      </c>
      <c r="AF345" s="96">
        <f t="shared" si="264"/>
        <v>9.5034972880252307E-4</v>
      </c>
      <c r="AG345" s="95">
        <f t="shared" si="270"/>
        <v>1.0581531487406697E-2</v>
      </c>
      <c r="AH345" s="94">
        <f t="shared" si="271"/>
        <v>5.3093759633849401E-2</v>
      </c>
      <c r="AI345" s="94">
        <f t="shared" si="265"/>
        <v>0.13240375198548596</v>
      </c>
      <c r="AJ345" s="96">
        <f t="shared" si="283"/>
        <v>1.7494886371616073E-3</v>
      </c>
      <c r="AK345" s="95">
        <f t="shared" si="284"/>
        <v>1.0182463513496498E-2</v>
      </c>
      <c r="AL345" s="95">
        <f t="shared" si="285"/>
        <v>1.7988603528591385E-2</v>
      </c>
      <c r="AM345" s="94">
        <f t="shared" si="286"/>
        <v>9.0259391377543977E-2</v>
      </c>
      <c r="AN345" s="93">
        <f t="shared" si="287"/>
        <v>0.92682626389840173</v>
      </c>
      <c r="AO345" s="96">
        <f t="shared" si="288"/>
        <v>2.9741306831747322E-3</v>
      </c>
      <c r="AP345" s="95">
        <f t="shared" si="289"/>
        <v>1.7310187972944046E-2</v>
      </c>
      <c r="AQ345" s="93">
        <f t="shared" si="290"/>
        <v>0.17844126672515248</v>
      </c>
      <c r="AR345" s="31">
        <v>1.7</v>
      </c>
      <c r="AS345" s="31">
        <v>1.7</v>
      </c>
      <c r="AT345" s="31">
        <v>7</v>
      </c>
      <c r="AU345" s="43">
        <v>7.0000000000000007E-2</v>
      </c>
      <c r="AV345" s="44">
        <v>0.31</v>
      </c>
      <c r="AW345" s="19">
        <v>1.9E-2</v>
      </c>
      <c r="AX345" s="44">
        <v>0.13</v>
      </c>
      <c r="AY345" s="40">
        <v>5.7364015212287551</v>
      </c>
      <c r="AZ345" s="41">
        <v>0.5</v>
      </c>
      <c r="BA345" s="40">
        <v>0.72</v>
      </c>
      <c r="BB345" s="45">
        <v>1</v>
      </c>
      <c r="BC345" s="41">
        <v>34.015858318041694</v>
      </c>
      <c r="BD345" s="41">
        <v>29.900893458486227</v>
      </c>
      <c r="BE345" s="41">
        <v>36.083248223472083</v>
      </c>
      <c r="BF345" s="125">
        <v>1.1000000000000001</v>
      </c>
      <c r="BG345" s="48">
        <f t="shared" si="309"/>
        <v>3.6591488902450093E-3</v>
      </c>
      <c r="BH345" s="48">
        <f t="shared" si="266"/>
        <v>3.6591488902450093E-3</v>
      </c>
      <c r="BI345" s="99">
        <f t="shared" si="267"/>
        <v>1.2446909021519373E-3</v>
      </c>
      <c r="BJ345" s="99">
        <f t="shared" si="310"/>
        <v>1.0941182111595415E-3</v>
      </c>
      <c r="BK345" s="48">
        <f t="shared" si="268"/>
        <v>1.3203397769335308E-3</v>
      </c>
      <c r="BL345" s="99">
        <f t="shared" si="291"/>
        <v>1.7411275404520874E-4</v>
      </c>
      <c r="BM345" s="48">
        <f t="shared" si="292"/>
        <v>6.9040416156182331E-4</v>
      </c>
      <c r="BN345" s="48">
        <f t="shared" si="293"/>
        <v>1.8600009589712205E-3</v>
      </c>
      <c r="BO345" s="48">
        <f t="shared" si="294"/>
        <v>2.2445776207870023E-3</v>
      </c>
      <c r="BP345" s="99">
        <f t="shared" si="295"/>
        <v>2.9599168187685479E-4</v>
      </c>
      <c r="BQ345" s="48">
        <f t="shared" si="296"/>
        <v>1.1736870746550995E-3</v>
      </c>
      <c r="BR345" s="40">
        <f t="shared" si="297"/>
        <v>0.63916751776527925</v>
      </c>
      <c r="BS345" s="31">
        <v>1.7</v>
      </c>
      <c r="BT345" s="31">
        <v>1.7</v>
      </c>
      <c r="BU345" s="43">
        <v>0.13500000000000001</v>
      </c>
      <c r="BV345" s="44">
        <v>0.45</v>
      </c>
      <c r="BW345" s="19">
        <v>0.02</v>
      </c>
      <c r="BX345" s="44">
        <v>0.15</v>
      </c>
      <c r="BY345" s="40">
        <v>15.013075720028374</v>
      </c>
      <c r="BZ345" s="40">
        <v>0.52</v>
      </c>
      <c r="CA345" s="40">
        <v>0.65</v>
      </c>
      <c r="CB345" s="45">
        <v>1</v>
      </c>
      <c r="CC345" s="41">
        <v>14.343008645215043</v>
      </c>
      <c r="CD345" s="41">
        <v>32.687165928599939</v>
      </c>
      <c r="CE345" s="41">
        <v>52.969825426185011</v>
      </c>
      <c r="CF345" s="125">
        <v>1.1000000000000001</v>
      </c>
      <c r="CG345" s="40">
        <f t="shared" si="311"/>
        <v>2.1693153461216193E-2</v>
      </c>
      <c r="CH345" s="40">
        <f t="shared" si="269"/>
        <v>2.1693153461216193E-2</v>
      </c>
      <c r="CI345" s="99">
        <f t="shared" si="312"/>
        <v>3.1114508763620051E-3</v>
      </c>
      <c r="CJ345" s="100">
        <f t="shared" si="313"/>
        <v>7.0908770670135577E-3</v>
      </c>
      <c r="CK345" s="100">
        <f t="shared" si="314"/>
        <v>1.1490825517840629E-2</v>
      </c>
      <c r="CL345" s="101">
        <f t="shared" si="298"/>
        <v>5.7090572062655802E-4</v>
      </c>
      <c r="CM345" s="100">
        <f t="shared" si="299"/>
        <v>3.8508869477801616E-3</v>
      </c>
      <c r="CN345" s="100">
        <f t="shared" si="300"/>
        <v>1.2054491013923047E-2</v>
      </c>
      <c r="CO345" s="100">
        <f t="shared" si="301"/>
        <v>1.9534403380329069E-2</v>
      </c>
      <c r="CP345" s="101">
        <f t="shared" si="302"/>
        <v>9.7053972506514863E-4</v>
      </c>
      <c r="CQ345" s="100">
        <f t="shared" si="303"/>
        <v>6.5465078112262737E-3</v>
      </c>
      <c r="CR345" s="99">
        <f t="shared" si="304"/>
        <v>0.47030174573814981</v>
      </c>
      <c r="CS345" s="31">
        <v>1.7</v>
      </c>
      <c r="CT345" s="31">
        <v>1.7</v>
      </c>
      <c r="CU345" s="43">
        <v>0.04</v>
      </c>
      <c r="CV345" s="44">
        <v>0.3</v>
      </c>
      <c r="CW345" s="19">
        <v>2.5000000000000001E-2</v>
      </c>
      <c r="CX345" s="44">
        <v>0.15</v>
      </c>
    </row>
    <row r="346" spans="1:102" x14ac:dyDescent="0.25">
      <c r="A346" s="31">
        <v>332</v>
      </c>
      <c r="B346" s="83" t="s">
        <v>254</v>
      </c>
      <c r="C346" s="31">
        <v>110</v>
      </c>
      <c r="D346" s="31" t="s">
        <v>26</v>
      </c>
      <c r="E346" s="31" t="s">
        <v>99</v>
      </c>
      <c r="F346" s="31" t="s">
        <v>12</v>
      </c>
      <c r="G346" s="31" t="str">
        <f t="shared" si="305"/>
        <v>Statlig 110 - 4S A</v>
      </c>
      <c r="H346" s="48">
        <f t="shared" si="272"/>
        <v>0.1796019546898997</v>
      </c>
      <c r="I346" s="40">
        <f t="shared" si="273"/>
        <v>0.2647764455273145</v>
      </c>
      <c r="J346" s="99">
        <f t="shared" si="274"/>
        <v>1.5092937498841299E-2</v>
      </c>
      <c r="K346" s="48">
        <f t="shared" si="275"/>
        <v>6.884970909006459E-2</v>
      </c>
      <c r="L346" s="48">
        <f t="shared" si="276"/>
        <v>0.18083379893840856</v>
      </c>
      <c r="M346" s="48">
        <f t="shared" si="306"/>
        <v>0.35473671320903921</v>
      </c>
      <c r="N346" s="99">
        <f t="shared" si="277"/>
        <v>8.1673035894543212E-3</v>
      </c>
      <c r="O346" s="48">
        <f t="shared" si="278"/>
        <v>4.5218942330301666E-2</v>
      </c>
      <c r="P346" s="48">
        <f t="shared" si="279"/>
        <v>0.11704450545310979</v>
      </c>
      <c r="Q346" s="48">
        <f t="shared" si="280"/>
        <v>0.30741745819529459</v>
      </c>
      <c r="R346" s="40">
        <f t="shared" si="307"/>
        <v>2.4831569924632744</v>
      </c>
      <c r="S346" s="99">
        <f t="shared" si="281"/>
        <v>1.3884416102072345E-2</v>
      </c>
      <c r="T346" s="48">
        <f t="shared" si="282"/>
        <v>7.6872201961512843E-2</v>
      </c>
      <c r="U346" s="40">
        <v>10.032000000000002</v>
      </c>
      <c r="V346" s="40">
        <v>1.25</v>
      </c>
      <c r="W346" s="40">
        <v>0.45</v>
      </c>
      <c r="X346" s="40">
        <v>1.5628890813044325</v>
      </c>
      <c r="Y346" s="42">
        <v>4.1627664449559276</v>
      </c>
      <c r="Z346" s="42">
        <v>25.13483930210484</v>
      </c>
      <c r="AA346" s="42">
        <v>70.702394252939229</v>
      </c>
      <c r="AB346" s="42">
        <v>1.5</v>
      </c>
      <c r="AC346" s="125">
        <v>1.1000000000000001</v>
      </c>
      <c r="AD346" s="94">
        <f t="shared" si="308"/>
        <v>0.15131665130194466</v>
      </c>
      <c r="AE346" s="94">
        <f t="shared" si="263"/>
        <v>0.23649114213935946</v>
      </c>
      <c r="AF346" s="96">
        <f t="shared" si="264"/>
        <v>9.8445739102702833E-3</v>
      </c>
      <c r="AG346" s="95">
        <f t="shared" si="270"/>
        <v>5.9441668540440334E-2</v>
      </c>
      <c r="AH346" s="94">
        <f t="shared" si="271"/>
        <v>0.16720489968864882</v>
      </c>
      <c r="AI346" s="94">
        <f t="shared" si="265"/>
        <v>0.35473671320903921</v>
      </c>
      <c r="AJ346" s="96">
        <f t="shared" si="283"/>
        <v>7.3378098919151518E-3</v>
      </c>
      <c r="AK346" s="95">
        <f t="shared" si="284"/>
        <v>4.0163554207060852E-2</v>
      </c>
      <c r="AL346" s="95">
        <f t="shared" si="285"/>
        <v>0.10105083651874856</v>
      </c>
      <c r="AM346" s="94">
        <f t="shared" si="286"/>
        <v>0.284248329470703</v>
      </c>
      <c r="AN346" s="93">
        <f t="shared" si="287"/>
        <v>2.4831569924632744</v>
      </c>
      <c r="AO346" s="96">
        <f t="shared" si="288"/>
        <v>1.2474276816255757E-2</v>
      </c>
      <c r="AP346" s="95">
        <f t="shared" si="289"/>
        <v>6.8278042152003449E-2</v>
      </c>
      <c r="AQ346" s="93">
        <f t="shared" si="290"/>
        <v>0.29297605747060768</v>
      </c>
      <c r="AR346" s="31">
        <v>1.7</v>
      </c>
      <c r="AS346" s="31">
        <v>1.7</v>
      </c>
      <c r="AT346" s="31">
        <v>7</v>
      </c>
      <c r="AU346" s="43">
        <v>7.0000000000000007E-2</v>
      </c>
      <c r="AV346" s="44">
        <v>0.31</v>
      </c>
      <c r="AW346" s="19">
        <v>1.9E-2</v>
      </c>
      <c r="AX346" s="44">
        <v>0.13</v>
      </c>
      <c r="AY346" s="40">
        <v>6.5244820816790936</v>
      </c>
      <c r="AZ346" s="41">
        <v>0.5</v>
      </c>
      <c r="BA346" s="40">
        <v>0.72</v>
      </c>
      <c r="BB346" s="45">
        <v>1</v>
      </c>
      <c r="BC346" s="41">
        <v>36.032702923699006</v>
      </c>
      <c r="BD346" s="41">
        <v>30.217491767106107</v>
      </c>
      <c r="BE346" s="41">
        <v>33.74980530919489</v>
      </c>
      <c r="BF346" s="125">
        <v>1.1000000000000001</v>
      </c>
      <c r="BG346" s="48">
        <f t="shared" si="309"/>
        <v>4.1618515161898229E-3</v>
      </c>
      <c r="BH346" s="48">
        <f t="shared" si="266"/>
        <v>4.1618515161898229E-3</v>
      </c>
      <c r="BI346" s="99">
        <f t="shared" si="267"/>
        <v>1.4996275929541416E-3</v>
      </c>
      <c r="BJ346" s="99">
        <f t="shared" si="310"/>
        <v>1.2576071392638405E-3</v>
      </c>
      <c r="BK346" s="48">
        <f t="shared" si="268"/>
        <v>1.404616783971841E-3</v>
      </c>
      <c r="BL346" s="99">
        <f t="shared" si="291"/>
        <v>1.978692994800553E-4</v>
      </c>
      <c r="BM346" s="48">
        <f t="shared" si="292"/>
        <v>7.7661573026450428E-4</v>
      </c>
      <c r="BN346" s="48">
        <f t="shared" si="293"/>
        <v>2.1379321367485287E-3</v>
      </c>
      <c r="BO346" s="48">
        <f t="shared" si="294"/>
        <v>2.3878485327521299E-3</v>
      </c>
      <c r="BP346" s="99">
        <f t="shared" si="295"/>
        <v>3.3637780911609401E-4</v>
      </c>
      <c r="BQ346" s="48">
        <f t="shared" si="296"/>
        <v>1.3202467414496575E-3</v>
      </c>
      <c r="BR346" s="40">
        <f t="shared" si="297"/>
        <v>0.6625019469080512</v>
      </c>
      <c r="BS346" s="31">
        <v>1.7</v>
      </c>
      <c r="BT346" s="31">
        <v>1.7</v>
      </c>
      <c r="BU346" s="43">
        <v>0.13500000000000001</v>
      </c>
      <c r="BV346" s="44">
        <v>0.45</v>
      </c>
      <c r="BW346" s="19">
        <v>0.02</v>
      </c>
      <c r="BX346" s="44">
        <v>0.15</v>
      </c>
      <c r="BY346" s="40">
        <v>16.695000578259251</v>
      </c>
      <c r="BZ346" s="40">
        <v>0.52</v>
      </c>
      <c r="CA346" s="40">
        <v>0.65</v>
      </c>
      <c r="CB346" s="45">
        <v>1</v>
      </c>
      <c r="CC346" s="41">
        <v>15.539799260670925</v>
      </c>
      <c r="CD346" s="41">
        <v>33.786348047063377</v>
      </c>
      <c r="CE346" s="41">
        <v>50.673852692265697</v>
      </c>
      <c r="CF346" s="125">
        <v>1.1000000000000001</v>
      </c>
      <c r="CG346" s="40">
        <f t="shared" si="311"/>
        <v>2.4123451871765192E-2</v>
      </c>
      <c r="CH346" s="40">
        <f t="shared" si="269"/>
        <v>2.4123451871765192E-2</v>
      </c>
      <c r="CI346" s="99">
        <f t="shared" si="312"/>
        <v>3.7487359956168737E-3</v>
      </c>
      <c r="CJ346" s="100">
        <f t="shared" si="313"/>
        <v>8.1504334103604126E-3</v>
      </c>
      <c r="CK346" s="100">
        <f t="shared" si="314"/>
        <v>1.2224282465787906E-2</v>
      </c>
      <c r="CL346" s="101">
        <f t="shared" si="298"/>
        <v>6.3162439805911422E-4</v>
      </c>
      <c r="CM346" s="100">
        <f t="shared" si="299"/>
        <v>4.2787723929763096E-3</v>
      </c>
      <c r="CN346" s="100">
        <f t="shared" si="300"/>
        <v>1.38557367976127E-2</v>
      </c>
      <c r="CO346" s="100">
        <f t="shared" si="301"/>
        <v>2.0781280191839439E-2</v>
      </c>
      <c r="CP346" s="101">
        <f t="shared" si="302"/>
        <v>1.0737614767004941E-3</v>
      </c>
      <c r="CQ346" s="100">
        <f t="shared" si="303"/>
        <v>7.2739130680597262E-3</v>
      </c>
      <c r="CR346" s="99">
        <f t="shared" si="304"/>
        <v>0.49326147307734303</v>
      </c>
      <c r="CS346" s="31">
        <v>1.7</v>
      </c>
      <c r="CT346" s="31">
        <v>1.7</v>
      </c>
      <c r="CU346" s="43">
        <v>0.04</v>
      </c>
      <c r="CV346" s="44">
        <v>0.3</v>
      </c>
      <c r="CW346" s="19">
        <v>2.5000000000000001E-2</v>
      </c>
      <c r="CX346" s="44">
        <v>0.15</v>
      </c>
    </row>
    <row r="347" spans="1:102" x14ac:dyDescent="0.25">
      <c r="A347" s="31">
        <v>333</v>
      </c>
      <c r="B347" s="83" t="s">
        <v>254</v>
      </c>
      <c r="C347" s="31">
        <v>110</v>
      </c>
      <c r="D347" s="31" t="s">
        <v>26</v>
      </c>
      <c r="E347" s="31" t="s">
        <v>99</v>
      </c>
      <c r="F347" s="31" t="s">
        <v>13</v>
      </c>
      <c r="G347" s="31" t="str">
        <f t="shared" si="305"/>
        <v>Statlig 110 - 4S B</v>
      </c>
      <c r="H347" s="48">
        <f t="shared" si="272"/>
        <v>0.1796019546898997</v>
      </c>
      <c r="I347" s="40">
        <f t="shared" si="273"/>
        <v>0.2647764455273145</v>
      </c>
      <c r="J347" s="99">
        <f t="shared" si="274"/>
        <v>1.5092937498841299E-2</v>
      </c>
      <c r="K347" s="48">
        <f t="shared" si="275"/>
        <v>6.884970909006459E-2</v>
      </c>
      <c r="L347" s="48">
        <f t="shared" si="276"/>
        <v>0.18083379893840856</v>
      </c>
      <c r="M347" s="48">
        <f t="shared" si="306"/>
        <v>0.35473671320903921</v>
      </c>
      <c r="N347" s="99">
        <f t="shared" si="277"/>
        <v>8.1673035894543212E-3</v>
      </c>
      <c r="O347" s="48">
        <f t="shared" si="278"/>
        <v>4.5218942330301666E-2</v>
      </c>
      <c r="P347" s="48">
        <f t="shared" si="279"/>
        <v>0.11704450545310979</v>
      </c>
      <c r="Q347" s="48">
        <f t="shared" si="280"/>
        <v>0.30741745819529459</v>
      </c>
      <c r="R347" s="40">
        <f t="shared" si="307"/>
        <v>2.4831569924632744</v>
      </c>
      <c r="S347" s="99">
        <f t="shared" si="281"/>
        <v>1.3884416102072345E-2</v>
      </c>
      <c r="T347" s="48">
        <f t="shared" si="282"/>
        <v>7.6872201961512843E-2</v>
      </c>
      <c r="U347" s="40">
        <v>10.032000000000002</v>
      </c>
      <c r="V347" s="40">
        <v>1.25</v>
      </c>
      <c r="W347" s="40">
        <v>0.45</v>
      </c>
      <c r="X347" s="40">
        <v>1.5628890813044325</v>
      </c>
      <c r="Y347" s="42">
        <v>4.1627664449559276</v>
      </c>
      <c r="Z347" s="42">
        <v>25.13483930210484</v>
      </c>
      <c r="AA347" s="42">
        <v>70.702394252939229</v>
      </c>
      <c r="AB347" s="42">
        <v>1.5</v>
      </c>
      <c r="AC347" s="125">
        <v>1.1000000000000001</v>
      </c>
      <c r="AD347" s="94">
        <f t="shared" si="308"/>
        <v>0.15131665130194466</v>
      </c>
      <c r="AE347" s="94">
        <f t="shared" si="263"/>
        <v>0.23649114213935946</v>
      </c>
      <c r="AF347" s="96">
        <f t="shared" si="264"/>
        <v>9.8445739102702833E-3</v>
      </c>
      <c r="AG347" s="95">
        <f t="shared" si="270"/>
        <v>5.9441668540440334E-2</v>
      </c>
      <c r="AH347" s="94">
        <f t="shared" si="271"/>
        <v>0.16720489968864882</v>
      </c>
      <c r="AI347" s="94">
        <f t="shared" si="265"/>
        <v>0.35473671320903921</v>
      </c>
      <c r="AJ347" s="96">
        <f t="shared" si="283"/>
        <v>7.3378098919151518E-3</v>
      </c>
      <c r="AK347" s="95">
        <f t="shared" si="284"/>
        <v>4.0163554207060852E-2</v>
      </c>
      <c r="AL347" s="95">
        <f t="shared" si="285"/>
        <v>0.10105083651874856</v>
      </c>
      <c r="AM347" s="94">
        <f t="shared" si="286"/>
        <v>0.284248329470703</v>
      </c>
      <c r="AN347" s="93">
        <f t="shared" si="287"/>
        <v>2.4831569924632744</v>
      </c>
      <c r="AO347" s="96">
        <f t="shared" si="288"/>
        <v>1.2474276816255757E-2</v>
      </c>
      <c r="AP347" s="95">
        <f t="shared" si="289"/>
        <v>6.8278042152003449E-2</v>
      </c>
      <c r="AQ347" s="93">
        <f t="shared" si="290"/>
        <v>0.29297605747060768</v>
      </c>
      <c r="AR347" s="31">
        <v>1.7</v>
      </c>
      <c r="AS347" s="31">
        <v>1.7</v>
      </c>
      <c r="AT347" s="31">
        <v>7</v>
      </c>
      <c r="AU347" s="43">
        <v>7.0000000000000007E-2</v>
      </c>
      <c r="AV347" s="44">
        <v>0.31</v>
      </c>
      <c r="AW347" s="19">
        <v>1.9E-2</v>
      </c>
      <c r="AX347" s="44">
        <v>0.13</v>
      </c>
      <c r="AY347" s="40">
        <v>6.5244820816790936</v>
      </c>
      <c r="AZ347" s="41">
        <v>0.5</v>
      </c>
      <c r="BA347" s="40">
        <v>0.72</v>
      </c>
      <c r="BB347" s="45">
        <v>1</v>
      </c>
      <c r="BC347" s="41">
        <v>36.032702923699006</v>
      </c>
      <c r="BD347" s="41">
        <v>30.217491767106107</v>
      </c>
      <c r="BE347" s="41">
        <v>33.74980530919489</v>
      </c>
      <c r="BF347" s="125">
        <v>1.1000000000000001</v>
      </c>
      <c r="BG347" s="48">
        <f t="shared" si="309"/>
        <v>4.1618515161898229E-3</v>
      </c>
      <c r="BH347" s="48">
        <f t="shared" si="266"/>
        <v>4.1618515161898229E-3</v>
      </c>
      <c r="BI347" s="99">
        <f t="shared" si="267"/>
        <v>1.4996275929541416E-3</v>
      </c>
      <c r="BJ347" s="99">
        <f t="shared" si="310"/>
        <v>1.2576071392638405E-3</v>
      </c>
      <c r="BK347" s="48">
        <f t="shared" si="268"/>
        <v>1.404616783971841E-3</v>
      </c>
      <c r="BL347" s="99">
        <f t="shared" si="291"/>
        <v>1.978692994800553E-4</v>
      </c>
      <c r="BM347" s="48">
        <f t="shared" si="292"/>
        <v>7.7661573026450428E-4</v>
      </c>
      <c r="BN347" s="48">
        <f t="shared" si="293"/>
        <v>2.1379321367485287E-3</v>
      </c>
      <c r="BO347" s="48">
        <f t="shared" si="294"/>
        <v>2.3878485327521299E-3</v>
      </c>
      <c r="BP347" s="99">
        <f t="shared" si="295"/>
        <v>3.3637780911609401E-4</v>
      </c>
      <c r="BQ347" s="48">
        <f t="shared" si="296"/>
        <v>1.3202467414496575E-3</v>
      </c>
      <c r="BR347" s="40">
        <f t="shared" si="297"/>
        <v>0.6625019469080512</v>
      </c>
      <c r="BS347" s="31">
        <v>1.7</v>
      </c>
      <c r="BT347" s="31">
        <v>1.7</v>
      </c>
      <c r="BU347" s="43">
        <v>0.13500000000000001</v>
      </c>
      <c r="BV347" s="44">
        <v>0.45</v>
      </c>
      <c r="BW347" s="19">
        <v>0.02</v>
      </c>
      <c r="BX347" s="44">
        <v>0.15</v>
      </c>
      <c r="BY347" s="40">
        <v>16.695000578259251</v>
      </c>
      <c r="BZ347" s="40">
        <v>0.52</v>
      </c>
      <c r="CA347" s="40">
        <v>0.65</v>
      </c>
      <c r="CB347" s="45">
        <v>1</v>
      </c>
      <c r="CC347" s="41">
        <v>15.539799260670925</v>
      </c>
      <c r="CD347" s="41">
        <v>33.786348047063377</v>
      </c>
      <c r="CE347" s="41">
        <v>50.673852692265697</v>
      </c>
      <c r="CF347" s="125">
        <v>1.1000000000000001</v>
      </c>
      <c r="CG347" s="40">
        <f t="shared" si="311"/>
        <v>2.4123451871765192E-2</v>
      </c>
      <c r="CH347" s="40">
        <f t="shared" si="269"/>
        <v>2.4123451871765192E-2</v>
      </c>
      <c r="CI347" s="99">
        <f t="shared" si="312"/>
        <v>3.7487359956168737E-3</v>
      </c>
      <c r="CJ347" s="100">
        <f t="shared" si="313"/>
        <v>8.1504334103604126E-3</v>
      </c>
      <c r="CK347" s="100">
        <f t="shared" si="314"/>
        <v>1.2224282465787906E-2</v>
      </c>
      <c r="CL347" s="101">
        <f t="shared" si="298"/>
        <v>6.3162439805911422E-4</v>
      </c>
      <c r="CM347" s="100">
        <f t="shared" si="299"/>
        <v>4.2787723929763096E-3</v>
      </c>
      <c r="CN347" s="100">
        <f t="shared" si="300"/>
        <v>1.38557367976127E-2</v>
      </c>
      <c r="CO347" s="100">
        <f t="shared" si="301"/>
        <v>2.0781280191839439E-2</v>
      </c>
      <c r="CP347" s="101">
        <f t="shared" si="302"/>
        <v>1.0737614767004941E-3</v>
      </c>
      <c r="CQ347" s="100">
        <f t="shared" si="303"/>
        <v>7.2739130680597262E-3</v>
      </c>
      <c r="CR347" s="99">
        <f t="shared" si="304"/>
        <v>0.49326147307734303</v>
      </c>
      <c r="CS347" s="31">
        <v>1.7</v>
      </c>
      <c r="CT347" s="31">
        <v>1.7</v>
      </c>
      <c r="CU347" s="43">
        <v>0.04</v>
      </c>
      <c r="CV347" s="44">
        <v>0.3</v>
      </c>
      <c r="CW347" s="19">
        <v>2.5000000000000001E-2</v>
      </c>
      <c r="CX347" s="44">
        <v>0.15</v>
      </c>
    </row>
    <row r="348" spans="1:102" x14ac:dyDescent="0.25">
      <c r="A348" s="31">
        <v>334</v>
      </c>
      <c r="B348" s="83" t="s">
        <v>254</v>
      </c>
      <c r="C348" s="31">
        <v>110</v>
      </c>
      <c r="D348" s="31" t="s">
        <v>26</v>
      </c>
      <c r="E348" s="31" t="s">
        <v>99</v>
      </c>
      <c r="F348" s="31" t="s">
        <v>70</v>
      </c>
      <c r="G348" s="31" t="str">
        <f t="shared" si="305"/>
        <v>Statlig 110 - 4S Ck</v>
      </c>
      <c r="H348" s="48">
        <f t="shared" si="272"/>
        <v>0.1796019546898997</v>
      </c>
      <c r="I348" s="40">
        <f t="shared" si="273"/>
        <v>0.2647764455273145</v>
      </c>
      <c r="J348" s="99">
        <f t="shared" si="274"/>
        <v>1.5092937498841299E-2</v>
      </c>
      <c r="K348" s="48">
        <f t="shared" si="275"/>
        <v>6.884970909006459E-2</v>
      </c>
      <c r="L348" s="48">
        <f t="shared" si="276"/>
        <v>0.18083379893840856</v>
      </c>
      <c r="M348" s="48">
        <f t="shared" si="306"/>
        <v>0.35473671320903921</v>
      </c>
      <c r="N348" s="99">
        <f t="shared" si="277"/>
        <v>8.1673035894543212E-3</v>
      </c>
      <c r="O348" s="48">
        <f t="shared" si="278"/>
        <v>4.5218942330301666E-2</v>
      </c>
      <c r="P348" s="48">
        <f t="shared" si="279"/>
        <v>0.11704450545310979</v>
      </c>
      <c r="Q348" s="48">
        <f t="shared" si="280"/>
        <v>0.30741745819529459</v>
      </c>
      <c r="R348" s="40">
        <f t="shared" si="307"/>
        <v>2.4831569924632744</v>
      </c>
      <c r="S348" s="99">
        <f t="shared" si="281"/>
        <v>1.3884416102072345E-2</v>
      </c>
      <c r="T348" s="48">
        <f t="shared" si="282"/>
        <v>7.6872201961512843E-2</v>
      </c>
      <c r="U348" s="40">
        <v>10.032000000000002</v>
      </c>
      <c r="V348" s="40">
        <v>1.25</v>
      </c>
      <c r="W348" s="40">
        <v>0.45</v>
      </c>
      <c r="X348" s="40">
        <v>1.5628890813044325</v>
      </c>
      <c r="Y348" s="42">
        <v>4.1627664449559276</v>
      </c>
      <c r="Z348" s="42">
        <v>25.13483930210484</v>
      </c>
      <c r="AA348" s="42">
        <v>70.702394252939229</v>
      </c>
      <c r="AB348" s="42">
        <v>1.5</v>
      </c>
      <c r="AC348" s="125">
        <v>1.1000000000000001</v>
      </c>
      <c r="AD348" s="94">
        <f t="shared" si="308"/>
        <v>0.15131665130194466</v>
      </c>
      <c r="AE348" s="94">
        <f t="shared" si="263"/>
        <v>0.23649114213935946</v>
      </c>
      <c r="AF348" s="96">
        <f t="shared" si="264"/>
        <v>9.8445739102702833E-3</v>
      </c>
      <c r="AG348" s="95">
        <f t="shared" si="270"/>
        <v>5.9441668540440334E-2</v>
      </c>
      <c r="AH348" s="94">
        <f t="shared" si="271"/>
        <v>0.16720489968864882</v>
      </c>
      <c r="AI348" s="94">
        <f t="shared" si="265"/>
        <v>0.35473671320903921</v>
      </c>
      <c r="AJ348" s="96">
        <f t="shared" si="283"/>
        <v>7.3378098919151518E-3</v>
      </c>
      <c r="AK348" s="95">
        <f t="shared" si="284"/>
        <v>4.0163554207060852E-2</v>
      </c>
      <c r="AL348" s="95">
        <f t="shared" si="285"/>
        <v>0.10105083651874856</v>
      </c>
      <c r="AM348" s="94">
        <f t="shared" si="286"/>
        <v>0.284248329470703</v>
      </c>
      <c r="AN348" s="93">
        <f t="shared" si="287"/>
        <v>2.4831569924632744</v>
      </c>
      <c r="AO348" s="96">
        <f t="shared" si="288"/>
        <v>1.2474276816255757E-2</v>
      </c>
      <c r="AP348" s="95">
        <f t="shared" si="289"/>
        <v>6.8278042152003449E-2</v>
      </c>
      <c r="AQ348" s="93">
        <f t="shared" si="290"/>
        <v>0.29297605747060768</v>
      </c>
      <c r="AR348" s="31">
        <v>1.7</v>
      </c>
      <c r="AS348" s="31">
        <v>1.7</v>
      </c>
      <c r="AT348" s="31">
        <v>7</v>
      </c>
      <c r="AU348" s="43">
        <v>7.0000000000000007E-2</v>
      </c>
      <c r="AV348" s="44">
        <v>0.31</v>
      </c>
      <c r="AW348" s="19">
        <v>1.9E-2</v>
      </c>
      <c r="AX348" s="44">
        <v>0.13</v>
      </c>
      <c r="AY348" s="40">
        <v>6.5244820816790936</v>
      </c>
      <c r="AZ348" s="41">
        <v>0.5</v>
      </c>
      <c r="BA348" s="40">
        <v>0.72</v>
      </c>
      <c r="BB348" s="45">
        <v>1</v>
      </c>
      <c r="BC348" s="41">
        <v>36.032702923699006</v>
      </c>
      <c r="BD348" s="41">
        <v>30.217491767106107</v>
      </c>
      <c r="BE348" s="41">
        <v>33.74980530919489</v>
      </c>
      <c r="BF348" s="125">
        <v>1.1000000000000001</v>
      </c>
      <c r="BG348" s="48">
        <f t="shared" si="309"/>
        <v>4.1618515161898229E-3</v>
      </c>
      <c r="BH348" s="48">
        <f t="shared" si="266"/>
        <v>4.1618515161898229E-3</v>
      </c>
      <c r="BI348" s="99">
        <f t="shared" si="267"/>
        <v>1.4996275929541416E-3</v>
      </c>
      <c r="BJ348" s="99">
        <f t="shared" si="310"/>
        <v>1.2576071392638405E-3</v>
      </c>
      <c r="BK348" s="48">
        <f t="shared" si="268"/>
        <v>1.404616783971841E-3</v>
      </c>
      <c r="BL348" s="99">
        <f t="shared" si="291"/>
        <v>1.978692994800553E-4</v>
      </c>
      <c r="BM348" s="48">
        <f t="shared" si="292"/>
        <v>7.7661573026450428E-4</v>
      </c>
      <c r="BN348" s="48">
        <f t="shared" si="293"/>
        <v>2.1379321367485287E-3</v>
      </c>
      <c r="BO348" s="48">
        <f t="shared" si="294"/>
        <v>2.3878485327521299E-3</v>
      </c>
      <c r="BP348" s="99">
        <f t="shared" si="295"/>
        <v>3.3637780911609401E-4</v>
      </c>
      <c r="BQ348" s="48">
        <f t="shared" si="296"/>
        <v>1.3202467414496575E-3</v>
      </c>
      <c r="BR348" s="40">
        <f t="shared" si="297"/>
        <v>0.6625019469080512</v>
      </c>
      <c r="BS348" s="31">
        <v>1.7</v>
      </c>
      <c r="BT348" s="31">
        <v>1.7</v>
      </c>
      <c r="BU348" s="43">
        <v>0.13500000000000001</v>
      </c>
      <c r="BV348" s="44">
        <v>0.45</v>
      </c>
      <c r="BW348" s="19">
        <v>0.02</v>
      </c>
      <c r="BX348" s="44">
        <v>0.15</v>
      </c>
      <c r="BY348" s="40">
        <v>16.695000578259251</v>
      </c>
      <c r="BZ348" s="40">
        <v>0.52</v>
      </c>
      <c r="CA348" s="40">
        <v>0.65</v>
      </c>
      <c r="CB348" s="45">
        <v>1</v>
      </c>
      <c r="CC348" s="41">
        <v>15.539799260670925</v>
      </c>
      <c r="CD348" s="41">
        <v>33.786348047063377</v>
      </c>
      <c r="CE348" s="41">
        <v>50.673852692265697</v>
      </c>
      <c r="CF348" s="125">
        <v>1.1000000000000001</v>
      </c>
      <c r="CG348" s="40">
        <f t="shared" si="311"/>
        <v>2.4123451871765192E-2</v>
      </c>
      <c r="CH348" s="40">
        <f t="shared" si="269"/>
        <v>2.4123451871765192E-2</v>
      </c>
      <c r="CI348" s="99">
        <f t="shared" si="312"/>
        <v>3.7487359956168737E-3</v>
      </c>
      <c r="CJ348" s="100">
        <f t="shared" si="313"/>
        <v>8.1504334103604126E-3</v>
      </c>
      <c r="CK348" s="100">
        <f t="shared" si="314"/>
        <v>1.2224282465787906E-2</v>
      </c>
      <c r="CL348" s="101">
        <f t="shared" si="298"/>
        <v>6.3162439805911422E-4</v>
      </c>
      <c r="CM348" s="100">
        <f t="shared" si="299"/>
        <v>4.2787723929763096E-3</v>
      </c>
      <c r="CN348" s="100">
        <f t="shared" si="300"/>
        <v>1.38557367976127E-2</v>
      </c>
      <c r="CO348" s="100">
        <f t="shared" si="301"/>
        <v>2.0781280191839439E-2</v>
      </c>
      <c r="CP348" s="101">
        <f t="shared" si="302"/>
        <v>1.0737614767004941E-3</v>
      </c>
      <c r="CQ348" s="100">
        <f t="shared" si="303"/>
        <v>7.2739130680597262E-3</v>
      </c>
      <c r="CR348" s="99">
        <f t="shared" si="304"/>
        <v>0.49326147307734303</v>
      </c>
      <c r="CS348" s="31">
        <v>1.7</v>
      </c>
      <c r="CT348" s="31">
        <v>1.7</v>
      </c>
      <c r="CU348" s="43">
        <v>0.04</v>
      </c>
      <c r="CV348" s="44">
        <v>0.3</v>
      </c>
      <c r="CW348" s="19">
        <v>2.5000000000000001E-2</v>
      </c>
      <c r="CX348" s="44">
        <v>0.15</v>
      </c>
    </row>
    <row r="349" spans="1:102" x14ac:dyDescent="0.25">
      <c r="A349" s="31">
        <v>335</v>
      </c>
      <c r="B349" s="83" t="s">
        <v>254</v>
      </c>
      <c r="C349" s="31">
        <v>110</v>
      </c>
      <c r="D349" s="31" t="s">
        <v>26</v>
      </c>
      <c r="E349" s="31" t="s">
        <v>99</v>
      </c>
      <c r="F349" s="31" t="s">
        <v>71</v>
      </c>
      <c r="G349" s="31" t="str">
        <f t="shared" si="305"/>
        <v>Statlig 110 - 4S Cm</v>
      </c>
      <c r="H349" s="48">
        <f t="shared" si="272"/>
        <v>0.15690445699460798</v>
      </c>
      <c r="I349" s="40">
        <f t="shared" si="273"/>
        <v>0.2293027742064106</v>
      </c>
      <c r="J349" s="99">
        <f t="shared" si="274"/>
        <v>1.3616251412300757E-2</v>
      </c>
      <c r="K349" s="48">
        <f t="shared" si="275"/>
        <v>5.993345880899853E-2</v>
      </c>
      <c r="L349" s="48">
        <f t="shared" si="276"/>
        <v>0.15575306398511127</v>
      </c>
      <c r="M349" s="48">
        <f t="shared" si="306"/>
        <v>0.30152620622768334</v>
      </c>
      <c r="N349" s="99">
        <f t="shared" si="277"/>
        <v>7.0666321056670487E-3</v>
      </c>
      <c r="O349" s="48">
        <f t="shared" si="278"/>
        <v>3.9194409199242539E-2</v>
      </c>
      <c r="P349" s="48">
        <f t="shared" si="279"/>
        <v>0.10188687997529751</v>
      </c>
      <c r="Q349" s="48">
        <f t="shared" si="280"/>
        <v>0.26478020877468916</v>
      </c>
      <c r="R349" s="40">
        <f t="shared" si="307"/>
        <v>2.1106834435937833</v>
      </c>
      <c r="S349" s="99">
        <f t="shared" si="281"/>
        <v>1.2013274579633982E-2</v>
      </c>
      <c r="T349" s="48">
        <f t="shared" si="282"/>
        <v>6.6630495638712317E-2</v>
      </c>
      <c r="U349" s="40">
        <v>8.5272000000000023</v>
      </c>
      <c r="V349" s="40">
        <v>1.25</v>
      </c>
      <c r="W349" s="40">
        <v>0.45</v>
      </c>
      <c r="X349" s="40">
        <v>1.5628890813044327</v>
      </c>
      <c r="Y349" s="42">
        <v>4.1627664449559276</v>
      </c>
      <c r="Z349" s="42">
        <v>25.134839302104833</v>
      </c>
      <c r="AA349" s="42">
        <v>70.702394252939243</v>
      </c>
      <c r="AB349" s="42">
        <v>1.5</v>
      </c>
      <c r="AC349" s="125">
        <v>1.1000000000000001</v>
      </c>
      <c r="AD349" s="94">
        <f t="shared" si="308"/>
        <v>0.12861915360665296</v>
      </c>
      <c r="AE349" s="94">
        <f t="shared" si="263"/>
        <v>0.20101747081845556</v>
      </c>
      <c r="AF349" s="96">
        <f t="shared" si="264"/>
        <v>8.3678878237297416E-3</v>
      </c>
      <c r="AG349" s="95">
        <f t="shared" si="270"/>
        <v>5.0525418259374281E-2</v>
      </c>
      <c r="AH349" s="94">
        <f t="shared" si="271"/>
        <v>0.14212416473535153</v>
      </c>
      <c r="AI349" s="94">
        <f t="shared" si="265"/>
        <v>0.30152620622768334</v>
      </c>
      <c r="AJ349" s="96">
        <f t="shared" si="283"/>
        <v>6.2371384081278793E-3</v>
      </c>
      <c r="AK349" s="95">
        <f t="shared" si="284"/>
        <v>3.4139021076001724E-2</v>
      </c>
      <c r="AL349" s="95">
        <f t="shared" si="285"/>
        <v>8.5893211040936279E-2</v>
      </c>
      <c r="AM349" s="94">
        <f t="shared" si="286"/>
        <v>0.2416110800500976</v>
      </c>
      <c r="AN349" s="93">
        <f t="shared" si="287"/>
        <v>2.1106834435937833</v>
      </c>
      <c r="AO349" s="96">
        <f t="shared" si="288"/>
        <v>1.0603135293817394E-2</v>
      </c>
      <c r="AP349" s="95">
        <f t="shared" si="289"/>
        <v>5.8036335829202937E-2</v>
      </c>
      <c r="AQ349" s="93">
        <f t="shared" si="290"/>
        <v>0.29297605747060762</v>
      </c>
      <c r="AR349" s="31">
        <v>1.7</v>
      </c>
      <c r="AS349" s="31">
        <v>1.7</v>
      </c>
      <c r="AT349" s="31">
        <v>7</v>
      </c>
      <c r="AU349" s="43">
        <v>7.0000000000000007E-2</v>
      </c>
      <c r="AV349" s="44">
        <v>0.31</v>
      </c>
      <c r="AW349" s="19">
        <v>1.9E-2</v>
      </c>
      <c r="AX349" s="44">
        <v>0.13</v>
      </c>
      <c r="AY349" s="40">
        <v>6.5244820816790936</v>
      </c>
      <c r="AZ349" s="41">
        <v>0.5</v>
      </c>
      <c r="BA349" s="40">
        <v>0.72</v>
      </c>
      <c r="BB349" s="45">
        <v>1</v>
      </c>
      <c r="BC349" s="41">
        <v>36.032702923699006</v>
      </c>
      <c r="BD349" s="41">
        <v>30.217491767106107</v>
      </c>
      <c r="BE349" s="41">
        <v>33.74980530919489</v>
      </c>
      <c r="BF349" s="125">
        <v>1.1000000000000001</v>
      </c>
      <c r="BG349" s="48">
        <f t="shared" si="309"/>
        <v>4.1618515161898229E-3</v>
      </c>
      <c r="BH349" s="48">
        <f t="shared" si="266"/>
        <v>4.1618515161898229E-3</v>
      </c>
      <c r="BI349" s="99">
        <f t="shared" si="267"/>
        <v>1.4996275929541416E-3</v>
      </c>
      <c r="BJ349" s="99">
        <f t="shared" si="310"/>
        <v>1.2576071392638405E-3</v>
      </c>
      <c r="BK349" s="48">
        <f t="shared" si="268"/>
        <v>1.404616783971841E-3</v>
      </c>
      <c r="BL349" s="99">
        <f t="shared" si="291"/>
        <v>1.978692994800553E-4</v>
      </c>
      <c r="BM349" s="48">
        <f t="shared" si="292"/>
        <v>7.7661573026450428E-4</v>
      </c>
      <c r="BN349" s="48">
        <f t="shared" si="293"/>
        <v>2.1379321367485287E-3</v>
      </c>
      <c r="BO349" s="48">
        <f t="shared" si="294"/>
        <v>2.3878485327521299E-3</v>
      </c>
      <c r="BP349" s="99">
        <f t="shared" si="295"/>
        <v>3.3637780911609401E-4</v>
      </c>
      <c r="BQ349" s="48">
        <f t="shared" si="296"/>
        <v>1.3202467414496575E-3</v>
      </c>
      <c r="BR349" s="40">
        <f t="shared" si="297"/>
        <v>0.6625019469080512</v>
      </c>
      <c r="BS349" s="31">
        <v>1.7</v>
      </c>
      <c r="BT349" s="31">
        <v>1.7</v>
      </c>
      <c r="BU349" s="43">
        <v>0.13500000000000001</v>
      </c>
      <c r="BV349" s="44">
        <v>0.45</v>
      </c>
      <c r="BW349" s="19">
        <v>0.02</v>
      </c>
      <c r="BX349" s="44">
        <v>0.15</v>
      </c>
      <c r="BY349" s="40">
        <v>16.695000578259251</v>
      </c>
      <c r="BZ349" s="40">
        <v>0.52</v>
      </c>
      <c r="CA349" s="40">
        <v>0.65</v>
      </c>
      <c r="CB349" s="45">
        <v>1</v>
      </c>
      <c r="CC349" s="41">
        <v>15.539799260670925</v>
      </c>
      <c r="CD349" s="41">
        <v>33.786348047063377</v>
      </c>
      <c r="CE349" s="41">
        <v>50.673852692265697</v>
      </c>
      <c r="CF349" s="125">
        <v>1.1000000000000001</v>
      </c>
      <c r="CG349" s="40">
        <f t="shared" si="311"/>
        <v>2.4123451871765192E-2</v>
      </c>
      <c r="CH349" s="40">
        <f t="shared" si="269"/>
        <v>2.4123451871765192E-2</v>
      </c>
      <c r="CI349" s="99">
        <f t="shared" si="312"/>
        <v>3.7487359956168737E-3</v>
      </c>
      <c r="CJ349" s="100">
        <f t="shared" si="313"/>
        <v>8.1504334103604126E-3</v>
      </c>
      <c r="CK349" s="100">
        <f t="shared" si="314"/>
        <v>1.2224282465787906E-2</v>
      </c>
      <c r="CL349" s="101">
        <f t="shared" si="298"/>
        <v>6.3162439805911422E-4</v>
      </c>
      <c r="CM349" s="100">
        <f t="shared" si="299"/>
        <v>4.2787723929763096E-3</v>
      </c>
      <c r="CN349" s="100">
        <f t="shared" si="300"/>
        <v>1.38557367976127E-2</v>
      </c>
      <c r="CO349" s="100">
        <f t="shared" si="301"/>
        <v>2.0781280191839439E-2</v>
      </c>
      <c r="CP349" s="101">
        <f t="shared" si="302"/>
        <v>1.0737614767004941E-3</v>
      </c>
      <c r="CQ349" s="100">
        <f t="shared" si="303"/>
        <v>7.2739130680597262E-3</v>
      </c>
      <c r="CR349" s="99">
        <f t="shared" si="304"/>
        <v>0.49326147307734303</v>
      </c>
      <c r="CS349" s="31">
        <v>1.7</v>
      </c>
      <c r="CT349" s="31">
        <v>1.7</v>
      </c>
      <c r="CU349" s="43">
        <v>0.04</v>
      </c>
      <c r="CV349" s="44">
        <v>0.3</v>
      </c>
      <c r="CW349" s="19">
        <v>2.5000000000000001E-2</v>
      </c>
      <c r="CX349" s="44">
        <v>0.15</v>
      </c>
    </row>
    <row r="350" spans="1:102" x14ac:dyDescent="0.25">
      <c r="A350" s="31">
        <v>336</v>
      </c>
      <c r="B350" s="83" t="s">
        <v>254</v>
      </c>
      <c r="C350" s="31">
        <v>110</v>
      </c>
      <c r="D350" s="31" t="s">
        <v>26</v>
      </c>
      <c r="E350" s="31" t="s">
        <v>99</v>
      </c>
      <c r="F350" s="31" t="s">
        <v>64</v>
      </c>
      <c r="G350" s="31" t="str">
        <f t="shared" si="305"/>
        <v>Statlig 110 - 4S F</v>
      </c>
      <c r="H350" s="48">
        <f t="shared" si="272"/>
        <v>7.9354673202361337E-2</v>
      </c>
      <c r="I350" s="40">
        <f t="shared" si="273"/>
        <v>9.8075705946526884E-2</v>
      </c>
      <c r="J350" s="99">
        <f t="shared" si="274"/>
        <v>6.3933632618270678E-3</v>
      </c>
      <c r="K350" s="48">
        <f t="shared" si="275"/>
        <v>2.1570720420206663E-2</v>
      </c>
      <c r="L350" s="48">
        <f t="shared" si="276"/>
        <v>7.0111622264493148E-2</v>
      </c>
      <c r="M350" s="48">
        <f t="shared" si="306"/>
        <v>0.1628442726366677</v>
      </c>
      <c r="N350" s="99">
        <f t="shared" si="277"/>
        <v>2.7540530257598728E-3</v>
      </c>
      <c r="O350" s="48">
        <f t="shared" si="278"/>
        <v>1.6168572875036702E-2</v>
      </c>
      <c r="P350" s="48">
        <f t="shared" si="279"/>
        <v>3.6670224714351322E-2</v>
      </c>
      <c r="Q350" s="48">
        <f t="shared" si="280"/>
        <v>0.11918975784963834</v>
      </c>
      <c r="R350" s="40">
        <f t="shared" si="307"/>
        <v>1.1399099084566739</v>
      </c>
      <c r="S350" s="99">
        <f t="shared" si="281"/>
        <v>4.6818901437917834E-3</v>
      </c>
      <c r="T350" s="48">
        <f t="shared" si="282"/>
        <v>2.7486573887562392E-2</v>
      </c>
      <c r="U350" s="40">
        <v>3.3858000000000015</v>
      </c>
      <c r="V350" s="40">
        <v>1.25</v>
      </c>
      <c r="W350" s="40">
        <v>0.45</v>
      </c>
      <c r="X350" s="40">
        <v>1.3665804534538128</v>
      </c>
      <c r="Y350" s="42">
        <v>1.6406262627516817</v>
      </c>
      <c r="Z350" s="42">
        <v>17.427439052776393</v>
      </c>
      <c r="AA350" s="42">
        <v>80.931934684471912</v>
      </c>
      <c r="AB350" s="42">
        <v>2.3333333333333335</v>
      </c>
      <c r="AC350" s="125">
        <v>1.1000000000000001</v>
      </c>
      <c r="AD350" s="94">
        <f t="shared" si="308"/>
        <v>5.106936981440633E-2</v>
      </c>
      <c r="AE350" s="94">
        <f t="shared" si="263"/>
        <v>6.9790402558571871E-2</v>
      </c>
      <c r="AF350" s="96">
        <f t="shared" si="264"/>
        <v>1.1449996732560517E-3</v>
      </c>
      <c r="AG350" s="95">
        <f t="shared" si="270"/>
        <v>1.2162679870582409E-2</v>
      </c>
      <c r="AH350" s="94">
        <f t="shared" si="271"/>
        <v>5.6482723014733401E-2</v>
      </c>
      <c r="AI350" s="94">
        <f t="shared" si="265"/>
        <v>0.1628442726366677</v>
      </c>
      <c r="AJ350" s="96">
        <f t="shared" si="283"/>
        <v>1.9245593282207034E-3</v>
      </c>
      <c r="AK350" s="95">
        <f t="shared" si="284"/>
        <v>1.1113184751795889E-2</v>
      </c>
      <c r="AL350" s="95">
        <f t="shared" si="285"/>
        <v>2.0676555779990096E-2</v>
      </c>
      <c r="AM350" s="94">
        <f t="shared" si="286"/>
        <v>9.6020629125046775E-2</v>
      </c>
      <c r="AN350" s="93">
        <f t="shared" si="287"/>
        <v>1.1399099084566739</v>
      </c>
      <c r="AO350" s="96">
        <f t="shared" si="288"/>
        <v>3.2717508579751956E-3</v>
      </c>
      <c r="AP350" s="95">
        <f t="shared" si="289"/>
        <v>1.8892414078053012E-2</v>
      </c>
      <c r="AQ350" s="93">
        <f t="shared" si="290"/>
        <v>0.19068065315528077</v>
      </c>
      <c r="AR350" s="31">
        <v>1.7</v>
      </c>
      <c r="AS350" s="31">
        <v>1.7</v>
      </c>
      <c r="AT350" s="31">
        <v>7</v>
      </c>
      <c r="AU350" s="43">
        <v>7.0000000000000007E-2</v>
      </c>
      <c r="AV350" s="44">
        <v>0.31</v>
      </c>
      <c r="AW350" s="19">
        <v>1.9E-2</v>
      </c>
      <c r="AX350" s="44">
        <v>0.13</v>
      </c>
      <c r="AY350" s="40">
        <v>6.5244820816790945</v>
      </c>
      <c r="AZ350" s="41">
        <v>0.5</v>
      </c>
      <c r="BA350" s="40">
        <v>0.72</v>
      </c>
      <c r="BB350" s="45">
        <v>1</v>
      </c>
      <c r="BC350" s="41">
        <v>36.032702923698999</v>
      </c>
      <c r="BD350" s="41">
        <v>30.217491767106107</v>
      </c>
      <c r="BE350" s="41">
        <v>33.74980530919489</v>
      </c>
      <c r="BF350" s="125">
        <v>1.1000000000000001</v>
      </c>
      <c r="BG350" s="48">
        <f t="shared" si="309"/>
        <v>4.1618515161898238E-3</v>
      </c>
      <c r="BH350" s="48">
        <f t="shared" si="266"/>
        <v>4.1618515161898238E-3</v>
      </c>
      <c r="BI350" s="99">
        <f t="shared" si="267"/>
        <v>1.4996275929541416E-3</v>
      </c>
      <c r="BJ350" s="99">
        <f t="shared" si="310"/>
        <v>1.2576071392638407E-3</v>
      </c>
      <c r="BK350" s="48">
        <f t="shared" si="268"/>
        <v>1.4046167839718412E-3</v>
      </c>
      <c r="BL350" s="99">
        <f t="shared" si="291"/>
        <v>1.9786929948005532E-4</v>
      </c>
      <c r="BM350" s="48">
        <f t="shared" si="292"/>
        <v>7.766157302645045E-4</v>
      </c>
      <c r="BN350" s="48">
        <f t="shared" si="293"/>
        <v>2.1379321367485291E-3</v>
      </c>
      <c r="BO350" s="48">
        <f t="shared" si="294"/>
        <v>2.3878485327521299E-3</v>
      </c>
      <c r="BP350" s="99">
        <f t="shared" si="295"/>
        <v>3.3637780911609407E-4</v>
      </c>
      <c r="BQ350" s="48">
        <f t="shared" si="296"/>
        <v>1.3202467414496575E-3</v>
      </c>
      <c r="BR350" s="40">
        <f t="shared" si="297"/>
        <v>0.66250194690805098</v>
      </c>
      <c r="BS350" s="31">
        <v>1.7</v>
      </c>
      <c r="BT350" s="31">
        <v>1.7</v>
      </c>
      <c r="BU350" s="43">
        <v>0.13500000000000001</v>
      </c>
      <c r="BV350" s="44">
        <v>0.45</v>
      </c>
      <c r="BW350" s="19">
        <v>0.02</v>
      </c>
      <c r="BX350" s="44">
        <v>0.15</v>
      </c>
      <c r="BY350" s="40">
        <v>16.695000578259251</v>
      </c>
      <c r="BZ350" s="40">
        <v>0.52</v>
      </c>
      <c r="CA350" s="40">
        <v>0.65</v>
      </c>
      <c r="CB350" s="45">
        <v>1</v>
      </c>
      <c r="CC350" s="41">
        <v>15.539799260670929</v>
      </c>
      <c r="CD350" s="41">
        <v>33.78634804706337</v>
      </c>
      <c r="CE350" s="41">
        <v>50.673852692265697</v>
      </c>
      <c r="CF350" s="125">
        <v>1.1000000000000001</v>
      </c>
      <c r="CG350" s="40">
        <f t="shared" si="311"/>
        <v>2.4123451871765192E-2</v>
      </c>
      <c r="CH350" s="40">
        <f t="shared" si="269"/>
        <v>2.4123451871765192E-2</v>
      </c>
      <c r="CI350" s="99">
        <f t="shared" si="312"/>
        <v>3.7487359956168745E-3</v>
      </c>
      <c r="CJ350" s="100">
        <f t="shared" si="313"/>
        <v>8.1504334103604109E-3</v>
      </c>
      <c r="CK350" s="100">
        <f t="shared" si="314"/>
        <v>1.2224282465787906E-2</v>
      </c>
      <c r="CL350" s="101">
        <f t="shared" si="298"/>
        <v>6.3162439805911411E-4</v>
      </c>
      <c r="CM350" s="100">
        <f t="shared" si="299"/>
        <v>4.2787723929763096E-3</v>
      </c>
      <c r="CN350" s="100">
        <f t="shared" si="300"/>
        <v>1.3855736797612699E-2</v>
      </c>
      <c r="CO350" s="100">
        <f t="shared" si="301"/>
        <v>2.0781280191839439E-2</v>
      </c>
      <c r="CP350" s="101">
        <f t="shared" si="302"/>
        <v>1.0737614767004941E-3</v>
      </c>
      <c r="CQ350" s="100">
        <f t="shared" si="303"/>
        <v>7.2739130680597244E-3</v>
      </c>
      <c r="CR350" s="99">
        <f t="shared" si="304"/>
        <v>0.49326147307734303</v>
      </c>
      <c r="CS350" s="31">
        <v>1.7</v>
      </c>
      <c r="CT350" s="31">
        <v>1.7</v>
      </c>
      <c r="CU350" s="43">
        <v>0.04</v>
      </c>
      <c r="CV350" s="44">
        <v>0.3</v>
      </c>
      <c r="CW350" s="19">
        <v>2.5000000000000001E-2</v>
      </c>
      <c r="CX350" s="44">
        <v>0.15</v>
      </c>
    </row>
  </sheetData>
  <autoFilter ref="A14:F350" xr:uid="{00000000-0009-0000-0000-000004000000}"/>
  <sortState xmlns:xlrd2="http://schemas.microsoft.com/office/spreadsheetml/2017/richdata2" ref="A7:BW198">
    <sortCondition ref="B7:B198"/>
    <sortCondition ref="C7:C198"/>
    <sortCondition ref="E7:E198"/>
    <sortCondition ref="F7:F198"/>
  </sortState>
  <mergeCells count="21">
    <mergeCell ref="CU13:CX13"/>
    <mergeCell ref="BY12:CX12"/>
    <mergeCell ref="AY12:BX12"/>
    <mergeCell ref="U12:AX12"/>
    <mergeCell ref="AD13:AK13"/>
    <mergeCell ref="U13:AB13"/>
    <mergeCell ref="BS13:BT13"/>
    <mergeCell ref="BU13:BX13"/>
    <mergeCell ref="BY13:CE13"/>
    <mergeCell ref="BN13:BQ13"/>
    <mergeCell ref="BG13:BM13"/>
    <mergeCell ref="CG13:CM13"/>
    <mergeCell ref="CN13:CQ13"/>
    <mergeCell ref="AR13:AT13"/>
    <mergeCell ref="AU13:AX13"/>
    <mergeCell ref="AY13:BE13"/>
    <mergeCell ref="H13:O13"/>
    <mergeCell ref="P13:T13"/>
    <mergeCell ref="H12:T12"/>
    <mergeCell ref="CS13:CT13"/>
    <mergeCell ref="AL13:AP1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4DE"/>
  </sheetPr>
  <dimension ref="A1:G41"/>
  <sheetViews>
    <sheetView zoomScaleNormal="100" workbookViewId="0"/>
  </sheetViews>
  <sheetFormatPr defaultColWidth="9.1796875" defaultRowHeight="12.5" x14ac:dyDescent="0.25"/>
  <cols>
    <col min="1" max="1" width="4.26953125" style="300" customWidth="1"/>
    <col min="2" max="2" width="6.54296875" style="300" bestFit="1" customWidth="1"/>
    <col min="3" max="3" width="37" style="300" bestFit="1" customWidth="1"/>
    <col min="4" max="4" width="4.7265625" style="300" customWidth="1"/>
    <col min="5" max="5" width="6.81640625" style="300" customWidth="1"/>
    <col min="6" max="6" width="19.54296875" style="300" bestFit="1" customWidth="1"/>
    <col min="7" max="16384" width="9.1796875" style="300"/>
  </cols>
  <sheetData>
    <row r="1" spans="1:6" ht="13" x14ac:dyDescent="0.3">
      <c r="A1" s="312"/>
    </row>
    <row r="2" spans="1:6" ht="32.5" x14ac:dyDescent="0.65">
      <c r="A2" s="313" t="s">
        <v>277</v>
      </c>
    </row>
    <row r="3" spans="1:6" ht="13" x14ac:dyDescent="0.3">
      <c r="A3" s="312" t="s">
        <v>335</v>
      </c>
      <c r="D3" s="314"/>
    </row>
    <row r="4" spans="1:6" x14ac:dyDescent="0.25">
      <c r="A4" s="307"/>
      <c r="D4" s="314"/>
    </row>
    <row r="5" spans="1:6" x14ac:dyDescent="0.25">
      <c r="B5" s="315"/>
      <c r="C5" s="316" t="s">
        <v>61</v>
      </c>
      <c r="D5" s="317"/>
    </row>
    <row r="6" spans="1:6" x14ac:dyDescent="0.25">
      <c r="B6" s="427" t="s">
        <v>12</v>
      </c>
      <c r="C6" s="322" t="s">
        <v>65</v>
      </c>
      <c r="D6" s="317"/>
    </row>
    <row r="7" spans="1:6" x14ac:dyDescent="0.25">
      <c r="B7" s="428" t="s">
        <v>13</v>
      </c>
      <c r="C7" s="323" t="s">
        <v>66</v>
      </c>
      <c r="D7" s="317"/>
    </row>
    <row r="8" spans="1:6" x14ac:dyDescent="0.25">
      <c r="B8" s="428" t="s">
        <v>70</v>
      </c>
      <c r="C8" s="323" t="s">
        <v>69</v>
      </c>
      <c r="D8" s="317"/>
    </row>
    <row r="9" spans="1:6" x14ac:dyDescent="0.25">
      <c r="B9" s="428" t="s">
        <v>71</v>
      </c>
      <c r="C9" s="323" t="s">
        <v>92</v>
      </c>
      <c r="D9" s="317"/>
    </row>
    <row r="10" spans="1:6" x14ac:dyDescent="0.25">
      <c r="B10" s="428" t="s">
        <v>0</v>
      </c>
      <c r="C10" s="323" t="s">
        <v>304</v>
      </c>
      <c r="D10" s="317"/>
    </row>
    <row r="11" spans="1:6" x14ac:dyDescent="0.25">
      <c r="B11" s="428" t="s">
        <v>62</v>
      </c>
      <c r="C11" s="323" t="s">
        <v>67</v>
      </c>
      <c r="D11" s="315"/>
    </row>
    <row r="12" spans="1:6" x14ac:dyDescent="0.25">
      <c r="B12" s="428" t="s">
        <v>63</v>
      </c>
      <c r="C12" s="323" t="s">
        <v>303</v>
      </c>
      <c r="D12" s="315"/>
    </row>
    <row r="13" spans="1:6" x14ac:dyDescent="0.25">
      <c r="B13" s="428" t="s">
        <v>64</v>
      </c>
      <c r="C13" s="323" t="s">
        <v>68</v>
      </c>
      <c r="D13" s="315"/>
      <c r="E13" s="315"/>
      <c r="F13" s="315"/>
    </row>
    <row r="14" spans="1:6" x14ac:dyDescent="0.25">
      <c r="B14" s="315"/>
      <c r="C14" s="315"/>
      <c r="D14" s="315"/>
      <c r="E14" s="315"/>
      <c r="F14" s="315"/>
    </row>
    <row r="15" spans="1:6" x14ac:dyDescent="0.25">
      <c r="B15" s="315"/>
      <c r="C15" s="318" t="s">
        <v>35</v>
      </c>
      <c r="D15" s="315"/>
    </row>
    <row r="16" spans="1:6" x14ac:dyDescent="0.25">
      <c r="B16" s="427" t="s">
        <v>181</v>
      </c>
      <c r="C16" s="324" t="s">
        <v>295</v>
      </c>
      <c r="D16" s="315"/>
    </row>
    <row r="17" spans="2:6" x14ac:dyDescent="0.25">
      <c r="B17" s="428" t="s">
        <v>172</v>
      </c>
      <c r="C17" s="325" t="s">
        <v>43</v>
      </c>
      <c r="D17" s="315"/>
    </row>
    <row r="18" spans="2:6" x14ac:dyDescent="0.25">
      <c r="B18" s="428" t="s">
        <v>180</v>
      </c>
      <c r="C18" s="325" t="s">
        <v>46</v>
      </c>
      <c r="D18" s="315"/>
    </row>
    <row r="19" spans="2:6" x14ac:dyDescent="0.25">
      <c r="B19" s="428" t="s">
        <v>128</v>
      </c>
      <c r="C19" s="325" t="s">
        <v>59</v>
      </c>
      <c r="D19" s="315"/>
      <c r="E19" s="315"/>
      <c r="F19" s="315"/>
    </row>
    <row r="20" spans="2:6" x14ac:dyDescent="0.25">
      <c r="B20" s="428" t="s">
        <v>178</v>
      </c>
      <c r="C20" s="325" t="s">
        <v>182</v>
      </c>
      <c r="D20" s="315"/>
      <c r="E20" s="315"/>
      <c r="F20" s="315"/>
    </row>
    <row r="21" spans="2:6" x14ac:dyDescent="0.25">
      <c r="B21" s="428" t="s">
        <v>173</v>
      </c>
      <c r="C21" s="325" t="s">
        <v>42</v>
      </c>
      <c r="D21" s="315"/>
      <c r="E21" s="315"/>
      <c r="F21" s="315"/>
    </row>
    <row r="22" spans="2:6" x14ac:dyDescent="0.25">
      <c r="B22" s="315"/>
      <c r="C22" s="315"/>
      <c r="D22" s="315"/>
      <c r="E22" s="315"/>
      <c r="F22" s="315"/>
    </row>
    <row r="23" spans="2:6" x14ac:dyDescent="0.25">
      <c r="C23" s="319" t="s">
        <v>37</v>
      </c>
      <c r="D23" s="315"/>
      <c r="E23" s="315"/>
      <c r="F23" s="315"/>
    </row>
    <row r="24" spans="2:6" x14ac:dyDescent="0.25">
      <c r="B24" s="427" t="s">
        <v>4</v>
      </c>
      <c r="C24" s="322" t="s">
        <v>255</v>
      </c>
      <c r="D24" s="315"/>
      <c r="E24" s="315"/>
      <c r="F24" s="315"/>
    </row>
    <row r="25" spans="2:6" x14ac:dyDescent="0.25">
      <c r="B25" s="428" t="s">
        <v>5</v>
      </c>
      <c r="C25" s="323" t="s">
        <v>256</v>
      </c>
      <c r="D25" s="315"/>
      <c r="E25" s="315"/>
      <c r="F25" s="315"/>
    </row>
    <row r="26" spans="2:6" x14ac:dyDescent="0.25">
      <c r="B26" s="428" t="s">
        <v>6</v>
      </c>
      <c r="C26" s="323" t="s">
        <v>257</v>
      </c>
      <c r="D26" s="315"/>
      <c r="E26" s="315"/>
      <c r="F26" s="315"/>
    </row>
    <row r="27" spans="2:6" x14ac:dyDescent="0.25">
      <c r="B27" s="315"/>
      <c r="C27" s="320"/>
      <c r="D27" s="315"/>
      <c r="E27" s="315"/>
      <c r="F27" s="315"/>
    </row>
    <row r="28" spans="2:6" x14ac:dyDescent="0.25">
      <c r="B28" s="315"/>
      <c r="C28" s="319" t="s">
        <v>49</v>
      </c>
      <c r="D28" s="315"/>
      <c r="E28" s="315"/>
      <c r="F28" s="315"/>
    </row>
    <row r="29" spans="2:6" x14ac:dyDescent="0.25">
      <c r="B29" s="427" t="s">
        <v>11</v>
      </c>
      <c r="C29" s="322" t="s">
        <v>11</v>
      </c>
    </row>
    <row r="30" spans="2:6" x14ac:dyDescent="0.25">
      <c r="B30" s="428" t="s">
        <v>10</v>
      </c>
      <c r="C30" s="323" t="s">
        <v>258</v>
      </c>
    </row>
    <row r="31" spans="2:6" x14ac:dyDescent="0.25">
      <c r="B31" s="428" t="s">
        <v>25</v>
      </c>
      <c r="C31" s="323" t="s">
        <v>25</v>
      </c>
    </row>
    <row r="32" spans="2:6" x14ac:dyDescent="0.25">
      <c r="B32" s="315"/>
      <c r="C32" s="315"/>
    </row>
    <row r="33" spans="2:7" x14ac:dyDescent="0.25">
      <c r="B33" s="315"/>
      <c r="C33" s="319" t="s">
        <v>265</v>
      </c>
    </row>
    <row r="34" spans="2:7" x14ac:dyDescent="0.25">
      <c r="B34" s="427">
        <v>3</v>
      </c>
      <c r="C34" s="322" t="s">
        <v>289</v>
      </c>
    </row>
    <row r="35" spans="2:7" x14ac:dyDescent="0.25">
      <c r="B35" s="428" t="s">
        <v>91</v>
      </c>
      <c r="C35" s="323" t="s">
        <v>290</v>
      </c>
    </row>
    <row r="36" spans="2:7" x14ac:dyDescent="0.25">
      <c r="B36" s="428" t="s">
        <v>254</v>
      </c>
      <c r="C36" s="323" t="s">
        <v>291</v>
      </c>
    </row>
    <row r="38" spans="2:7" x14ac:dyDescent="0.25">
      <c r="B38" s="318" t="s">
        <v>311</v>
      </c>
      <c r="C38" s="315"/>
      <c r="D38" s="304"/>
      <c r="E38" s="304"/>
      <c r="F38" s="304"/>
      <c r="G38" s="304"/>
    </row>
    <row r="39" spans="2:7" x14ac:dyDescent="0.25">
      <c r="B39" s="315" t="s">
        <v>312</v>
      </c>
      <c r="C39" s="315"/>
      <c r="D39" s="304"/>
      <c r="E39" s="304"/>
      <c r="F39" s="304"/>
      <c r="G39" s="304"/>
    </row>
    <row r="40" spans="2:7" x14ac:dyDescent="0.25">
      <c r="B40" s="315" t="s">
        <v>313</v>
      </c>
      <c r="C40" s="315"/>
      <c r="D40" s="304"/>
      <c r="E40" s="304"/>
      <c r="F40" s="304"/>
      <c r="G40" s="304"/>
    </row>
    <row r="41" spans="2:7" x14ac:dyDescent="0.25">
      <c r="B41" s="321" t="s">
        <v>309</v>
      </c>
      <c r="C41" s="315"/>
      <c r="D41" s="304"/>
      <c r="E41" s="304"/>
      <c r="F41" s="304"/>
      <c r="G41" s="304"/>
    </row>
  </sheetData>
  <hyperlinks>
    <hyperlink ref="B41" r:id="rId1" xr:uid="{00000000-0004-0000-0500-000000000000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D4DE"/>
  </sheetPr>
  <dimension ref="A2:AV242"/>
  <sheetViews>
    <sheetView zoomScaleNormal="100" workbookViewId="0"/>
  </sheetViews>
  <sheetFormatPr defaultColWidth="9.1796875" defaultRowHeight="12.5" x14ac:dyDescent="0.25"/>
  <cols>
    <col min="1" max="1" width="9.1796875" style="300"/>
    <col min="2" max="2" width="18" style="300" bestFit="1" customWidth="1"/>
    <col min="3" max="3" width="8.453125" style="300" bestFit="1" customWidth="1"/>
    <col min="4" max="4" width="12.26953125" style="300" bestFit="1" customWidth="1"/>
    <col min="5" max="5" width="8.81640625" style="300" bestFit="1" customWidth="1"/>
    <col min="6" max="6" width="10.54296875" style="300" bestFit="1" customWidth="1"/>
    <col min="7" max="7" width="8.1796875" style="300" bestFit="1" customWidth="1"/>
    <col min="8" max="8" width="6.7265625" style="300" bestFit="1" customWidth="1"/>
    <col min="9" max="9" width="7.81640625" style="300" bestFit="1" customWidth="1"/>
    <col min="10" max="10" width="8" style="300" bestFit="1" customWidth="1"/>
    <col min="11" max="11" width="6.54296875" style="300" bestFit="1" customWidth="1"/>
    <col min="12" max="12" width="7.54296875" style="300" bestFit="1" customWidth="1"/>
    <col min="13" max="13" width="9.1796875" style="300"/>
    <col min="14" max="14" width="7.453125" style="300" bestFit="1" customWidth="1"/>
    <col min="15" max="15" width="4.453125" style="300" bestFit="1" customWidth="1"/>
    <col min="16" max="16" width="9.81640625" style="300" bestFit="1" customWidth="1"/>
    <col min="17" max="17" width="13.54296875" style="300" bestFit="1" customWidth="1"/>
    <col min="18" max="18" width="10.54296875" style="300" bestFit="1" customWidth="1"/>
    <col min="19" max="19" width="7" style="300" bestFit="1" customWidth="1"/>
    <col min="20" max="20" width="6" style="300" bestFit="1" customWidth="1"/>
    <col min="21" max="16384" width="9.1796875" style="300"/>
  </cols>
  <sheetData>
    <row r="2" spans="1:20" ht="32.5" x14ac:dyDescent="0.65">
      <c r="A2" s="313" t="s">
        <v>278</v>
      </c>
    </row>
    <row r="3" spans="1:20" ht="13" x14ac:dyDescent="0.3">
      <c r="A3" s="312" t="s">
        <v>296</v>
      </c>
      <c r="B3" s="292"/>
      <c r="C3" s="292"/>
      <c r="D3" s="292"/>
      <c r="E3" s="292"/>
      <c r="F3" s="292"/>
      <c r="G3" s="295"/>
      <c r="H3" s="295"/>
      <c r="I3" s="295"/>
      <c r="J3" s="295"/>
      <c r="K3" s="295"/>
      <c r="L3" s="295"/>
    </row>
    <row r="4" spans="1:20" x14ac:dyDescent="0.25">
      <c r="A4" s="307"/>
      <c r="B4" s="292"/>
      <c r="C4" s="292"/>
      <c r="D4" s="292"/>
      <c r="E4" s="292"/>
      <c r="F4" s="292"/>
      <c r="G4" s="295"/>
      <c r="H4" s="295"/>
      <c r="I4" s="295"/>
      <c r="J4" s="295"/>
      <c r="K4" s="295"/>
      <c r="L4" s="295"/>
    </row>
    <row r="5" spans="1:20" ht="14.5" x14ac:dyDescent="0.35">
      <c r="B5" s="604" t="s">
        <v>143</v>
      </c>
      <c r="C5" s="605"/>
      <c r="D5" s="605"/>
      <c r="E5" s="605"/>
      <c r="F5" s="605"/>
      <c r="G5" s="606" t="s">
        <v>58</v>
      </c>
      <c r="H5" s="606"/>
      <c r="I5" s="606"/>
      <c r="J5" s="606"/>
      <c r="K5" s="606"/>
      <c r="L5" s="606"/>
      <c r="M5" s="327"/>
      <c r="N5" s="604" t="s">
        <v>143</v>
      </c>
      <c r="O5" s="605"/>
      <c r="P5" s="605"/>
      <c r="Q5" s="605"/>
      <c r="R5" s="605"/>
      <c r="S5" s="606" t="s">
        <v>58</v>
      </c>
      <c r="T5" s="606"/>
    </row>
    <row r="6" spans="1:20" x14ac:dyDescent="0.25">
      <c r="B6" s="467" t="s">
        <v>35</v>
      </c>
      <c r="C6" s="353" t="s">
        <v>106</v>
      </c>
      <c r="D6" s="353" t="s">
        <v>124</v>
      </c>
      <c r="E6" s="354" t="s">
        <v>120</v>
      </c>
      <c r="F6" s="353" t="s">
        <v>19</v>
      </c>
      <c r="G6" s="355" t="s">
        <v>102</v>
      </c>
      <c r="H6" s="353" t="s">
        <v>103</v>
      </c>
      <c r="I6" s="355" t="s">
        <v>324</v>
      </c>
      <c r="J6" s="355" t="s">
        <v>104</v>
      </c>
      <c r="K6" s="353" t="s">
        <v>105</v>
      </c>
      <c r="L6" s="355" t="s">
        <v>325</v>
      </c>
      <c r="N6" s="467" t="s">
        <v>35</v>
      </c>
      <c r="O6" s="353" t="s">
        <v>106</v>
      </c>
      <c r="P6" s="353" t="s">
        <v>124</v>
      </c>
      <c r="Q6" s="353" t="s">
        <v>137</v>
      </c>
      <c r="R6" s="353" t="s">
        <v>19</v>
      </c>
      <c r="S6" s="353" t="s">
        <v>133</v>
      </c>
      <c r="T6" s="353" t="s">
        <v>134</v>
      </c>
    </row>
    <row r="7" spans="1:20" x14ac:dyDescent="0.25">
      <c r="B7" s="356" t="s">
        <v>16</v>
      </c>
      <c r="C7" s="347" t="s">
        <v>16</v>
      </c>
      <c r="D7" s="347" t="s">
        <v>16</v>
      </c>
      <c r="E7" s="347" t="s">
        <v>136</v>
      </c>
      <c r="F7" s="347" t="s">
        <v>135</v>
      </c>
      <c r="G7" s="348">
        <v>8.7012207233108943E-2</v>
      </c>
      <c r="H7" s="348">
        <v>0.33048828772714073</v>
      </c>
      <c r="I7" s="348">
        <v>0.66951171227285922</v>
      </c>
      <c r="J7" s="349">
        <v>1.9537310258193847E-2</v>
      </c>
      <c r="K7" s="349">
        <v>0.13698702681156336</v>
      </c>
      <c r="L7" s="349">
        <v>0.86301297318843651</v>
      </c>
      <c r="N7" s="358" t="s">
        <v>16</v>
      </c>
      <c r="O7" s="347" t="s">
        <v>16</v>
      </c>
      <c r="P7" s="347" t="s">
        <v>141</v>
      </c>
      <c r="Q7" s="346" t="s">
        <v>16</v>
      </c>
      <c r="R7" s="347" t="s">
        <v>16</v>
      </c>
      <c r="S7" s="348">
        <v>2.9847987964595337E-2</v>
      </c>
      <c r="T7" s="348">
        <v>0.24034639638915284</v>
      </c>
    </row>
    <row r="8" spans="1:20" x14ac:dyDescent="0.25">
      <c r="B8" s="356" t="s">
        <v>43</v>
      </c>
      <c r="C8" s="347" t="s">
        <v>125</v>
      </c>
      <c r="D8" s="347" t="s">
        <v>139</v>
      </c>
      <c r="E8" s="347" t="s">
        <v>136</v>
      </c>
      <c r="F8" s="347" t="s">
        <v>26</v>
      </c>
      <c r="G8" s="349">
        <v>6.4000000000000001E-2</v>
      </c>
      <c r="H8" s="350">
        <v>0.25</v>
      </c>
      <c r="I8" s="350">
        <f>1-H8</f>
        <v>0.75</v>
      </c>
      <c r="J8" s="351">
        <v>1.7999999999999999E-2</v>
      </c>
      <c r="K8" s="351">
        <v>0.13</v>
      </c>
      <c r="L8" s="350">
        <f t="shared" ref="L8:L16" si="0">1-K8</f>
        <v>0.87</v>
      </c>
      <c r="N8" s="358" t="s">
        <v>16</v>
      </c>
      <c r="O8" s="347" t="s">
        <v>16</v>
      </c>
      <c r="P8" s="347" t="s">
        <v>142</v>
      </c>
      <c r="Q8" s="346" t="s">
        <v>16</v>
      </c>
      <c r="R8" s="347" t="s">
        <v>16</v>
      </c>
      <c r="S8" s="348">
        <v>3.4479920431664861E-2</v>
      </c>
      <c r="T8" s="348">
        <v>0.34883366937122512</v>
      </c>
    </row>
    <row r="9" spans="1:20" x14ac:dyDescent="0.25">
      <c r="B9" s="356" t="s">
        <v>43</v>
      </c>
      <c r="C9" s="347" t="s">
        <v>126</v>
      </c>
      <c r="D9" s="347" t="s">
        <v>139</v>
      </c>
      <c r="E9" s="347" t="s">
        <v>136</v>
      </c>
      <c r="F9" s="347" t="s">
        <v>26</v>
      </c>
      <c r="G9" s="349">
        <v>7.3999999999999996E-2</v>
      </c>
      <c r="H9" s="350">
        <v>0.27</v>
      </c>
      <c r="I9" s="350">
        <f>1-H9</f>
        <v>0.73</v>
      </c>
      <c r="J9" s="351">
        <v>1.7999999999999999E-2</v>
      </c>
      <c r="K9" s="351">
        <v>0.13</v>
      </c>
      <c r="L9" s="350">
        <f t="shared" si="0"/>
        <v>0.87</v>
      </c>
    </row>
    <row r="10" spans="1:20" x14ac:dyDescent="0.25">
      <c r="B10" s="356" t="s">
        <v>42</v>
      </c>
      <c r="C10" s="347" t="s">
        <v>125</v>
      </c>
      <c r="D10" s="347" t="s">
        <v>139</v>
      </c>
      <c r="E10" s="347" t="s">
        <v>136</v>
      </c>
      <c r="F10" s="347" t="s">
        <v>26</v>
      </c>
      <c r="G10" s="351">
        <v>7.5999999999999998E-2</v>
      </c>
      <c r="H10" s="351">
        <v>0.35</v>
      </c>
      <c r="I10" s="350">
        <f t="shared" ref="I10:I13" si="1">1-H10</f>
        <v>0.65</v>
      </c>
      <c r="J10" s="351">
        <v>1.7999999999999999E-2</v>
      </c>
      <c r="K10" s="351">
        <v>0.13</v>
      </c>
      <c r="L10" s="350">
        <f t="shared" si="0"/>
        <v>0.87</v>
      </c>
    </row>
    <row r="11" spans="1:20" x14ac:dyDescent="0.25">
      <c r="B11" s="356" t="s">
        <v>42</v>
      </c>
      <c r="C11" s="347" t="s">
        <v>127</v>
      </c>
      <c r="D11" s="347" t="s">
        <v>139</v>
      </c>
      <c r="E11" s="347" t="s">
        <v>136</v>
      </c>
      <c r="F11" s="347" t="s">
        <v>26</v>
      </c>
      <c r="G11" s="351">
        <v>8.5999999999999993E-2</v>
      </c>
      <c r="H11" s="351">
        <v>0.37</v>
      </c>
      <c r="I11" s="350">
        <f t="shared" si="1"/>
        <v>0.63</v>
      </c>
      <c r="J11" s="351">
        <v>1.7999999999999999E-2</v>
      </c>
      <c r="K11" s="351">
        <v>0.13</v>
      </c>
      <c r="L11" s="350">
        <f t="shared" si="0"/>
        <v>0.87</v>
      </c>
    </row>
    <row r="12" spans="1:20" x14ac:dyDescent="0.25">
      <c r="B12" s="356" t="s">
        <v>46</v>
      </c>
      <c r="C12" s="347" t="s">
        <v>125</v>
      </c>
      <c r="D12" s="347" t="s">
        <v>139</v>
      </c>
      <c r="E12" s="347" t="s">
        <v>136</v>
      </c>
      <c r="F12" s="347" t="s">
        <v>26</v>
      </c>
      <c r="G12" s="348">
        <v>0.09</v>
      </c>
      <c r="H12" s="352">
        <v>0.3</v>
      </c>
      <c r="I12" s="350">
        <f t="shared" si="1"/>
        <v>0.7</v>
      </c>
      <c r="J12" s="351">
        <v>2.1999999999999999E-2</v>
      </c>
      <c r="K12" s="351">
        <v>0.16</v>
      </c>
      <c r="L12" s="350">
        <f t="shared" si="0"/>
        <v>0.84</v>
      </c>
    </row>
    <row r="13" spans="1:20" x14ac:dyDescent="0.25">
      <c r="B13" s="356" t="s">
        <v>46</v>
      </c>
      <c r="C13" s="347" t="s">
        <v>127</v>
      </c>
      <c r="D13" s="347" t="s">
        <v>139</v>
      </c>
      <c r="E13" s="347" t="s">
        <v>136</v>
      </c>
      <c r="F13" s="347" t="s">
        <v>26</v>
      </c>
      <c r="G13" s="348">
        <v>0.1</v>
      </c>
      <c r="H13" s="351">
        <v>0.32</v>
      </c>
      <c r="I13" s="350">
        <f t="shared" si="1"/>
        <v>0.67999999999999994</v>
      </c>
      <c r="J13" s="351">
        <v>2.1999999999999999E-2</v>
      </c>
      <c r="K13" s="351">
        <v>0.16</v>
      </c>
      <c r="L13" s="350">
        <f t="shared" si="0"/>
        <v>0.84</v>
      </c>
    </row>
    <row r="14" spans="1:20" x14ac:dyDescent="0.25">
      <c r="B14" s="356" t="s">
        <v>128</v>
      </c>
      <c r="C14" s="347" t="s">
        <v>125</v>
      </c>
      <c r="D14" s="347" t="s">
        <v>139</v>
      </c>
      <c r="E14" s="347" t="s">
        <v>136</v>
      </c>
      <c r="F14" s="347" t="s">
        <v>26</v>
      </c>
      <c r="G14" s="351">
        <v>7.3999999999999996E-2</v>
      </c>
      <c r="H14" s="350">
        <v>0.27</v>
      </c>
      <c r="I14" s="350">
        <f>1-H14</f>
        <v>0.73</v>
      </c>
      <c r="J14" s="351">
        <v>1.7999999999999999E-2</v>
      </c>
      <c r="K14" s="351">
        <v>0.13</v>
      </c>
      <c r="L14" s="350">
        <f t="shared" si="0"/>
        <v>0.87</v>
      </c>
    </row>
    <row r="15" spans="1:20" x14ac:dyDescent="0.25">
      <c r="B15" s="356" t="s">
        <v>128</v>
      </c>
      <c r="C15" s="347" t="s">
        <v>127</v>
      </c>
      <c r="D15" s="347" t="s">
        <v>139</v>
      </c>
      <c r="E15" s="347" t="s">
        <v>136</v>
      </c>
      <c r="F15" s="347" t="s">
        <v>26</v>
      </c>
      <c r="G15" s="351">
        <v>8.4000000000000005E-2</v>
      </c>
      <c r="H15" s="350">
        <v>0.28999999999999998</v>
      </c>
      <c r="I15" s="350">
        <f>1-H15</f>
        <v>0.71</v>
      </c>
      <c r="J15" s="351">
        <v>1.7999999999999999E-2</v>
      </c>
      <c r="K15" s="351">
        <v>0.13</v>
      </c>
      <c r="L15" s="350">
        <f>1-K15</f>
        <v>0.87</v>
      </c>
    </row>
    <row r="16" spans="1:20" x14ac:dyDescent="0.25">
      <c r="B16" s="356" t="s">
        <v>40</v>
      </c>
      <c r="C16" s="347" t="s">
        <v>121</v>
      </c>
      <c r="D16" s="347" t="s">
        <v>139</v>
      </c>
      <c r="E16" s="347" t="s">
        <v>136</v>
      </c>
      <c r="F16" s="347" t="s">
        <v>26</v>
      </c>
      <c r="G16" s="348">
        <v>7.0000000000000007E-2</v>
      </c>
      <c r="H16" s="351">
        <v>0.28000000000000003</v>
      </c>
      <c r="I16" s="350">
        <f t="shared" ref="I16" si="2">1-H16</f>
        <v>0.72</v>
      </c>
      <c r="J16" s="351">
        <v>1.7999999999999999E-2</v>
      </c>
      <c r="K16" s="351">
        <v>0.13</v>
      </c>
      <c r="L16" s="350">
        <f t="shared" si="0"/>
        <v>0.87</v>
      </c>
    </row>
    <row r="17" spans="2:12" x14ac:dyDescent="0.25">
      <c r="B17" s="356" t="s">
        <v>40</v>
      </c>
      <c r="C17" s="347" t="s">
        <v>129</v>
      </c>
      <c r="D17" s="347" t="s">
        <v>139</v>
      </c>
      <c r="E17" s="347" t="s">
        <v>136</v>
      </c>
      <c r="F17" s="347" t="s">
        <v>26</v>
      </c>
      <c r="G17" s="351">
        <v>8.3000000000000004E-2</v>
      </c>
      <c r="H17" s="351">
        <v>0.33</v>
      </c>
      <c r="I17" s="350">
        <f>1-H17</f>
        <v>0.66999999999999993</v>
      </c>
      <c r="J17" s="348">
        <v>0.02</v>
      </c>
      <c r="K17" s="351">
        <v>0.14000000000000001</v>
      </c>
      <c r="L17" s="351">
        <v>0.86</v>
      </c>
    </row>
    <row r="18" spans="2:12" x14ac:dyDescent="0.25">
      <c r="B18" s="356" t="s">
        <v>40</v>
      </c>
      <c r="C18" s="347" t="s">
        <v>130</v>
      </c>
      <c r="D18" s="347" t="s">
        <v>139</v>
      </c>
      <c r="E18" s="347" t="s">
        <v>136</v>
      </c>
      <c r="F18" s="347" t="s">
        <v>26</v>
      </c>
      <c r="G18" s="351">
        <v>9.2999999999999999E-2</v>
      </c>
      <c r="H18" s="351">
        <v>0.35</v>
      </c>
      <c r="I18" s="350">
        <f>1-H18</f>
        <v>0.65</v>
      </c>
      <c r="J18" s="348">
        <v>0.02</v>
      </c>
      <c r="K18" s="351">
        <v>0.14000000000000001</v>
      </c>
      <c r="L18" s="351">
        <v>0.86</v>
      </c>
    </row>
    <row r="19" spans="2:12" x14ac:dyDescent="0.25">
      <c r="B19" s="356" t="s">
        <v>41</v>
      </c>
      <c r="C19" s="347" t="s">
        <v>125</v>
      </c>
      <c r="D19" s="347" t="s">
        <v>139</v>
      </c>
      <c r="E19" s="347" t="s">
        <v>136</v>
      </c>
      <c r="F19" s="347" t="s">
        <v>26</v>
      </c>
      <c r="G19" s="351">
        <v>6.5000000000000002E-2</v>
      </c>
      <c r="H19" s="351">
        <v>0.24</v>
      </c>
      <c r="I19" s="350">
        <f t="shared" ref="I19:I24" si="3">1-H19</f>
        <v>0.76</v>
      </c>
      <c r="J19" s="351">
        <v>1.7000000000000001E-2</v>
      </c>
      <c r="K19" s="351">
        <v>0.13</v>
      </c>
      <c r="L19" s="350">
        <f t="shared" ref="L19:L24" si="4">1-K19</f>
        <v>0.87</v>
      </c>
    </row>
    <row r="20" spans="2:12" x14ac:dyDescent="0.25">
      <c r="B20" s="356" t="s">
        <v>41</v>
      </c>
      <c r="C20" s="347" t="s">
        <v>127</v>
      </c>
      <c r="D20" s="347" t="s">
        <v>139</v>
      </c>
      <c r="E20" s="347" t="s">
        <v>136</v>
      </c>
      <c r="F20" s="347" t="s">
        <v>26</v>
      </c>
      <c r="G20" s="351">
        <v>7.4999999999999997E-2</v>
      </c>
      <c r="H20" s="351">
        <v>0.26</v>
      </c>
      <c r="I20" s="350">
        <f t="shared" si="3"/>
        <v>0.74</v>
      </c>
      <c r="J20" s="351">
        <v>1.7000000000000001E-2</v>
      </c>
      <c r="K20" s="351">
        <v>0.13</v>
      </c>
      <c r="L20" s="350">
        <f t="shared" si="4"/>
        <v>0.87</v>
      </c>
    </row>
    <row r="21" spans="2:12" x14ac:dyDescent="0.25">
      <c r="B21" s="356" t="s">
        <v>16</v>
      </c>
      <c r="C21" s="347" t="s">
        <v>121</v>
      </c>
      <c r="D21" s="347" t="s">
        <v>8</v>
      </c>
      <c r="E21" s="347" t="s">
        <v>136</v>
      </c>
      <c r="F21" s="347" t="s">
        <v>26</v>
      </c>
      <c r="G21" s="348">
        <v>0.13</v>
      </c>
      <c r="H21" s="351">
        <v>0.45</v>
      </c>
      <c r="I21" s="350">
        <f t="shared" si="3"/>
        <v>0.55000000000000004</v>
      </c>
      <c r="J21" s="351">
        <v>2.9000000000000001E-2</v>
      </c>
      <c r="K21" s="351">
        <v>0.22</v>
      </c>
      <c r="L21" s="350">
        <f t="shared" si="4"/>
        <v>0.78</v>
      </c>
    </row>
    <row r="22" spans="2:12" x14ac:dyDescent="0.25">
      <c r="B22" s="356" t="s">
        <v>16</v>
      </c>
      <c r="C22" s="347" t="s">
        <v>131</v>
      </c>
      <c r="D22" s="347" t="s">
        <v>8</v>
      </c>
      <c r="E22" s="347" t="s">
        <v>136</v>
      </c>
      <c r="F22" s="347" t="s">
        <v>26</v>
      </c>
      <c r="G22" s="348">
        <v>0.16</v>
      </c>
      <c r="H22" s="351">
        <v>0.48</v>
      </c>
      <c r="I22" s="350">
        <f t="shared" si="3"/>
        <v>0.52</v>
      </c>
      <c r="J22" s="351">
        <v>2.9000000000000001E-2</v>
      </c>
      <c r="K22" s="351">
        <v>0.22</v>
      </c>
      <c r="L22" s="350">
        <f t="shared" si="4"/>
        <v>0.78</v>
      </c>
    </row>
    <row r="23" spans="2:12" x14ac:dyDescent="0.25">
      <c r="B23" s="356" t="s">
        <v>16</v>
      </c>
      <c r="C23" s="347" t="s">
        <v>121</v>
      </c>
      <c r="D23" s="347" t="s">
        <v>7</v>
      </c>
      <c r="E23" s="347" t="s">
        <v>136</v>
      </c>
      <c r="F23" s="347" t="s">
        <v>26</v>
      </c>
      <c r="G23" s="351">
        <v>0.122</v>
      </c>
      <c r="H23" s="351">
        <v>0.42</v>
      </c>
      <c r="I23" s="350">
        <f t="shared" si="3"/>
        <v>0.58000000000000007</v>
      </c>
      <c r="J23" s="348">
        <v>2.5000000000000001E-2</v>
      </c>
      <c r="K23" s="352">
        <v>0.18</v>
      </c>
      <c r="L23" s="350">
        <f t="shared" si="4"/>
        <v>0.82000000000000006</v>
      </c>
    </row>
    <row r="24" spans="2:12" x14ac:dyDescent="0.25">
      <c r="B24" s="356" t="s">
        <v>16</v>
      </c>
      <c r="C24" s="347" t="s">
        <v>131</v>
      </c>
      <c r="D24" s="347" t="s">
        <v>7</v>
      </c>
      <c r="E24" s="347" t="s">
        <v>136</v>
      </c>
      <c r="F24" s="347" t="s">
        <v>26</v>
      </c>
      <c r="G24" s="351">
        <v>0.14399999999999999</v>
      </c>
      <c r="H24" s="351">
        <v>0.43</v>
      </c>
      <c r="I24" s="350">
        <f t="shared" si="3"/>
        <v>0.57000000000000006</v>
      </c>
      <c r="J24" s="348">
        <v>2.7E-2</v>
      </c>
      <c r="K24" s="352">
        <v>0.19</v>
      </c>
      <c r="L24" s="350">
        <f t="shared" si="4"/>
        <v>0.81</v>
      </c>
    </row>
    <row r="25" spans="2:12" x14ac:dyDescent="0.25">
      <c r="B25" s="356" t="s">
        <v>16</v>
      </c>
      <c r="C25" s="347" t="s">
        <v>16</v>
      </c>
      <c r="D25" s="347" t="s">
        <v>16</v>
      </c>
      <c r="E25" s="346" t="s">
        <v>16</v>
      </c>
      <c r="F25" s="346" t="s">
        <v>16</v>
      </c>
      <c r="G25" s="348">
        <v>8.9222146460960272E-2</v>
      </c>
      <c r="H25" s="348">
        <v>0.33215300790571406</v>
      </c>
      <c r="I25" s="348">
        <v>0.66784699209428589</v>
      </c>
      <c r="J25" s="348">
        <v>1.9613422603502437E-2</v>
      </c>
      <c r="K25" s="348">
        <v>0.13910476446035122</v>
      </c>
      <c r="L25" s="348">
        <v>0.86089523553964875</v>
      </c>
    </row>
    <row r="26" spans="2:12" x14ac:dyDescent="0.25">
      <c r="B26" s="356" t="s">
        <v>16</v>
      </c>
      <c r="C26" s="347" t="s">
        <v>121</v>
      </c>
      <c r="D26" s="347" t="s">
        <v>139</v>
      </c>
      <c r="E26" s="346" t="s">
        <v>16</v>
      </c>
      <c r="F26" s="357" t="s">
        <v>36</v>
      </c>
      <c r="G26" s="348">
        <v>7.0999999999999994E-2</v>
      </c>
      <c r="H26" s="352">
        <v>0.28000000000000003</v>
      </c>
      <c r="I26" s="350">
        <f t="shared" ref="I26:I32" si="5">1-H26</f>
        <v>0.72</v>
      </c>
      <c r="J26" s="348">
        <v>1.7999999999999999E-2</v>
      </c>
      <c r="K26" s="352">
        <v>0.13</v>
      </c>
      <c r="L26" s="350">
        <f>1-K26</f>
        <v>0.87</v>
      </c>
    </row>
    <row r="27" spans="2:12" x14ac:dyDescent="0.25">
      <c r="B27" s="356" t="s">
        <v>16</v>
      </c>
      <c r="C27" s="347" t="s">
        <v>129</v>
      </c>
      <c r="D27" s="347" t="s">
        <v>139</v>
      </c>
      <c r="E27" s="346" t="s">
        <v>16</v>
      </c>
      <c r="F27" s="357" t="s">
        <v>36</v>
      </c>
      <c r="G27" s="348">
        <v>0.08</v>
      </c>
      <c r="H27" s="352">
        <v>0.3</v>
      </c>
      <c r="I27" s="350">
        <f t="shared" si="5"/>
        <v>0.7</v>
      </c>
      <c r="J27" s="348">
        <v>1.9E-2</v>
      </c>
      <c r="K27" s="352">
        <v>0.14000000000000001</v>
      </c>
      <c r="L27" s="350">
        <f t="shared" ref="L27:L28" si="6">1-K27</f>
        <v>0.86</v>
      </c>
    </row>
    <row r="28" spans="2:12" x14ac:dyDescent="0.25">
      <c r="B28" s="356" t="s">
        <v>16</v>
      </c>
      <c r="C28" s="347" t="s">
        <v>130</v>
      </c>
      <c r="D28" s="347" t="s">
        <v>139</v>
      </c>
      <c r="E28" s="346" t="s">
        <v>16</v>
      </c>
      <c r="F28" s="357" t="s">
        <v>36</v>
      </c>
      <c r="G28" s="348">
        <v>0.09</v>
      </c>
      <c r="H28" s="352">
        <v>0.32</v>
      </c>
      <c r="I28" s="350">
        <f t="shared" si="5"/>
        <v>0.67999999999999994</v>
      </c>
      <c r="J28" s="348">
        <v>1.9E-2</v>
      </c>
      <c r="K28" s="352">
        <v>0.15</v>
      </c>
      <c r="L28" s="350">
        <f t="shared" si="6"/>
        <v>0.85</v>
      </c>
    </row>
    <row r="29" spans="2:12" x14ac:dyDescent="0.25">
      <c r="B29" s="356" t="s">
        <v>16</v>
      </c>
      <c r="C29" s="347" t="s">
        <v>121</v>
      </c>
      <c r="D29" s="347" t="s">
        <v>8</v>
      </c>
      <c r="E29" s="346" t="s">
        <v>16</v>
      </c>
      <c r="F29" s="357" t="s">
        <v>36</v>
      </c>
      <c r="G29" s="348">
        <v>0.125</v>
      </c>
      <c r="H29" s="352">
        <v>0.42</v>
      </c>
      <c r="I29" s="350">
        <f t="shared" si="5"/>
        <v>0.58000000000000007</v>
      </c>
      <c r="J29" s="348">
        <v>2.3E-2</v>
      </c>
      <c r="K29" s="352">
        <v>0.2</v>
      </c>
      <c r="L29" s="350">
        <f>1-K29</f>
        <v>0.8</v>
      </c>
    </row>
    <row r="30" spans="2:12" x14ac:dyDescent="0.25">
      <c r="B30" s="356" t="s">
        <v>16</v>
      </c>
      <c r="C30" s="347" t="s">
        <v>132</v>
      </c>
      <c r="D30" s="347" t="s">
        <v>8</v>
      </c>
      <c r="E30" s="346" t="s">
        <v>16</v>
      </c>
      <c r="F30" s="357" t="s">
        <v>36</v>
      </c>
      <c r="G30" s="348">
        <v>0.14000000000000001</v>
      </c>
      <c r="H30" s="352">
        <v>0.42</v>
      </c>
      <c r="I30" s="350">
        <f t="shared" si="5"/>
        <v>0.58000000000000007</v>
      </c>
      <c r="J30" s="348">
        <v>2.3E-2</v>
      </c>
      <c r="K30" s="352">
        <v>0.2</v>
      </c>
      <c r="L30" s="350">
        <f>1-K30</f>
        <v>0.8</v>
      </c>
    </row>
    <row r="31" spans="2:12" x14ac:dyDescent="0.25">
      <c r="B31" s="356" t="s">
        <v>16</v>
      </c>
      <c r="C31" s="347" t="s">
        <v>121</v>
      </c>
      <c r="D31" s="347" t="s">
        <v>7</v>
      </c>
      <c r="E31" s="346" t="s">
        <v>16</v>
      </c>
      <c r="F31" s="357" t="s">
        <v>36</v>
      </c>
      <c r="G31" s="348">
        <v>0.1</v>
      </c>
      <c r="H31" s="352">
        <v>0.39</v>
      </c>
      <c r="I31" s="350">
        <f t="shared" si="5"/>
        <v>0.61</v>
      </c>
      <c r="J31" s="348">
        <v>2.1000000000000001E-2</v>
      </c>
      <c r="K31" s="352">
        <v>0.15</v>
      </c>
      <c r="L31" s="350">
        <f>1-K31</f>
        <v>0.85</v>
      </c>
    </row>
    <row r="32" spans="2:12" x14ac:dyDescent="0.25">
      <c r="B32" s="356" t="s">
        <v>16</v>
      </c>
      <c r="C32" s="347" t="s">
        <v>125</v>
      </c>
      <c r="D32" s="347" t="s">
        <v>7</v>
      </c>
      <c r="E32" s="346" t="s">
        <v>16</v>
      </c>
      <c r="F32" s="357" t="s">
        <v>36</v>
      </c>
      <c r="G32" s="348">
        <v>0.125</v>
      </c>
      <c r="H32" s="352">
        <v>0.4</v>
      </c>
      <c r="I32" s="350">
        <f t="shared" si="5"/>
        <v>0.6</v>
      </c>
      <c r="J32" s="348">
        <v>2.1000000000000001E-2</v>
      </c>
      <c r="K32" s="352">
        <v>0.15</v>
      </c>
      <c r="L32" s="350">
        <f>1-K32</f>
        <v>0.85</v>
      </c>
    </row>
    <row r="33" spans="2:48" x14ac:dyDescent="0.25">
      <c r="B33" s="356" t="s">
        <v>16</v>
      </c>
      <c r="C33" s="347" t="s">
        <v>16</v>
      </c>
      <c r="D33" s="347" t="s">
        <v>16</v>
      </c>
      <c r="E33" s="347" t="s">
        <v>138</v>
      </c>
      <c r="F33" s="347" t="s">
        <v>135</v>
      </c>
      <c r="G33" s="348">
        <v>8.0109851829478884E-2</v>
      </c>
      <c r="H33" s="348">
        <v>0.3092510859799672</v>
      </c>
      <c r="I33" s="348">
        <v>0.6907489140200328</v>
      </c>
      <c r="J33" s="348">
        <v>1.8572021558150537E-2</v>
      </c>
      <c r="K33" s="348">
        <v>0.12992851652480236</v>
      </c>
      <c r="L33" s="350">
        <v>0.8700714834751978</v>
      </c>
    </row>
    <row r="34" spans="2:48" x14ac:dyDescent="0.25">
      <c r="B34" s="356" t="s">
        <v>16</v>
      </c>
      <c r="C34" s="347" t="s">
        <v>121</v>
      </c>
      <c r="D34" s="347" t="s">
        <v>139</v>
      </c>
      <c r="E34" s="347" t="s">
        <v>138</v>
      </c>
      <c r="F34" s="347" t="s">
        <v>135</v>
      </c>
      <c r="G34" s="348">
        <v>0.09</v>
      </c>
      <c r="H34" s="352">
        <v>0.35</v>
      </c>
      <c r="I34" s="350">
        <v>0.65</v>
      </c>
      <c r="J34" s="351">
        <v>1.7000000000000001E-2</v>
      </c>
      <c r="K34" s="352">
        <v>0.13</v>
      </c>
      <c r="L34" s="350">
        <v>0.87</v>
      </c>
    </row>
    <row r="35" spans="2:48" x14ac:dyDescent="0.25">
      <c r="B35" s="356" t="s">
        <v>16</v>
      </c>
      <c r="C35" s="347" t="s">
        <v>129</v>
      </c>
      <c r="D35" s="347" t="s">
        <v>139</v>
      </c>
      <c r="E35" s="347" t="s">
        <v>138</v>
      </c>
      <c r="F35" s="347" t="s">
        <v>135</v>
      </c>
      <c r="G35" s="348">
        <v>8.5000000000000006E-2</v>
      </c>
      <c r="H35" s="352">
        <v>0.31</v>
      </c>
      <c r="I35" s="350">
        <v>0.69</v>
      </c>
      <c r="J35" s="351">
        <v>1.9E-2</v>
      </c>
      <c r="K35" s="352">
        <v>0.13</v>
      </c>
      <c r="L35" s="350">
        <v>0.87</v>
      </c>
    </row>
    <row r="36" spans="2:48" s="304" customFormat="1" x14ac:dyDescent="0.25">
      <c r="B36" s="356" t="s">
        <v>16</v>
      </c>
      <c r="C36" s="347" t="s">
        <v>122</v>
      </c>
      <c r="D36" s="347" t="s">
        <v>139</v>
      </c>
      <c r="E36" s="347" t="s">
        <v>138</v>
      </c>
      <c r="F36" s="347" t="s">
        <v>135</v>
      </c>
      <c r="G36" s="348">
        <v>7.0000000000000007E-2</v>
      </c>
      <c r="H36" s="352">
        <v>0.31</v>
      </c>
      <c r="I36" s="350">
        <f t="shared" ref="I36:I46" si="7">1-H36</f>
        <v>0.69</v>
      </c>
      <c r="J36" s="351">
        <v>1.9E-2</v>
      </c>
      <c r="K36" s="352">
        <v>0.13</v>
      </c>
      <c r="L36" s="350">
        <f t="shared" ref="L36:L46" si="8">1-K36</f>
        <v>0.87</v>
      </c>
      <c r="M36" s="326"/>
    </row>
    <row r="37" spans="2:48" x14ac:dyDescent="0.25">
      <c r="B37" s="356" t="s">
        <v>16</v>
      </c>
      <c r="C37" s="347" t="s">
        <v>144</v>
      </c>
      <c r="D37" s="347" t="s">
        <v>8</v>
      </c>
      <c r="E37" s="347" t="s">
        <v>138</v>
      </c>
      <c r="F37" s="347" t="s">
        <v>135</v>
      </c>
      <c r="G37" s="348">
        <v>0.12</v>
      </c>
      <c r="H37" s="351">
        <v>0.45</v>
      </c>
      <c r="I37" s="350">
        <f t="shared" si="7"/>
        <v>0.55000000000000004</v>
      </c>
      <c r="J37" s="348">
        <v>0.02</v>
      </c>
      <c r="K37" s="351">
        <v>0.15</v>
      </c>
      <c r="L37" s="350">
        <f t="shared" si="8"/>
        <v>0.85</v>
      </c>
      <c r="M37" s="326"/>
    </row>
    <row r="38" spans="2:48" x14ac:dyDescent="0.25">
      <c r="B38" s="356" t="s">
        <v>16</v>
      </c>
      <c r="C38" s="347" t="s">
        <v>123</v>
      </c>
      <c r="D38" s="347" t="s">
        <v>8</v>
      </c>
      <c r="E38" s="347" t="s">
        <v>138</v>
      </c>
      <c r="F38" s="347" t="s">
        <v>135</v>
      </c>
      <c r="G38" s="348">
        <v>0.13500000000000001</v>
      </c>
      <c r="H38" s="351">
        <v>0.45</v>
      </c>
      <c r="I38" s="350">
        <f t="shared" si="7"/>
        <v>0.55000000000000004</v>
      </c>
      <c r="J38" s="348">
        <v>0.02</v>
      </c>
      <c r="K38" s="351">
        <v>0.15</v>
      </c>
      <c r="L38" s="350">
        <f t="shared" si="8"/>
        <v>0.85</v>
      </c>
      <c r="M38" s="326"/>
    </row>
    <row r="39" spans="2:48" x14ac:dyDescent="0.25">
      <c r="B39" s="356" t="s">
        <v>16</v>
      </c>
      <c r="C39" s="347" t="s">
        <v>121</v>
      </c>
      <c r="D39" s="347" t="s">
        <v>7</v>
      </c>
      <c r="E39" s="347" t="s">
        <v>138</v>
      </c>
      <c r="F39" s="347" t="s">
        <v>135</v>
      </c>
      <c r="G39" s="348">
        <v>0.04</v>
      </c>
      <c r="H39" s="351">
        <v>0.22</v>
      </c>
      <c r="I39" s="350">
        <v>0.78</v>
      </c>
      <c r="J39" s="348">
        <v>2.1000000000000001E-2</v>
      </c>
      <c r="K39" s="351">
        <v>0.18</v>
      </c>
      <c r="L39" s="350">
        <v>0.82000000000000006</v>
      </c>
      <c r="M39" s="327"/>
    </row>
    <row r="40" spans="2:48" x14ac:dyDescent="0.25">
      <c r="B40" s="356" t="s">
        <v>16</v>
      </c>
      <c r="C40" s="347" t="s">
        <v>129</v>
      </c>
      <c r="D40" s="347" t="s">
        <v>7</v>
      </c>
      <c r="E40" s="347" t="s">
        <v>138</v>
      </c>
      <c r="F40" s="347" t="s">
        <v>135</v>
      </c>
      <c r="G40" s="348">
        <v>0.08</v>
      </c>
      <c r="H40" s="351">
        <v>0.36</v>
      </c>
      <c r="I40" s="350">
        <v>0.64</v>
      </c>
      <c r="J40" s="348">
        <v>0.04</v>
      </c>
      <c r="K40" s="351">
        <v>0.18</v>
      </c>
      <c r="L40" s="350">
        <v>0.82000000000000006</v>
      </c>
      <c r="M40" s="327"/>
    </row>
    <row r="41" spans="2:48" x14ac:dyDescent="0.25">
      <c r="B41" s="356" t="s">
        <v>16</v>
      </c>
      <c r="C41" s="347" t="s">
        <v>123</v>
      </c>
      <c r="D41" s="347" t="s">
        <v>7</v>
      </c>
      <c r="E41" s="347" t="s">
        <v>138</v>
      </c>
      <c r="F41" s="347" t="s">
        <v>135</v>
      </c>
      <c r="G41" s="348">
        <v>0.04</v>
      </c>
      <c r="H41" s="352">
        <v>0.3</v>
      </c>
      <c r="I41" s="350">
        <f t="shared" si="7"/>
        <v>0.7</v>
      </c>
      <c r="J41" s="349">
        <v>2.5000000000000001E-2</v>
      </c>
      <c r="K41" s="350">
        <v>0.15</v>
      </c>
      <c r="L41" s="350">
        <f t="shared" si="8"/>
        <v>0.85</v>
      </c>
      <c r="M41" s="327"/>
    </row>
    <row r="42" spans="2:48" x14ac:dyDescent="0.25">
      <c r="B42" s="356" t="s">
        <v>16</v>
      </c>
      <c r="C42" s="347" t="s">
        <v>346</v>
      </c>
      <c r="D42" s="347" t="s">
        <v>140</v>
      </c>
      <c r="E42" s="347" t="s">
        <v>136</v>
      </c>
      <c r="F42" s="347" t="s">
        <v>16</v>
      </c>
      <c r="G42" s="351">
        <v>0.02</v>
      </c>
      <c r="H42" s="351">
        <v>0.18</v>
      </c>
      <c r="I42" s="350">
        <f t="shared" si="7"/>
        <v>0.82000000000000006</v>
      </c>
      <c r="J42" s="350">
        <v>5.0000000000000001E-3</v>
      </c>
      <c r="K42" s="351">
        <v>0.05</v>
      </c>
      <c r="L42" s="350">
        <f t="shared" si="8"/>
        <v>0.95</v>
      </c>
      <c r="M42" s="326"/>
    </row>
    <row r="43" spans="2:48" x14ac:dyDescent="0.25">
      <c r="B43" s="356" t="s">
        <v>16</v>
      </c>
      <c r="C43" s="347" t="s">
        <v>347</v>
      </c>
      <c r="D43" s="347" t="s">
        <v>140</v>
      </c>
      <c r="E43" s="347" t="s">
        <v>136</v>
      </c>
      <c r="F43" s="347" t="s">
        <v>16</v>
      </c>
      <c r="G43" s="348">
        <v>0.08</v>
      </c>
      <c r="H43" s="351">
        <v>0.23</v>
      </c>
      <c r="I43" s="350">
        <f t="shared" si="7"/>
        <v>0.77</v>
      </c>
      <c r="J43" s="350">
        <v>0.01</v>
      </c>
      <c r="K43" s="351">
        <v>0.1</v>
      </c>
      <c r="L43" s="350">
        <f t="shared" si="8"/>
        <v>0.9</v>
      </c>
      <c r="M43" s="326"/>
    </row>
    <row r="44" spans="2:48" x14ac:dyDescent="0.25">
      <c r="B44" s="356" t="s">
        <v>16</v>
      </c>
      <c r="C44" s="347">
        <v>70</v>
      </c>
      <c r="D44" s="347" t="s">
        <v>140</v>
      </c>
      <c r="E44" s="346" t="s">
        <v>136</v>
      </c>
      <c r="F44" s="357" t="s">
        <v>16</v>
      </c>
      <c r="G44" s="349">
        <v>0.08</v>
      </c>
      <c r="H44" s="350">
        <v>0.23</v>
      </c>
      <c r="I44" s="350">
        <f t="shared" si="7"/>
        <v>0.77</v>
      </c>
      <c r="J44" s="350">
        <v>0.01</v>
      </c>
      <c r="K44" s="349">
        <v>0.1</v>
      </c>
      <c r="L44" s="350">
        <f t="shared" si="8"/>
        <v>0.9</v>
      </c>
      <c r="M44" s="327"/>
    </row>
    <row r="45" spans="2:48" x14ac:dyDescent="0.25">
      <c r="B45" s="356" t="s">
        <v>16</v>
      </c>
      <c r="C45" s="347">
        <v>80</v>
      </c>
      <c r="D45" s="347" t="s">
        <v>140</v>
      </c>
      <c r="E45" s="346" t="s">
        <v>136</v>
      </c>
      <c r="F45" s="357" t="s">
        <v>16</v>
      </c>
      <c r="G45" s="349">
        <v>0.13</v>
      </c>
      <c r="H45" s="350">
        <v>0.31</v>
      </c>
      <c r="I45" s="350">
        <f t="shared" si="7"/>
        <v>0.69</v>
      </c>
      <c r="J45" s="350">
        <v>0.02</v>
      </c>
      <c r="K45" s="349">
        <v>0.11</v>
      </c>
      <c r="L45" s="350">
        <f t="shared" si="8"/>
        <v>0.89</v>
      </c>
      <c r="M45" s="327"/>
    </row>
    <row r="46" spans="2:48" x14ac:dyDescent="0.25">
      <c r="B46" s="356" t="s">
        <v>16</v>
      </c>
      <c r="C46" s="347" t="s">
        <v>122</v>
      </c>
      <c r="D46" s="347" t="s">
        <v>140</v>
      </c>
      <c r="E46" s="346" t="s">
        <v>136</v>
      </c>
      <c r="F46" s="357" t="s">
        <v>16</v>
      </c>
      <c r="G46" s="349">
        <v>0.17</v>
      </c>
      <c r="H46" s="350">
        <v>0.34</v>
      </c>
      <c r="I46" s="350">
        <f t="shared" si="7"/>
        <v>0.65999999999999992</v>
      </c>
      <c r="J46" s="350">
        <v>0.02</v>
      </c>
      <c r="K46" s="349">
        <v>0.11</v>
      </c>
      <c r="L46" s="350">
        <f t="shared" si="8"/>
        <v>0.89</v>
      </c>
      <c r="M46" s="327"/>
    </row>
    <row r="47" spans="2:48" x14ac:dyDescent="0.25">
      <c r="B47" s="328"/>
      <c r="C47" s="328"/>
      <c r="D47" s="328"/>
      <c r="E47" s="329"/>
      <c r="F47" s="250"/>
      <c r="G47" s="330"/>
      <c r="H47" s="250"/>
      <c r="I47" s="330"/>
      <c r="J47" s="330"/>
      <c r="K47" s="250"/>
      <c r="L47" s="330"/>
      <c r="M47" s="292"/>
      <c r="N47" s="292"/>
      <c r="O47" s="292"/>
      <c r="P47" s="292"/>
      <c r="Q47" s="328"/>
      <c r="R47" s="328"/>
      <c r="S47" s="328"/>
      <c r="T47" s="329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</row>
    <row r="48" spans="2:48" x14ac:dyDescent="0.25">
      <c r="B48" s="331"/>
      <c r="C48" s="331"/>
      <c r="D48" s="331"/>
      <c r="E48" s="331"/>
      <c r="F48" s="331"/>
      <c r="G48" s="332"/>
      <c r="H48" s="332"/>
      <c r="I48" s="332"/>
      <c r="J48" s="332"/>
      <c r="K48" s="332"/>
      <c r="L48" s="332"/>
      <c r="M48" s="308"/>
      <c r="N48" s="292"/>
      <c r="O48" s="292"/>
      <c r="P48" s="292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  <c r="AP48" s="331"/>
      <c r="AQ48" s="331"/>
      <c r="AR48" s="331"/>
      <c r="AS48" s="331"/>
      <c r="AT48" s="331"/>
      <c r="AU48" s="331"/>
      <c r="AV48" s="331"/>
    </row>
    <row r="49" spans="2:48" x14ac:dyDescent="0.25">
      <c r="B49" s="333"/>
      <c r="C49" s="333"/>
      <c r="D49" s="333"/>
      <c r="E49" s="333"/>
      <c r="F49" s="333"/>
      <c r="G49" s="334"/>
      <c r="H49" s="335"/>
      <c r="I49" s="336"/>
      <c r="J49" s="337"/>
      <c r="K49" s="335"/>
      <c r="L49" s="336"/>
      <c r="M49" s="308"/>
      <c r="N49" s="292"/>
      <c r="O49" s="292"/>
      <c r="P49" s="292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  <c r="AM49" s="333"/>
      <c r="AN49" s="333"/>
      <c r="AO49" s="333"/>
      <c r="AP49" s="333"/>
      <c r="AQ49" s="333"/>
      <c r="AR49" s="333"/>
      <c r="AS49" s="333"/>
      <c r="AT49" s="333"/>
      <c r="AU49" s="333"/>
      <c r="AV49" s="333"/>
    </row>
    <row r="50" spans="2:48" x14ac:dyDescent="0.25">
      <c r="B50" s="338"/>
      <c r="C50" s="338"/>
      <c r="D50" s="338"/>
      <c r="E50" s="338"/>
      <c r="F50" s="338"/>
      <c r="G50" s="339"/>
      <c r="H50" s="340"/>
      <c r="I50" s="341"/>
      <c r="J50" s="342"/>
      <c r="K50" s="340"/>
      <c r="L50" s="341"/>
      <c r="M50" s="308"/>
      <c r="N50" s="292"/>
      <c r="O50" s="292"/>
      <c r="P50" s="292"/>
      <c r="Q50" s="338"/>
      <c r="R50" s="338"/>
      <c r="S50" s="338"/>
      <c r="T50" s="338"/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  <c r="AL50" s="338"/>
      <c r="AM50" s="338"/>
      <c r="AN50" s="338"/>
      <c r="AO50" s="338"/>
      <c r="AP50" s="338"/>
      <c r="AQ50" s="338"/>
      <c r="AR50" s="338"/>
      <c r="AS50" s="338"/>
      <c r="AT50" s="338"/>
      <c r="AU50" s="338"/>
      <c r="AV50" s="338"/>
    </row>
    <row r="51" spans="2:48" x14ac:dyDescent="0.25">
      <c r="B51" s="338"/>
      <c r="C51" s="338"/>
      <c r="D51" s="338"/>
      <c r="E51" s="338"/>
      <c r="F51" s="338"/>
      <c r="G51" s="339"/>
      <c r="H51" s="340"/>
      <c r="I51" s="341"/>
      <c r="J51" s="342"/>
      <c r="K51" s="340"/>
      <c r="L51" s="341"/>
      <c r="M51" s="308"/>
      <c r="N51" s="292"/>
      <c r="O51" s="292"/>
      <c r="P51" s="292"/>
      <c r="Q51" s="338"/>
      <c r="R51" s="338"/>
      <c r="S51" s="338"/>
      <c r="T51" s="338"/>
      <c r="U51" s="338"/>
      <c r="V51" s="338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8"/>
      <c r="AI51" s="338"/>
      <c r="AJ51" s="338"/>
      <c r="AK51" s="338"/>
      <c r="AL51" s="338"/>
      <c r="AM51" s="338"/>
      <c r="AN51" s="338"/>
      <c r="AO51" s="338"/>
      <c r="AP51" s="338"/>
      <c r="AQ51" s="338"/>
      <c r="AR51" s="338"/>
      <c r="AS51" s="338"/>
      <c r="AT51" s="338"/>
      <c r="AU51" s="338"/>
      <c r="AV51" s="338"/>
    </row>
    <row r="52" spans="2:48" x14ac:dyDescent="0.25">
      <c r="B52" s="331"/>
      <c r="C52" s="343"/>
      <c r="D52" s="343"/>
      <c r="E52" s="343"/>
      <c r="F52" s="343"/>
      <c r="G52" s="344"/>
      <c r="H52" s="330"/>
      <c r="I52" s="345"/>
      <c r="J52" s="250"/>
      <c r="K52" s="330"/>
      <c r="L52" s="345"/>
      <c r="M52" s="292"/>
      <c r="N52" s="292"/>
      <c r="O52" s="292"/>
      <c r="P52" s="292"/>
      <c r="Q52" s="331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  <c r="AQ52" s="343"/>
      <c r="AR52" s="343"/>
      <c r="AS52" s="343"/>
      <c r="AT52" s="343"/>
      <c r="AU52" s="343"/>
      <c r="AV52" s="343"/>
    </row>
    <row r="53" spans="2:48" x14ac:dyDescent="0.25">
      <c r="B53" s="331"/>
      <c r="C53" s="338"/>
      <c r="D53" s="343"/>
      <c r="E53" s="343"/>
      <c r="F53" s="343"/>
      <c r="G53" s="344"/>
      <c r="H53" s="250"/>
      <c r="I53" s="345"/>
      <c r="J53" s="344"/>
      <c r="K53" s="250"/>
      <c r="L53" s="345"/>
      <c r="M53" s="308"/>
      <c r="N53" s="292"/>
      <c r="O53" s="292"/>
      <c r="P53" s="292"/>
      <c r="Q53" s="331"/>
      <c r="R53" s="338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  <c r="AK53" s="343"/>
      <c r="AL53" s="343"/>
      <c r="AM53" s="343"/>
      <c r="AN53" s="343"/>
      <c r="AO53" s="343"/>
      <c r="AP53" s="343"/>
      <c r="AQ53" s="343"/>
      <c r="AR53" s="343"/>
      <c r="AS53" s="343"/>
      <c r="AT53" s="343"/>
      <c r="AU53" s="343"/>
      <c r="AV53" s="343"/>
    </row>
    <row r="54" spans="2:48" x14ac:dyDescent="0.25">
      <c r="B54" s="331"/>
      <c r="C54" s="343"/>
      <c r="D54" s="343"/>
      <c r="E54" s="343"/>
      <c r="F54" s="343"/>
      <c r="G54" s="344"/>
      <c r="H54" s="250"/>
      <c r="I54" s="345"/>
      <c r="J54" s="344"/>
      <c r="K54" s="250"/>
      <c r="L54" s="345"/>
      <c r="M54" s="292"/>
      <c r="N54" s="292"/>
      <c r="O54" s="292"/>
      <c r="P54" s="292"/>
      <c r="Q54" s="331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  <c r="AP54" s="343"/>
      <c r="AQ54" s="343"/>
      <c r="AR54" s="343"/>
      <c r="AS54" s="343"/>
      <c r="AT54" s="343"/>
      <c r="AU54" s="343"/>
      <c r="AV54" s="343"/>
    </row>
    <row r="55" spans="2:48" x14ac:dyDescent="0.25">
      <c r="B55" s="338"/>
      <c r="C55" s="338"/>
      <c r="D55" s="338"/>
      <c r="E55" s="338"/>
      <c r="F55" s="338"/>
      <c r="G55" s="339"/>
      <c r="H55" s="342"/>
      <c r="I55" s="341"/>
      <c r="J55" s="339"/>
      <c r="K55" s="342"/>
      <c r="L55" s="341"/>
      <c r="M55" s="308"/>
      <c r="N55" s="292"/>
      <c r="O55" s="292"/>
      <c r="P55" s="292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  <c r="AJ55" s="338"/>
      <c r="AK55" s="338"/>
      <c r="AL55" s="338"/>
      <c r="AM55" s="338"/>
      <c r="AN55" s="338"/>
      <c r="AO55" s="338"/>
      <c r="AP55" s="338"/>
      <c r="AQ55" s="338"/>
      <c r="AR55" s="338"/>
      <c r="AS55" s="338"/>
      <c r="AT55" s="338"/>
      <c r="AU55" s="338"/>
      <c r="AV55" s="338"/>
    </row>
    <row r="56" spans="2:48" x14ac:dyDescent="0.25">
      <c r="B56" s="338"/>
      <c r="C56" s="338"/>
      <c r="D56" s="338"/>
      <c r="E56" s="338"/>
      <c r="F56" s="338"/>
      <c r="G56" s="339"/>
      <c r="H56" s="342"/>
      <c r="I56" s="341"/>
      <c r="J56" s="339"/>
      <c r="K56" s="342"/>
      <c r="L56" s="341"/>
      <c r="M56" s="308"/>
      <c r="N56" s="292"/>
      <c r="O56" s="292"/>
      <c r="P56" s="292"/>
      <c r="Q56" s="338"/>
      <c r="R56" s="338"/>
      <c r="S56" s="338"/>
      <c r="T56" s="338"/>
      <c r="U56" s="338"/>
      <c r="V56" s="338"/>
      <c r="W56" s="338"/>
      <c r="X56" s="338"/>
      <c r="Y56" s="338"/>
      <c r="Z56" s="338"/>
      <c r="AA56" s="338"/>
      <c r="AB56" s="338"/>
      <c r="AC56" s="338"/>
      <c r="AD56" s="338"/>
      <c r="AE56" s="338"/>
      <c r="AF56" s="338"/>
      <c r="AG56" s="338"/>
      <c r="AH56" s="338"/>
      <c r="AI56" s="338"/>
      <c r="AJ56" s="338"/>
      <c r="AK56" s="338"/>
      <c r="AL56" s="338"/>
      <c r="AM56" s="338"/>
      <c r="AN56" s="338"/>
      <c r="AO56" s="338"/>
      <c r="AP56" s="338"/>
      <c r="AQ56" s="338"/>
      <c r="AR56" s="338"/>
      <c r="AS56" s="338"/>
      <c r="AT56" s="338"/>
      <c r="AU56" s="338"/>
      <c r="AV56" s="338"/>
    </row>
    <row r="57" spans="2:48" x14ac:dyDescent="0.25">
      <c r="B57" s="338"/>
      <c r="C57" s="338"/>
      <c r="D57" s="338"/>
      <c r="E57" s="338"/>
      <c r="F57" s="338"/>
      <c r="G57" s="339"/>
      <c r="H57" s="342"/>
      <c r="I57" s="341"/>
      <c r="J57" s="339"/>
      <c r="K57" s="342"/>
      <c r="L57" s="341"/>
      <c r="M57" s="308"/>
      <c r="N57" s="292"/>
      <c r="O57" s="292"/>
      <c r="P57" s="292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8"/>
      <c r="AL57" s="338"/>
      <c r="AM57" s="338"/>
      <c r="AN57" s="338"/>
      <c r="AO57" s="338"/>
      <c r="AP57" s="338"/>
      <c r="AQ57" s="338"/>
      <c r="AR57" s="338"/>
      <c r="AS57" s="338"/>
      <c r="AT57" s="338"/>
      <c r="AU57" s="338"/>
      <c r="AV57" s="338"/>
    </row>
    <row r="58" spans="2:48" x14ac:dyDescent="0.25">
      <c r="B58" s="338"/>
      <c r="C58" s="338"/>
      <c r="D58" s="338"/>
      <c r="E58" s="338"/>
      <c r="F58" s="338"/>
      <c r="G58" s="339"/>
      <c r="H58" s="342"/>
      <c r="I58" s="341"/>
      <c r="J58" s="339"/>
      <c r="K58" s="342"/>
      <c r="L58" s="341"/>
      <c r="M58" s="308"/>
      <c r="N58" s="292"/>
      <c r="O58" s="292"/>
      <c r="P58" s="292"/>
      <c r="Q58" s="338"/>
      <c r="R58" s="338"/>
      <c r="S58" s="338"/>
      <c r="T58" s="338"/>
      <c r="U58" s="338"/>
      <c r="V58" s="338"/>
      <c r="W58" s="338"/>
      <c r="X58" s="338"/>
      <c r="Y58" s="338"/>
      <c r="Z58" s="338"/>
      <c r="AA58" s="338"/>
      <c r="AB58" s="338"/>
      <c r="AC58" s="338"/>
      <c r="AD58" s="338"/>
      <c r="AE58" s="338"/>
      <c r="AF58" s="338"/>
      <c r="AG58" s="338"/>
      <c r="AH58" s="338"/>
      <c r="AI58" s="338"/>
      <c r="AJ58" s="338"/>
      <c r="AK58" s="338"/>
      <c r="AL58" s="338"/>
      <c r="AM58" s="338"/>
      <c r="AN58" s="338"/>
      <c r="AO58" s="338"/>
      <c r="AP58" s="338"/>
      <c r="AQ58" s="338"/>
      <c r="AR58" s="338"/>
      <c r="AS58" s="338"/>
      <c r="AT58" s="338"/>
      <c r="AU58" s="338"/>
      <c r="AV58" s="338"/>
    </row>
    <row r="59" spans="2:48" x14ac:dyDescent="0.25">
      <c r="B59" s="338"/>
      <c r="C59" s="338"/>
      <c r="D59" s="338"/>
      <c r="E59" s="338"/>
      <c r="F59" s="338"/>
      <c r="G59" s="339"/>
      <c r="H59" s="342"/>
      <c r="I59" s="341"/>
      <c r="J59" s="339"/>
      <c r="K59" s="342"/>
      <c r="L59" s="341"/>
      <c r="M59" s="308"/>
      <c r="N59" s="292"/>
      <c r="O59" s="292"/>
      <c r="P59" s="292"/>
      <c r="Q59" s="338"/>
      <c r="R59" s="338"/>
      <c r="S59" s="338"/>
      <c r="T59" s="338"/>
      <c r="U59" s="338"/>
      <c r="V59" s="338"/>
      <c r="W59" s="338"/>
      <c r="X59" s="338"/>
      <c r="Y59" s="338"/>
      <c r="Z59" s="338"/>
      <c r="AA59" s="338"/>
      <c r="AB59" s="338"/>
      <c r="AC59" s="338"/>
      <c r="AD59" s="338"/>
      <c r="AE59" s="338"/>
      <c r="AF59" s="338"/>
      <c r="AG59" s="338"/>
      <c r="AH59" s="338"/>
      <c r="AI59" s="338"/>
      <c r="AJ59" s="338"/>
      <c r="AK59" s="338"/>
      <c r="AL59" s="338"/>
      <c r="AM59" s="338"/>
      <c r="AN59" s="338"/>
      <c r="AO59" s="338"/>
      <c r="AP59" s="338"/>
      <c r="AQ59" s="338"/>
      <c r="AR59" s="338"/>
      <c r="AS59" s="338"/>
      <c r="AT59" s="338"/>
      <c r="AU59" s="338"/>
      <c r="AV59" s="338"/>
    </row>
    <row r="60" spans="2:48" x14ac:dyDescent="0.25">
      <c r="B60" s="338"/>
      <c r="C60" s="338"/>
      <c r="D60" s="338"/>
      <c r="E60" s="338"/>
      <c r="F60" s="338"/>
      <c r="G60" s="339"/>
      <c r="H60" s="342"/>
      <c r="I60" s="341"/>
      <c r="J60" s="339"/>
      <c r="K60" s="342"/>
      <c r="L60" s="341"/>
      <c r="M60" s="308"/>
      <c r="N60" s="292"/>
      <c r="O60" s="292"/>
      <c r="P60" s="292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8"/>
      <c r="AB60" s="338"/>
      <c r="AC60" s="338"/>
      <c r="AD60" s="338"/>
      <c r="AE60" s="338"/>
      <c r="AF60" s="338"/>
      <c r="AG60" s="338"/>
      <c r="AH60" s="338"/>
      <c r="AI60" s="338"/>
      <c r="AJ60" s="338"/>
      <c r="AK60" s="338"/>
      <c r="AL60" s="338"/>
      <c r="AM60" s="338"/>
      <c r="AN60" s="338"/>
      <c r="AO60" s="338"/>
      <c r="AP60" s="338"/>
      <c r="AQ60" s="338"/>
      <c r="AR60" s="338"/>
      <c r="AS60" s="338"/>
      <c r="AT60" s="338"/>
      <c r="AU60" s="338"/>
      <c r="AV60" s="338"/>
    </row>
    <row r="61" spans="2:48" x14ac:dyDescent="0.25">
      <c r="B61" s="338"/>
      <c r="C61" s="338"/>
      <c r="D61" s="338"/>
      <c r="E61" s="338"/>
      <c r="F61" s="338"/>
      <c r="G61" s="339"/>
      <c r="H61" s="342"/>
      <c r="I61" s="341"/>
      <c r="J61" s="339"/>
      <c r="K61" s="342"/>
      <c r="L61" s="341"/>
      <c r="M61" s="308"/>
      <c r="N61" s="292"/>
      <c r="O61" s="292"/>
      <c r="P61" s="292"/>
      <c r="Q61" s="338"/>
      <c r="R61" s="338"/>
      <c r="S61" s="338"/>
      <c r="T61" s="338"/>
      <c r="U61" s="338"/>
      <c r="V61" s="338"/>
      <c r="W61" s="338"/>
      <c r="X61" s="338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8"/>
      <c r="AJ61" s="338"/>
      <c r="AK61" s="338"/>
      <c r="AL61" s="338"/>
      <c r="AM61" s="338"/>
      <c r="AN61" s="338"/>
      <c r="AO61" s="338"/>
      <c r="AP61" s="338"/>
      <c r="AQ61" s="338"/>
      <c r="AR61" s="338"/>
      <c r="AS61" s="338"/>
      <c r="AT61" s="338"/>
      <c r="AU61" s="338"/>
      <c r="AV61" s="338"/>
    </row>
    <row r="62" spans="2:48" x14ac:dyDescent="0.25">
      <c r="B62" s="338"/>
      <c r="C62" s="338"/>
      <c r="D62" s="338"/>
      <c r="E62" s="338"/>
      <c r="F62" s="338"/>
      <c r="G62" s="339"/>
      <c r="H62" s="342"/>
      <c r="I62" s="341"/>
      <c r="J62" s="339"/>
      <c r="K62" s="342"/>
      <c r="L62" s="341"/>
      <c r="M62" s="308"/>
      <c r="N62" s="292"/>
      <c r="O62" s="292"/>
      <c r="P62" s="292"/>
      <c r="Q62" s="338"/>
      <c r="R62" s="338"/>
      <c r="S62" s="338"/>
      <c r="T62" s="338"/>
      <c r="U62" s="338"/>
      <c r="V62" s="338"/>
      <c r="W62" s="338"/>
      <c r="X62" s="338"/>
      <c r="Y62" s="338"/>
      <c r="Z62" s="338"/>
      <c r="AA62" s="338"/>
      <c r="AB62" s="338"/>
      <c r="AC62" s="338"/>
      <c r="AD62" s="338"/>
      <c r="AE62" s="338"/>
      <c r="AF62" s="338"/>
      <c r="AG62" s="338"/>
      <c r="AH62" s="338"/>
      <c r="AI62" s="338"/>
      <c r="AJ62" s="338"/>
      <c r="AK62" s="338"/>
      <c r="AL62" s="338"/>
      <c r="AM62" s="338"/>
      <c r="AN62" s="338"/>
      <c r="AO62" s="338"/>
      <c r="AP62" s="338"/>
      <c r="AQ62" s="338"/>
      <c r="AR62" s="338"/>
      <c r="AS62" s="338"/>
      <c r="AT62" s="338"/>
      <c r="AU62" s="338"/>
      <c r="AV62" s="338"/>
    </row>
    <row r="63" spans="2:48" x14ac:dyDescent="0.25">
      <c r="B63" s="338"/>
      <c r="C63" s="338"/>
      <c r="D63" s="338"/>
      <c r="E63" s="338"/>
      <c r="F63" s="338"/>
      <c r="G63" s="339"/>
      <c r="H63" s="342"/>
      <c r="I63" s="341"/>
      <c r="J63" s="339"/>
      <c r="K63" s="342"/>
      <c r="L63" s="341"/>
      <c r="M63" s="308"/>
      <c r="N63" s="292"/>
      <c r="O63" s="292"/>
      <c r="P63" s="292"/>
      <c r="Q63" s="338"/>
      <c r="R63" s="338"/>
      <c r="S63" s="338"/>
      <c r="T63" s="338"/>
      <c r="U63" s="338"/>
      <c r="V63" s="338"/>
      <c r="W63" s="338"/>
      <c r="X63" s="338"/>
      <c r="Y63" s="338"/>
      <c r="Z63" s="338"/>
      <c r="AA63" s="338"/>
      <c r="AB63" s="338"/>
      <c r="AC63" s="338"/>
      <c r="AD63" s="338"/>
      <c r="AE63" s="338"/>
      <c r="AF63" s="338"/>
      <c r="AG63" s="338"/>
      <c r="AH63" s="338"/>
      <c r="AI63" s="338"/>
      <c r="AJ63" s="338"/>
      <c r="AK63" s="338"/>
      <c r="AL63" s="338"/>
      <c r="AM63" s="338"/>
      <c r="AN63" s="338"/>
      <c r="AO63" s="338"/>
      <c r="AP63" s="338"/>
      <c r="AQ63" s="338"/>
      <c r="AR63" s="338"/>
      <c r="AS63" s="338"/>
      <c r="AT63" s="338"/>
      <c r="AU63" s="338"/>
      <c r="AV63" s="338"/>
    </row>
    <row r="64" spans="2:48" x14ac:dyDescent="0.25">
      <c r="B64" s="338"/>
      <c r="C64" s="338"/>
      <c r="D64" s="338"/>
      <c r="E64" s="338"/>
      <c r="F64" s="338"/>
      <c r="G64" s="339"/>
      <c r="H64" s="342"/>
      <c r="I64" s="341"/>
      <c r="J64" s="339"/>
      <c r="K64" s="342"/>
      <c r="L64" s="341"/>
      <c r="M64" s="308"/>
      <c r="N64" s="292"/>
      <c r="O64" s="292"/>
      <c r="P64" s="292"/>
      <c r="Q64" s="338"/>
      <c r="R64" s="338"/>
      <c r="S64" s="338"/>
      <c r="T64" s="338"/>
      <c r="U64" s="338"/>
      <c r="V64" s="338"/>
      <c r="W64" s="338"/>
      <c r="X64" s="338"/>
      <c r="Y64" s="338"/>
      <c r="Z64" s="338"/>
      <c r="AA64" s="338"/>
      <c r="AB64" s="338"/>
      <c r="AC64" s="338"/>
      <c r="AD64" s="338"/>
      <c r="AE64" s="338"/>
      <c r="AF64" s="338"/>
      <c r="AG64" s="338"/>
      <c r="AH64" s="338"/>
      <c r="AI64" s="338"/>
      <c r="AJ64" s="338"/>
      <c r="AK64" s="338"/>
      <c r="AL64" s="338"/>
      <c r="AM64" s="338"/>
      <c r="AN64" s="338"/>
      <c r="AO64" s="338"/>
      <c r="AP64" s="338"/>
      <c r="AQ64" s="338"/>
      <c r="AR64" s="338"/>
      <c r="AS64" s="338"/>
      <c r="AT64" s="338"/>
      <c r="AU64" s="338"/>
      <c r="AV64" s="338"/>
    </row>
    <row r="65" spans="2:48" x14ac:dyDescent="0.25">
      <c r="B65" s="338"/>
      <c r="C65" s="338"/>
      <c r="D65" s="338"/>
      <c r="E65" s="338"/>
      <c r="F65" s="338"/>
      <c r="G65" s="339"/>
      <c r="H65" s="342"/>
      <c r="I65" s="341"/>
      <c r="J65" s="339"/>
      <c r="K65" s="342"/>
      <c r="L65" s="341"/>
      <c r="M65" s="308"/>
      <c r="N65" s="292"/>
      <c r="O65" s="292"/>
      <c r="P65" s="292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  <c r="AD65" s="338"/>
      <c r="AE65" s="338"/>
      <c r="AF65" s="338"/>
      <c r="AG65" s="338"/>
      <c r="AH65" s="338"/>
      <c r="AI65" s="338"/>
      <c r="AJ65" s="338"/>
      <c r="AK65" s="338"/>
      <c r="AL65" s="338"/>
      <c r="AM65" s="338"/>
      <c r="AN65" s="338"/>
      <c r="AO65" s="338"/>
      <c r="AP65" s="338"/>
      <c r="AQ65" s="338"/>
      <c r="AR65" s="338"/>
      <c r="AS65" s="338"/>
      <c r="AT65" s="338"/>
      <c r="AU65" s="338"/>
      <c r="AV65" s="338"/>
    </row>
    <row r="66" spans="2:48" x14ac:dyDescent="0.25">
      <c r="B66" s="338"/>
      <c r="C66" s="338"/>
      <c r="D66" s="338"/>
      <c r="E66" s="338"/>
      <c r="F66" s="338"/>
      <c r="G66" s="339"/>
      <c r="H66" s="342"/>
      <c r="I66" s="341"/>
      <c r="J66" s="339"/>
      <c r="K66" s="342"/>
      <c r="L66" s="341"/>
      <c r="M66" s="308"/>
      <c r="N66" s="292"/>
      <c r="O66" s="292"/>
      <c r="P66" s="292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  <c r="AD66" s="338"/>
      <c r="AE66" s="338"/>
      <c r="AF66" s="338"/>
      <c r="AG66" s="338"/>
      <c r="AH66" s="338"/>
      <c r="AI66" s="338"/>
      <c r="AJ66" s="338"/>
      <c r="AK66" s="338"/>
      <c r="AL66" s="338"/>
      <c r="AM66" s="338"/>
      <c r="AN66" s="338"/>
      <c r="AO66" s="338"/>
      <c r="AP66" s="338"/>
      <c r="AQ66" s="338"/>
      <c r="AR66" s="338"/>
      <c r="AS66" s="338"/>
      <c r="AT66" s="338"/>
      <c r="AU66" s="338"/>
      <c r="AV66" s="338"/>
    </row>
    <row r="67" spans="2:48" x14ac:dyDescent="0.25">
      <c r="B67" s="338"/>
      <c r="C67" s="338"/>
      <c r="D67" s="338"/>
      <c r="E67" s="338"/>
      <c r="F67" s="338"/>
      <c r="G67" s="339"/>
      <c r="H67" s="342"/>
      <c r="I67" s="341"/>
      <c r="J67" s="339"/>
      <c r="K67" s="342"/>
      <c r="L67" s="341"/>
      <c r="M67" s="308"/>
      <c r="N67" s="292"/>
      <c r="O67" s="292"/>
      <c r="P67" s="292"/>
      <c r="Q67" s="338"/>
      <c r="R67" s="338"/>
      <c r="S67" s="338"/>
      <c r="T67" s="338"/>
      <c r="U67" s="338"/>
      <c r="V67" s="338"/>
      <c r="W67" s="338"/>
      <c r="X67" s="338"/>
      <c r="Y67" s="338"/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8"/>
      <c r="AK67" s="338"/>
      <c r="AL67" s="338"/>
      <c r="AM67" s="338"/>
      <c r="AN67" s="338"/>
      <c r="AO67" s="338"/>
      <c r="AP67" s="338"/>
      <c r="AQ67" s="338"/>
      <c r="AR67" s="338"/>
      <c r="AS67" s="338"/>
      <c r="AT67" s="338"/>
      <c r="AU67" s="338"/>
      <c r="AV67" s="338"/>
    </row>
    <row r="68" spans="2:48" x14ac:dyDescent="0.25">
      <c r="B68" s="338"/>
      <c r="C68" s="338"/>
      <c r="D68" s="338"/>
      <c r="E68" s="338"/>
      <c r="F68" s="338"/>
      <c r="G68" s="339"/>
      <c r="H68" s="342"/>
      <c r="I68" s="341"/>
      <c r="J68" s="339"/>
      <c r="K68" s="342"/>
      <c r="L68" s="341"/>
      <c r="M68" s="308"/>
      <c r="N68" s="292"/>
      <c r="O68" s="292"/>
      <c r="P68" s="292"/>
      <c r="Q68" s="338"/>
      <c r="R68" s="338"/>
      <c r="S68" s="338"/>
      <c r="T68" s="338"/>
      <c r="U68" s="338"/>
      <c r="V68" s="338"/>
      <c r="W68" s="338"/>
      <c r="X68" s="338"/>
      <c r="Y68" s="338"/>
      <c r="Z68" s="338"/>
      <c r="AA68" s="338"/>
      <c r="AB68" s="338"/>
      <c r="AC68" s="338"/>
      <c r="AD68" s="338"/>
      <c r="AE68" s="338"/>
      <c r="AF68" s="338"/>
      <c r="AG68" s="338"/>
      <c r="AH68" s="338"/>
      <c r="AI68" s="338"/>
      <c r="AJ68" s="338"/>
      <c r="AK68" s="338"/>
      <c r="AL68" s="338"/>
      <c r="AM68" s="338"/>
      <c r="AN68" s="338"/>
      <c r="AO68" s="338"/>
      <c r="AP68" s="338"/>
      <c r="AQ68" s="338"/>
      <c r="AR68" s="338"/>
      <c r="AS68" s="338"/>
      <c r="AT68" s="338"/>
      <c r="AU68" s="338"/>
      <c r="AV68" s="338"/>
    </row>
    <row r="69" spans="2:48" x14ac:dyDescent="0.25">
      <c r="B69" s="338"/>
      <c r="C69" s="338"/>
      <c r="D69" s="338"/>
      <c r="E69" s="338"/>
      <c r="F69" s="338"/>
      <c r="G69" s="339"/>
      <c r="H69" s="342"/>
      <c r="I69" s="341"/>
      <c r="J69" s="339"/>
      <c r="K69" s="342"/>
      <c r="L69" s="341"/>
      <c r="M69" s="308"/>
      <c r="N69" s="292"/>
      <c r="O69" s="292"/>
      <c r="P69" s="292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8"/>
      <c r="AC69" s="338"/>
      <c r="AD69" s="338"/>
      <c r="AE69" s="338"/>
      <c r="AF69" s="338"/>
      <c r="AG69" s="338"/>
      <c r="AH69" s="338"/>
      <c r="AI69" s="338"/>
      <c r="AJ69" s="338"/>
      <c r="AK69" s="338"/>
      <c r="AL69" s="338"/>
      <c r="AM69" s="338"/>
      <c r="AN69" s="338"/>
      <c r="AO69" s="338"/>
      <c r="AP69" s="338"/>
      <c r="AQ69" s="338"/>
      <c r="AR69" s="338"/>
      <c r="AS69" s="338"/>
      <c r="AT69" s="338"/>
      <c r="AU69" s="338"/>
      <c r="AV69" s="338"/>
    </row>
    <row r="70" spans="2:48" x14ac:dyDescent="0.25">
      <c r="B70" s="338"/>
      <c r="C70" s="338"/>
      <c r="D70" s="338"/>
      <c r="E70" s="338"/>
      <c r="F70" s="338"/>
      <c r="G70" s="339"/>
      <c r="H70" s="342"/>
      <c r="I70" s="341"/>
      <c r="J70" s="339"/>
      <c r="K70" s="342"/>
      <c r="L70" s="341"/>
      <c r="M70" s="308"/>
      <c r="N70" s="292"/>
      <c r="O70" s="292"/>
      <c r="P70" s="292"/>
      <c r="Q70" s="338"/>
      <c r="R70" s="338"/>
      <c r="S70" s="338"/>
      <c r="T70" s="338"/>
      <c r="U70" s="338"/>
      <c r="V70" s="338"/>
      <c r="W70" s="338"/>
      <c r="X70" s="338"/>
      <c r="Y70" s="338"/>
      <c r="Z70" s="338"/>
      <c r="AA70" s="338"/>
      <c r="AB70" s="338"/>
      <c r="AC70" s="338"/>
      <c r="AD70" s="338"/>
      <c r="AE70" s="338"/>
      <c r="AF70" s="338"/>
      <c r="AG70" s="338"/>
      <c r="AH70" s="338"/>
      <c r="AI70" s="338"/>
      <c r="AJ70" s="338"/>
      <c r="AK70" s="338"/>
      <c r="AL70" s="338"/>
      <c r="AM70" s="338"/>
      <c r="AN70" s="338"/>
      <c r="AO70" s="338"/>
      <c r="AP70" s="338"/>
      <c r="AQ70" s="338"/>
      <c r="AR70" s="338"/>
      <c r="AS70" s="338"/>
      <c r="AT70" s="338"/>
      <c r="AU70" s="338"/>
      <c r="AV70" s="338"/>
    </row>
    <row r="71" spans="2:48" x14ac:dyDescent="0.25">
      <c r="B71" s="338"/>
      <c r="C71" s="338"/>
      <c r="D71" s="338"/>
      <c r="E71" s="338"/>
      <c r="F71" s="338"/>
      <c r="G71" s="339"/>
      <c r="H71" s="342"/>
      <c r="I71" s="341"/>
      <c r="J71" s="339"/>
      <c r="K71" s="342"/>
      <c r="L71" s="341"/>
      <c r="M71" s="308"/>
      <c r="N71" s="292"/>
      <c r="O71" s="292"/>
      <c r="P71" s="292"/>
      <c r="Q71" s="338"/>
      <c r="R71" s="338"/>
      <c r="S71" s="338"/>
      <c r="T71" s="338"/>
      <c r="U71" s="338"/>
      <c r="V71" s="338"/>
      <c r="W71" s="338"/>
      <c r="X71" s="338"/>
      <c r="Y71" s="338"/>
      <c r="Z71" s="338"/>
      <c r="AA71" s="338"/>
      <c r="AB71" s="338"/>
      <c r="AC71" s="338"/>
      <c r="AD71" s="338"/>
      <c r="AE71" s="338"/>
      <c r="AF71" s="338"/>
      <c r="AG71" s="338"/>
      <c r="AH71" s="338"/>
      <c r="AI71" s="338"/>
      <c r="AJ71" s="338"/>
      <c r="AK71" s="338"/>
      <c r="AL71" s="338"/>
      <c r="AM71" s="338"/>
      <c r="AN71" s="338"/>
      <c r="AO71" s="338"/>
      <c r="AP71" s="338"/>
      <c r="AQ71" s="338"/>
      <c r="AR71" s="338"/>
      <c r="AS71" s="338"/>
      <c r="AT71" s="338"/>
      <c r="AU71" s="338"/>
      <c r="AV71" s="338"/>
    </row>
    <row r="72" spans="2:48" x14ac:dyDescent="0.25">
      <c r="B72" s="338"/>
      <c r="C72" s="338"/>
      <c r="D72" s="338"/>
      <c r="E72" s="338"/>
      <c r="F72" s="338"/>
      <c r="G72" s="339"/>
      <c r="H72" s="342"/>
      <c r="I72" s="341"/>
      <c r="J72" s="339"/>
      <c r="K72" s="342"/>
      <c r="L72" s="341"/>
      <c r="M72" s="308"/>
      <c r="N72" s="292"/>
      <c r="O72" s="292"/>
      <c r="P72" s="292"/>
      <c r="Q72" s="338"/>
      <c r="R72" s="338"/>
      <c r="S72" s="338"/>
      <c r="T72" s="338"/>
      <c r="U72" s="338"/>
      <c r="V72" s="338"/>
      <c r="W72" s="338"/>
      <c r="X72" s="338"/>
      <c r="Y72" s="338"/>
      <c r="Z72" s="338"/>
      <c r="AA72" s="338"/>
      <c r="AB72" s="338"/>
      <c r="AC72" s="338"/>
      <c r="AD72" s="338"/>
      <c r="AE72" s="338"/>
      <c r="AF72" s="338"/>
      <c r="AG72" s="338"/>
      <c r="AH72" s="338"/>
      <c r="AI72" s="338"/>
      <c r="AJ72" s="338"/>
      <c r="AK72" s="338"/>
      <c r="AL72" s="338"/>
      <c r="AM72" s="338"/>
      <c r="AN72" s="338"/>
      <c r="AO72" s="338"/>
      <c r="AP72" s="338"/>
      <c r="AQ72" s="338"/>
      <c r="AR72" s="338"/>
      <c r="AS72" s="338"/>
      <c r="AT72" s="338"/>
      <c r="AU72" s="338"/>
      <c r="AV72" s="338"/>
    </row>
    <row r="73" spans="2:48" x14ac:dyDescent="0.25">
      <c r="B73" s="338"/>
      <c r="C73" s="338"/>
      <c r="D73" s="338"/>
      <c r="E73" s="338"/>
      <c r="F73" s="338"/>
      <c r="G73" s="339"/>
      <c r="H73" s="342"/>
      <c r="I73" s="341"/>
      <c r="J73" s="339"/>
      <c r="K73" s="342"/>
      <c r="L73" s="341"/>
      <c r="M73" s="308"/>
      <c r="N73" s="292"/>
      <c r="O73" s="292"/>
      <c r="P73" s="292"/>
      <c r="Q73" s="338"/>
      <c r="R73" s="338"/>
      <c r="S73" s="338"/>
      <c r="T73" s="338"/>
      <c r="U73" s="338"/>
      <c r="V73" s="338"/>
      <c r="W73" s="338"/>
      <c r="X73" s="338"/>
      <c r="Y73" s="338"/>
      <c r="Z73" s="338"/>
      <c r="AA73" s="338"/>
      <c r="AB73" s="338"/>
      <c r="AC73" s="338"/>
      <c r="AD73" s="338"/>
      <c r="AE73" s="338"/>
      <c r="AF73" s="338"/>
      <c r="AG73" s="338"/>
      <c r="AH73" s="338"/>
      <c r="AI73" s="338"/>
      <c r="AJ73" s="338"/>
      <c r="AK73" s="338"/>
      <c r="AL73" s="338"/>
      <c r="AM73" s="338"/>
      <c r="AN73" s="338"/>
      <c r="AO73" s="338"/>
      <c r="AP73" s="338"/>
      <c r="AQ73" s="338"/>
      <c r="AR73" s="338"/>
      <c r="AS73" s="338"/>
      <c r="AT73" s="338"/>
      <c r="AU73" s="338"/>
      <c r="AV73" s="338"/>
    </row>
    <row r="74" spans="2:48" x14ac:dyDescent="0.25">
      <c r="B74" s="338"/>
      <c r="C74" s="338"/>
      <c r="D74" s="338"/>
      <c r="E74" s="338"/>
      <c r="F74" s="338"/>
      <c r="G74" s="339"/>
      <c r="H74" s="342"/>
      <c r="I74" s="341"/>
      <c r="J74" s="339"/>
      <c r="K74" s="342"/>
      <c r="L74" s="341"/>
      <c r="M74" s="308"/>
      <c r="N74" s="292"/>
      <c r="O74" s="292"/>
      <c r="P74" s="292"/>
      <c r="Q74" s="338"/>
      <c r="R74" s="338"/>
      <c r="S74" s="338"/>
      <c r="T74" s="338"/>
      <c r="U74" s="338"/>
      <c r="V74" s="338"/>
      <c r="W74" s="338"/>
      <c r="X74" s="338"/>
      <c r="Y74" s="338"/>
      <c r="Z74" s="338"/>
      <c r="AA74" s="338"/>
      <c r="AB74" s="338"/>
      <c r="AC74" s="338"/>
      <c r="AD74" s="338"/>
      <c r="AE74" s="338"/>
      <c r="AF74" s="338"/>
      <c r="AG74" s="338"/>
      <c r="AH74" s="338"/>
      <c r="AI74" s="338"/>
      <c r="AJ74" s="338"/>
      <c r="AK74" s="338"/>
      <c r="AL74" s="338"/>
      <c r="AM74" s="338"/>
      <c r="AN74" s="338"/>
      <c r="AO74" s="338"/>
      <c r="AP74" s="338"/>
      <c r="AQ74" s="338"/>
      <c r="AR74" s="338"/>
      <c r="AS74" s="338"/>
      <c r="AT74" s="338"/>
      <c r="AU74" s="338"/>
      <c r="AV74" s="338"/>
    </row>
    <row r="75" spans="2:48" x14ac:dyDescent="0.25">
      <c r="B75" s="338"/>
      <c r="C75" s="338"/>
      <c r="D75" s="338"/>
      <c r="E75" s="338"/>
      <c r="F75" s="338"/>
      <c r="G75" s="339"/>
      <c r="H75" s="342"/>
      <c r="I75" s="341"/>
      <c r="J75" s="339"/>
      <c r="K75" s="342"/>
      <c r="L75" s="341"/>
      <c r="M75" s="308"/>
      <c r="N75" s="292"/>
      <c r="O75" s="292"/>
      <c r="P75" s="292"/>
      <c r="Q75" s="338"/>
      <c r="R75" s="338"/>
      <c r="S75" s="338"/>
      <c r="T75" s="338"/>
      <c r="U75" s="338"/>
      <c r="V75" s="338"/>
      <c r="W75" s="338"/>
      <c r="X75" s="338"/>
      <c r="Y75" s="338"/>
      <c r="Z75" s="338"/>
      <c r="AA75" s="338"/>
      <c r="AB75" s="338"/>
      <c r="AC75" s="338"/>
      <c r="AD75" s="338"/>
      <c r="AE75" s="338"/>
      <c r="AF75" s="338"/>
      <c r="AG75" s="338"/>
      <c r="AH75" s="338"/>
      <c r="AI75" s="338"/>
      <c r="AJ75" s="338"/>
      <c r="AK75" s="338"/>
      <c r="AL75" s="338"/>
      <c r="AM75" s="338"/>
      <c r="AN75" s="338"/>
      <c r="AO75" s="338"/>
      <c r="AP75" s="338"/>
      <c r="AQ75" s="338"/>
      <c r="AR75" s="338"/>
      <c r="AS75" s="338"/>
      <c r="AT75" s="338"/>
      <c r="AU75" s="338"/>
      <c r="AV75" s="338"/>
    </row>
    <row r="76" spans="2:48" x14ac:dyDescent="0.25">
      <c r="B76" s="338"/>
      <c r="C76" s="338"/>
      <c r="D76" s="338"/>
      <c r="E76" s="338"/>
      <c r="F76" s="338"/>
      <c r="G76" s="339"/>
      <c r="H76" s="342"/>
      <c r="I76" s="341"/>
      <c r="J76" s="339"/>
      <c r="K76" s="342"/>
      <c r="L76" s="341"/>
      <c r="M76" s="308"/>
      <c r="N76" s="292"/>
      <c r="O76" s="292"/>
      <c r="P76" s="292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8"/>
      <c r="AC76" s="338"/>
      <c r="AD76" s="338"/>
      <c r="AE76" s="338"/>
      <c r="AF76" s="338"/>
      <c r="AG76" s="338"/>
      <c r="AH76" s="338"/>
      <c r="AI76" s="338"/>
      <c r="AJ76" s="338"/>
      <c r="AK76" s="338"/>
      <c r="AL76" s="338"/>
      <c r="AM76" s="338"/>
      <c r="AN76" s="338"/>
      <c r="AO76" s="338"/>
      <c r="AP76" s="338"/>
      <c r="AQ76" s="338"/>
      <c r="AR76" s="338"/>
      <c r="AS76" s="338"/>
      <c r="AT76" s="338"/>
      <c r="AU76" s="338"/>
      <c r="AV76" s="338"/>
    </row>
    <row r="77" spans="2:48" x14ac:dyDescent="0.25">
      <c r="B77" s="338"/>
      <c r="C77" s="338"/>
      <c r="D77" s="338"/>
      <c r="E77" s="338"/>
      <c r="F77" s="338"/>
      <c r="G77" s="339"/>
      <c r="H77" s="342"/>
      <c r="I77" s="341"/>
      <c r="J77" s="339"/>
      <c r="K77" s="342"/>
      <c r="L77" s="341"/>
      <c r="M77" s="308"/>
      <c r="N77" s="292"/>
      <c r="O77" s="292"/>
      <c r="P77" s="292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8"/>
      <c r="AM77" s="338"/>
      <c r="AN77" s="338"/>
      <c r="AO77" s="338"/>
      <c r="AP77" s="338"/>
      <c r="AQ77" s="338"/>
      <c r="AR77" s="338"/>
      <c r="AS77" s="338"/>
      <c r="AT77" s="338"/>
      <c r="AU77" s="338"/>
      <c r="AV77" s="338"/>
    </row>
    <row r="78" spans="2:48" x14ac:dyDescent="0.25">
      <c r="B78" s="338"/>
      <c r="C78" s="338"/>
      <c r="D78" s="338"/>
      <c r="E78" s="338"/>
      <c r="F78" s="338"/>
      <c r="G78" s="339"/>
      <c r="H78" s="342"/>
      <c r="I78" s="341"/>
      <c r="J78" s="339"/>
      <c r="K78" s="342"/>
      <c r="L78" s="341"/>
      <c r="M78" s="308"/>
      <c r="N78" s="292"/>
      <c r="O78" s="292"/>
      <c r="P78" s="292"/>
      <c r="Q78" s="338"/>
      <c r="R78" s="338"/>
      <c r="S78" s="338"/>
      <c r="T78" s="338"/>
      <c r="U78" s="338"/>
      <c r="V78" s="338"/>
      <c r="W78" s="338"/>
      <c r="X78" s="338"/>
      <c r="Y78" s="338"/>
      <c r="Z78" s="338"/>
      <c r="AA78" s="338"/>
      <c r="AB78" s="338"/>
      <c r="AC78" s="338"/>
      <c r="AD78" s="338"/>
      <c r="AE78" s="338"/>
      <c r="AF78" s="338"/>
      <c r="AG78" s="338"/>
      <c r="AH78" s="338"/>
      <c r="AI78" s="338"/>
      <c r="AJ78" s="338"/>
      <c r="AK78" s="338"/>
      <c r="AL78" s="338"/>
      <c r="AM78" s="338"/>
      <c r="AN78" s="338"/>
      <c r="AO78" s="338"/>
      <c r="AP78" s="338"/>
      <c r="AQ78" s="338"/>
      <c r="AR78" s="338"/>
      <c r="AS78" s="338"/>
      <c r="AT78" s="338"/>
      <c r="AU78" s="338"/>
      <c r="AV78" s="338"/>
    </row>
    <row r="79" spans="2:48" x14ac:dyDescent="0.25">
      <c r="B79" s="338"/>
      <c r="C79" s="338"/>
      <c r="D79" s="338"/>
      <c r="E79" s="338"/>
      <c r="F79" s="338"/>
      <c r="G79" s="339"/>
      <c r="H79" s="342"/>
      <c r="I79" s="341"/>
      <c r="J79" s="339"/>
      <c r="K79" s="342"/>
      <c r="L79" s="341"/>
      <c r="M79" s="308"/>
      <c r="N79" s="292"/>
      <c r="O79" s="292"/>
      <c r="P79" s="292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</row>
    <row r="80" spans="2:48" x14ac:dyDescent="0.25">
      <c r="B80" s="338"/>
      <c r="C80" s="338"/>
      <c r="D80" s="338"/>
      <c r="E80" s="338"/>
      <c r="F80" s="338"/>
      <c r="G80" s="339"/>
      <c r="H80" s="342"/>
      <c r="I80" s="341"/>
      <c r="J80" s="339"/>
      <c r="K80" s="342"/>
      <c r="L80" s="341"/>
      <c r="M80" s="308"/>
      <c r="N80" s="292"/>
      <c r="O80" s="292"/>
      <c r="P80" s="292"/>
      <c r="Q80" s="338"/>
      <c r="R80" s="338"/>
      <c r="S80" s="338"/>
      <c r="T80" s="338"/>
      <c r="U80" s="338"/>
      <c r="V80" s="338"/>
      <c r="W80" s="338"/>
      <c r="X80" s="338"/>
      <c r="Y80" s="338"/>
      <c r="Z80" s="338"/>
      <c r="AA80" s="338"/>
      <c r="AB80" s="338"/>
      <c r="AC80" s="338"/>
      <c r="AD80" s="338"/>
      <c r="AE80" s="338"/>
      <c r="AF80" s="338"/>
      <c r="AG80" s="338"/>
      <c r="AH80" s="338"/>
      <c r="AI80" s="338"/>
      <c r="AJ80" s="338"/>
      <c r="AK80" s="338"/>
      <c r="AL80" s="338"/>
      <c r="AM80" s="338"/>
      <c r="AN80" s="338"/>
      <c r="AO80" s="338"/>
      <c r="AP80" s="338"/>
      <c r="AQ80" s="338"/>
      <c r="AR80" s="338"/>
      <c r="AS80" s="338"/>
      <c r="AT80" s="338"/>
      <c r="AU80" s="338"/>
      <c r="AV80" s="338"/>
    </row>
    <row r="81" spans="2:48" x14ac:dyDescent="0.25">
      <c r="B81" s="338"/>
      <c r="C81" s="338"/>
      <c r="D81" s="338"/>
      <c r="E81" s="338"/>
      <c r="F81" s="338"/>
      <c r="G81" s="339"/>
      <c r="H81" s="342"/>
      <c r="I81" s="341"/>
      <c r="J81" s="339"/>
      <c r="K81" s="342"/>
      <c r="L81" s="341"/>
      <c r="M81" s="308"/>
      <c r="N81" s="292"/>
      <c r="O81" s="292"/>
      <c r="P81" s="292"/>
      <c r="Q81" s="338"/>
      <c r="R81" s="338"/>
      <c r="S81" s="338"/>
      <c r="T81" s="338"/>
      <c r="U81" s="338"/>
      <c r="V81" s="338"/>
      <c r="W81" s="338"/>
      <c r="X81" s="338"/>
      <c r="Y81" s="338"/>
      <c r="Z81" s="338"/>
      <c r="AA81" s="338"/>
      <c r="AB81" s="338"/>
      <c r="AC81" s="338"/>
      <c r="AD81" s="338"/>
      <c r="AE81" s="338"/>
      <c r="AF81" s="338"/>
      <c r="AG81" s="338"/>
      <c r="AH81" s="338"/>
      <c r="AI81" s="338"/>
      <c r="AJ81" s="338"/>
      <c r="AK81" s="338"/>
      <c r="AL81" s="338"/>
      <c r="AM81" s="338"/>
      <c r="AN81" s="338"/>
      <c r="AO81" s="338"/>
      <c r="AP81" s="338"/>
      <c r="AQ81" s="338"/>
      <c r="AR81" s="338"/>
      <c r="AS81" s="338"/>
      <c r="AT81" s="338"/>
      <c r="AU81" s="338"/>
      <c r="AV81" s="338"/>
    </row>
    <row r="82" spans="2:48" x14ac:dyDescent="0.25">
      <c r="B82" s="338"/>
      <c r="C82" s="338"/>
      <c r="D82" s="338"/>
      <c r="E82" s="338"/>
      <c r="F82" s="338"/>
      <c r="G82" s="339"/>
      <c r="H82" s="342"/>
      <c r="I82" s="341"/>
      <c r="J82" s="339"/>
      <c r="K82" s="342"/>
      <c r="L82" s="341"/>
      <c r="M82" s="308"/>
      <c r="N82" s="292"/>
      <c r="O82" s="292"/>
      <c r="P82" s="292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8"/>
      <c r="AT82" s="338"/>
      <c r="AU82" s="338"/>
      <c r="AV82" s="338"/>
    </row>
    <row r="83" spans="2:48" x14ac:dyDescent="0.25">
      <c r="B83" s="338"/>
      <c r="C83" s="338"/>
      <c r="D83" s="338"/>
      <c r="E83" s="338"/>
      <c r="F83" s="338"/>
      <c r="G83" s="339"/>
      <c r="H83" s="342"/>
      <c r="I83" s="341"/>
      <c r="J83" s="339"/>
      <c r="K83" s="342"/>
      <c r="L83" s="341"/>
      <c r="M83" s="308"/>
      <c r="N83" s="292"/>
      <c r="O83" s="292"/>
      <c r="P83" s="292"/>
      <c r="Q83" s="338"/>
      <c r="R83" s="338"/>
      <c r="S83" s="338"/>
      <c r="T83" s="338"/>
      <c r="U83" s="338"/>
      <c r="V83" s="338"/>
      <c r="W83" s="338"/>
      <c r="X83" s="338"/>
      <c r="Y83" s="338"/>
      <c r="Z83" s="338"/>
      <c r="AA83" s="338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338"/>
      <c r="AM83" s="338"/>
      <c r="AN83" s="338"/>
      <c r="AO83" s="338"/>
      <c r="AP83" s="338"/>
      <c r="AQ83" s="338"/>
      <c r="AR83" s="338"/>
      <c r="AS83" s="338"/>
      <c r="AT83" s="338"/>
      <c r="AU83" s="338"/>
      <c r="AV83" s="338"/>
    </row>
    <row r="84" spans="2:48" x14ac:dyDescent="0.25">
      <c r="B84" s="338"/>
      <c r="C84" s="338"/>
      <c r="D84" s="338"/>
      <c r="E84" s="338"/>
      <c r="F84" s="338"/>
      <c r="G84" s="339"/>
      <c r="H84" s="342"/>
      <c r="I84" s="341"/>
      <c r="J84" s="339"/>
      <c r="K84" s="342"/>
      <c r="L84" s="341"/>
      <c r="M84" s="308"/>
      <c r="N84" s="292"/>
      <c r="O84" s="292"/>
      <c r="P84" s="292"/>
      <c r="Q84" s="338"/>
      <c r="R84" s="338"/>
      <c r="S84" s="338"/>
      <c r="T84" s="338"/>
      <c r="U84" s="338"/>
      <c r="V84" s="338"/>
      <c r="W84" s="338"/>
      <c r="X84" s="338"/>
      <c r="Y84" s="338"/>
      <c r="Z84" s="338"/>
      <c r="AA84" s="338"/>
      <c r="AB84" s="338"/>
      <c r="AC84" s="338"/>
      <c r="AD84" s="338"/>
      <c r="AE84" s="338"/>
      <c r="AF84" s="338"/>
      <c r="AG84" s="338"/>
      <c r="AH84" s="338"/>
      <c r="AI84" s="338"/>
      <c r="AJ84" s="338"/>
      <c r="AK84" s="338"/>
      <c r="AL84" s="338"/>
      <c r="AM84" s="338"/>
      <c r="AN84" s="338"/>
      <c r="AO84" s="338"/>
      <c r="AP84" s="338"/>
      <c r="AQ84" s="338"/>
      <c r="AR84" s="338"/>
      <c r="AS84" s="338"/>
      <c r="AT84" s="338"/>
      <c r="AU84" s="338"/>
      <c r="AV84" s="338"/>
    </row>
    <row r="85" spans="2:48" x14ac:dyDescent="0.25">
      <c r="B85" s="338"/>
      <c r="C85" s="338"/>
      <c r="D85" s="338"/>
      <c r="E85" s="338"/>
      <c r="F85" s="338"/>
      <c r="G85" s="339"/>
      <c r="H85" s="342"/>
      <c r="I85" s="341"/>
      <c r="J85" s="339"/>
      <c r="K85" s="342"/>
      <c r="L85" s="341"/>
      <c r="M85" s="308"/>
      <c r="N85" s="292"/>
      <c r="O85" s="292"/>
      <c r="P85" s="292"/>
      <c r="Q85" s="338"/>
      <c r="R85" s="338"/>
      <c r="S85" s="338"/>
      <c r="T85" s="338"/>
      <c r="U85" s="338"/>
      <c r="V85" s="338"/>
      <c r="W85" s="338"/>
      <c r="X85" s="338"/>
      <c r="Y85" s="338"/>
      <c r="Z85" s="338"/>
      <c r="AA85" s="338"/>
      <c r="AB85" s="338"/>
      <c r="AC85" s="338"/>
      <c r="AD85" s="338"/>
      <c r="AE85" s="338"/>
      <c r="AF85" s="338"/>
      <c r="AG85" s="338"/>
      <c r="AH85" s="338"/>
      <c r="AI85" s="338"/>
      <c r="AJ85" s="338"/>
      <c r="AK85" s="338"/>
      <c r="AL85" s="338"/>
      <c r="AM85" s="338"/>
      <c r="AN85" s="338"/>
      <c r="AO85" s="338"/>
      <c r="AP85" s="338"/>
      <c r="AQ85" s="338"/>
      <c r="AR85" s="338"/>
      <c r="AS85" s="338"/>
      <c r="AT85" s="338"/>
      <c r="AU85" s="338"/>
      <c r="AV85" s="338"/>
    </row>
    <row r="86" spans="2:48" x14ac:dyDescent="0.25">
      <c r="B86" s="338"/>
      <c r="C86" s="338"/>
      <c r="D86" s="338"/>
      <c r="E86" s="338"/>
      <c r="F86" s="338"/>
      <c r="G86" s="339"/>
      <c r="H86" s="342"/>
      <c r="I86" s="341"/>
      <c r="J86" s="339"/>
      <c r="K86" s="342"/>
      <c r="L86" s="341"/>
      <c r="M86" s="308"/>
      <c r="N86" s="292"/>
      <c r="O86" s="292"/>
      <c r="P86" s="292"/>
      <c r="Q86" s="338"/>
      <c r="R86" s="338"/>
      <c r="S86" s="338"/>
      <c r="T86" s="338"/>
      <c r="U86" s="338"/>
      <c r="V86" s="338"/>
      <c r="W86" s="338"/>
      <c r="X86" s="338"/>
      <c r="Y86" s="338"/>
      <c r="Z86" s="338"/>
      <c r="AA86" s="338"/>
      <c r="AB86" s="338"/>
      <c r="AC86" s="338"/>
      <c r="AD86" s="338"/>
      <c r="AE86" s="338"/>
      <c r="AF86" s="338"/>
      <c r="AG86" s="338"/>
      <c r="AH86" s="338"/>
      <c r="AI86" s="338"/>
      <c r="AJ86" s="338"/>
      <c r="AK86" s="338"/>
      <c r="AL86" s="338"/>
      <c r="AM86" s="338"/>
      <c r="AN86" s="338"/>
      <c r="AO86" s="338"/>
      <c r="AP86" s="338"/>
      <c r="AQ86" s="338"/>
      <c r="AR86" s="338"/>
      <c r="AS86" s="338"/>
      <c r="AT86" s="338"/>
      <c r="AU86" s="338"/>
      <c r="AV86" s="338"/>
    </row>
    <row r="87" spans="2:48" x14ac:dyDescent="0.25">
      <c r="B87" s="338"/>
      <c r="C87" s="338"/>
      <c r="D87" s="338"/>
      <c r="E87" s="338"/>
      <c r="F87" s="338"/>
      <c r="G87" s="339"/>
      <c r="H87" s="342"/>
      <c r="I87" s="341"/>
      <c r="J87" s="339"/>
      <c r="K87" s="342"/>
      <c r="L87" s="341"/>
      <c r="M87" s="308"/>
      <c r="N87" s="292"/>
      <c r="O87" s="292"/>
      <c r="P87" s="292"/>
      <c r="Q87" s="338"/>
      <c r="R87" s="338"/>
      <c r="S87" s="338"/>
      <c r="T87" s="338"/>
      <c r="U87" s="338"/>
      <c r="V87" s="338"/>
      <c r="W87" s="338"/>
      <c r="X87" s="338"/>
      <c r="Y87" s="338"/>
      <c r="Z87" s="338"/>
      <c r="AA87" s="338"/>
      <c r="AB87" s="338"/>
      <c r="AC87" s="338"/>
      <c r="AD87" s="338"/>
      <c r="AE87" s="338"/>
      <c r="AF87" s="338"/>
      <c r="AG87" s="338"/>
      <c r="AH87" s="338"/>
      <c r="AI87" s="338"/>
      <c r="AJ87" s="338"/>
      <c r="AK87" s="338"/>
      <c r="AL87" s="338"/>
      <c r="AM87" s="338"/>
      <c r="AN87" s="338"/>
      <c r="AO87" s="338"/>
      <c r="AP87" s="338"/>
      <c r="AQ87" s="338"/>
      <c r="AR87" s="338"/>
      <c r="AS87" s="338"/>
      <c r="AT87" s="338"/>
      <c r="AU87" s="338"/>
      <c r="AV87" s="338"/>
    </row>
    <row r="88" spans="2:48" x14ac:dyDescent="0.25">
      <c r="B88" s="338"/>
      <c r="C88" s="338"/>
      <c r="D88" s="338"/>
      <c r="E88" s="338"/>
      <c r="F88" s="338"/>
      <c r="G88" s="339"/>
      <c r="H88" s="342"/>
      <c r="I88" s="341"/>
      <c r="J88" s="339"/>
      <c r="K88" s="342"/>
      <c r="L88" s="341"/>
      <c r="M88" s="308"/>
      <c r="N88" s="292"/>
      <c r="O88" s="292"/>
      <c r="P88" s="292"/>
      <c r="Q88" s="338"/>
      <c r="R88" s="338"/>
      <c r="S88" s="338"/>
      <c r="T88" s="338"/>
      <c r="U88" s="338"/>
      <c r="V88" s="338"/>
      <c r="W88" s="338"/>
      <c r="X88" s="338"/>
      <c r="Y88" s="338"/>
      <c r="Z88" s="338"/>
      <c r="AA88" s="338"/>
      <c r="AB88" s="338"/>
      <c r="AC88" s="338"/>
      <c r="AD88" s="338"/>
      <c r="AE88" s="338"/>
      <c r="AF88" s="338"/>
      <c r="AG88" s="338"/>
      <c r="AH88" s="338"/>
      <c r="AI88" s="338"/>
      <c r="AJ88" s="338"/>
      <c r="AK88" s="338"/>
      <c r="AL88" s="338"/>
      <c r="AM88" s="338"/>
      <c r="AN88" s="338"/>
      <c r="AO88" s="338"/>
      <c r="AP88" s="338"/>
      <c r="AQ88" s="338"/>
      <c r="AR88" s="338"/>
      <c r="AS88" s="338"/>
      <c r="AT88" s="338"/>
      <c r="AU88" s="338"/>
      <c r="AV88" s="338"/>
    </row>
    <row r="89" spans="2:48" x14ac:dyDescent="0.25">
      <c r="B89" s="338"/>
      <c r="C89" s="338"/>
      <c r="D89" s="338"/>
      <c r="E89" s="338"/>
      <c r="F89" s="338"/>
      <c r="G89" s="339"/>
      <c r="H89" s="342"/>
      <c r="I89" s="341"/>
      <c r="J89" s="339"/>
      <c r="K89" s="342"/>
      <c r="L89" s="341"/>
      <c r="M89" s="308"/>
      <c r="N89" s="292"/>
      <c r="O89" s="292"/>
      <c r="P89" s="292"/>
      <c r="Q89" s="338"/>
      <c r="R89" s="338"/>
      <c r="S89" s="338"/>
      <c r="T89" s="338"/>
      <c r="U89" s="338"/>
      <c r="V89" s="338"/>
      <c r="W89" s="338"/>
      <c r="X89" s="338"/>
      <c r="Y89" s="338"/>
      <c r="Z89" s="338"/>
      <c r="AA89" s="338"/>
      <c r="AB89" s="338"/>
      <c r="AC89" s="338"/>
      <c r="AD89" s="338"/>
      <c r="AE89" s="338"/>
      <c r="AF89" s="338"/>
      <c r="AG89" s="338"/>
      <c r="AH89" s="338"/>
      <c r="AI89" s="338"/>
      <c r="AJ89" s="338"/>
      <c r="AK89" s="338"/>
      <c r="AL89" s="338"/>
      <c r="AM89" s="338"/>
      <c r="AN89" s="338"/>
      <c r="AO89" s="338"/>
      <c r="AP89" s="338"/>
      <c r="AQ89" s="338"/>
      <c r="AR89" s="338"/>
      <c r="AS89" s="338"/>
      <c r="AT89" s="338"/>
      <c r="AU89" s="338"/>
      <c r="AV89" s="338"/>
    </row>
    <row r="90" spans="2:48" x14ac:dyDescent="0.25">
      <c r="B90" s="338"/>
      <c r="C90" s="338"/>
      <c r="D90" s="338"/>
      <c r="E90" s="338"/>
      <c r="F90" s="338"/>
      <c r="G90" s="339"/>
      <c r="H90" s="342"/>
      <c r="I90" s="341"/>
      <c r="J90" s="339"/>
      <c r="K90" s="342"/>
      <c r="L90" s="341"/>
      <c r="M90" s="308"/>
      <c r="N90" s="292"/>
      <c r="O90" s="292"/>
      <c r="P90" s="292"/>
      <c r="Q90" s="338"/>
      <c r="R90" s="338"/>
      <c r="S90" s="338"/>
      <c r="T90" s="338"/>
      <c r="U90" s="338"/>
      <c r="V90" s="338"/>
      <c r="W90" s="338"/>
      <c r="X90" s="338"/>
      <c r="Y90" s="338"/>
      <c r="Z90" s="338"/>
      <c r="AA90" s="338"/>
      <c r="AB90" s="338"/>
      <c r="AC90" s="338"/>
      <c r="AD90" s="338"/>
      <c r="AE90" s="338"/>
      <c r="AF90" s="338"/>
      <c r="AG90" s="338"/>
      <c r="AH90" s="338"/>
      <c r="AI90" s="338"/>
      <c r="AJ90" s="338"/>
      <c r="AK90" s="338"/>
      <c r="AL90" s="338"/>
      <c r="AM90" s="338"/>
      <c r="AN90" s="338"/>
      <c r="AO90" s="338"/>
      <c r="AP90" s="338"/>
      <c r="AQ90" s="338"/>
      <c r="AR90" s="338"/>
      <c r="AS90" s="338"/>
      <c r="AT90" s="338"/>
      <c r="AU90" s="338"/>
      <c r="AV90" s="338"/>
    </row>
    <row r="91" spans="2:48" x14ac:dyDescent="0.25">
      <c r="B91" s="338"/>
      <c r="C91" s="338"/>
      <c r="D91" s="338"/>
      <c r="E91" s="338"/>
      <c r="F91" s="338"/>
      <c r="G91" s="339"/>
      <c r="H91" s="342"/>
      <c r="I91" s="341"/>
      <c r="J91" s="339"/>
      <c r="K91" s="342"/>
      <c r="L91" s="341"/>
      <c r="M91" s="308"/>
      <c r="N91" s="292"/>
      <c r="O91" s="292"/>
      <c r="P91" s="292"/>
      <c r="Q91" s="338"/>
      <c r="R91" s="338"/>
      <c r="S91" s="338"/>
      <c r="T91" s="338"/>
      <c r="U91" s="338"/>
      <c r="V91" s="338"/>
      <c r="W91" s="338"/>
      <c r="X91" s="338"/>
      <c r="Y91" s="338"/>
      <c r="Z91" s="338"/>
      <c r="AA91" s="338"/>
      <c r="AB91" s="338"/>
      <c r="AC91" s="338"/>
      <c r="AD91" s="338"/>
      <c r="AE91" s="338"/>
      <c r="AF91" s="338"/>
      <c r="AG91" s="338"/>
      <c r="AH91" s="338"/>
      <c r="AI91" s="338"/>
      <c r="AJ91" s="338"/>
      <c r="AK91" s="338"/>
      <c r="AL91" s="338"/>
      <c r="AM91" s="338"/>
      <c r="AN91" s="338"/>
      <c r="AO91" s="338"/>
      <c r="AP91" s="338"/>
      <c r="AQ91" s="338"/>
      <c r="AR91" s="338"/>
      <c r="AS91" s="338"/>
      <c r="AT91" s="338"/>
      <c r="AU91" s="338"/>
      <c r="AV91" s="338"/>
    </row>
    <row r="92" spans="2:48" x14ac:dyDescent="0.25">
      <c r="B92" s="338"/>
      <c r="C92" s="338"/>
      <c r="D92" s="338"/>
      <c r="E92" s="338"/>
      <c r="F92" s="338"/>
      <c r="G92" s="339"/>
      <c r="H92" s="342"/>
      <c r="I92" s="341"/>
      <c r="J92" s="339"/>
      <c r="K92" s="342"/>
      <c r="L92" s="341"/>
      <c r="M92" s="308"/>
      <c r="N92" s="292"/>
      <c r="O92" s="292"/>
      <c r="P92" s="292"/>
      <c r="Q92" s="338"/>
      <c r="R92" s="338"/>
      <c r="S92" s="338"/>
      <c r="T92" s="338"/>
      <c r="U92" s="338"/>
      <c r="V92" s="338"/>
      <c r="W92" s="338"/>
      <c r="X92" s="338"/>
      <c r="Y92" s="338"/>
      <c r="Z92" s="338"/>
      <c r="AA92" s="338"/>
      <c r="AB92" s="338"/>
      <c r="AC92" s="338"/>
      <c r="AD92" s="338"/>
      <c r="AE92" s="338"/>
      <c r="AF92" s="338"/>
      <c r="AG92" s="338"/>
      <c r="AH92" s="338"/>
      <c r="AI92" s="338"/>
      <c r="AJ92" s="338"/>
      <c r="AK92" s="338"/>
      <c r="AL92" s="338"/>
      <c r="AM92" s="338"/>
      <c r="AN92" s="338"/>
      <c r="AO92" s="338"/>
      <c r="AP92" s="338"/>
      <c r="AQ92" s="338"/>
      <c r="AR92" s="338"/>
      <c r="AS92" s="338"/>
      <c r="AT92" s="338"/>
      <c r="AU92" s="338"/>
      <c r="AV92" s="338"/>
    </row>
    <row r="93" spans="2:48" x14ac:dyDescent="0.25">
      <c r="B93" s="338"/>
      <c r="C93" s="338"/>
      <c r="D93" s="338"/>
      <c r="E93" s="338"/>
      <c r="F93" s="338"/>
      <c r="G93" s="339"/>
      <c r="H93" s="342"/>
      <c r="I93" s="341"/>
      <c r="J93" s="339"/>
      <c r="K93" s="342"/>
      <c r="L93" s="341"/>
      <c r="M93" s="308"/>
      <c r="N93" s="292"/>
      <c r="O93" s="292"/>
      <c r="P93" s="292"/>
      <c r="Q93" s="338"/>
      <c r="R93" s="338"/>
      <c r="S93" s="338"/>
      <c r="T93" s="338"/>
      <c r="U93" s="338"/>
      <c r="V93" s="338"/>
      <c r="W93" s="338"/>
      <c r="X93" s="338"/>
      <c r="Y93" s="338"/>
      <c r="Z93" s="338"/>
      <c r="AA93" s="338"/>
      <c r="AB93" s="338"/>
      <c r="AC93" s="338"/>
      <c r="AD93" s="338"/>
      <c r="AE93" s="338"/>
      <c r="AF93" s="338"/>
      <c r="AG93" s="338"/>
      <c r="AH93" s="338"/>
      <c r="AI93" s="338"/>
      <c r="AJ93" s="338"/>
      <c r="AK93" s="338"/>
      <c r="AL93" s="338"/>
      <c r="AM93" s="338"/>
      <c r="AN93" s="338"/>
      <c r="AO93" s="338"/>
      <c r="AP93" s="338"/>
      <c r="AQ93" s="338"/>
      <c r="AR93" s="338"/>
      <c r="AS93" s="338"/>
      <c r="AT93" s="338"/>
      <c r="AU93" s="338"/>
      <c r="AV93" s="338"/>
    </row>
    <row r="94" spans="2:48" x14ac:dyDescent="0.25">
      <c r="B94" s="338"/>
      <c r="C94" s="338"/>
      <c r="D94" s="338"/>
      <c r="E94" s="338"/>
      <c r="F94" s="338"/>
      <c r="G94" s="339"/>
      <c r="H94" s="342"/>
      <c r="I94" s="341"/>
      <c r="J94" s="339"/>
      <c r="K94" s="342"/>
      <c r="L94" s="341"/>
      <c r="M94" s="308"/>
      <c r="N94" s="292"/>
      <c r="O94" s="292"/>
      <c r="P94" s="292"/>
      <c r="Q94" s="338"/>
      <c r="R94" s="338"/>
      <c r="S94" s="338"/>
      <c r="T94" s="338"/>
      <c r="U94" s="338"/>
      <c r="V94" s="338"/>
      <c r="W94" s="338"/>
      <c r="X94" s="338"/>
      <c r="Y94" s="338"/>
      <c r="Z94" s="338"/>
      <c r="AA94" s="338"/>
      <c r="AB94" s="338"/>
      <c r="AC94" s="338"/>
      <c r="AD94" s="338"/>
      <c r="AE94" s="338"/>
      <c r="AF94" s="338"/>
      <c r="AG94" s="338"/>
      <c r="AH94" s="338"/>
      <c r="AI94" s="338"/>
      <c r="AJ94" s="338"/>
      <c r="AK94" s="338"/>
      <c r="AL94" s="338"/>
      <c r="AM94" s="338"/>
      <c r="AN94" s="338"/>
      <c r="AO94" s="338"/>
      <c r="AP94" s="338"/>
      <c r="AQ94" s="338"/>
      <c r="AR94" s="338"/>
      <c r="AS94" s="338"/>
      <c r="AT94" s="338"/>
      <c r="AU94" s="338"/>
      <c r="AV94" s="338"/>
    </row>
    <row r="95" spans="2:48" x14ac:dyDescent="0.25">
      <c r="B95" s="338"/>
      <c r="C95" s="338"/>
      <c r="D95" s="338"/>
      <c r="E95" s="338"/>
      <c r="F95" s="338"/>
      <c r="G95" s="339"/>
      <c r="H95" s="342"/>
      <c r="I95" s="341"/>
      <c r="J95" s="339"/>
      <c r="K95" s="342"/>
      <c r="L95" s="341"/>
      <c r="M95" s="308"/>
      <c r="N95" s="292"/>
      <c r="O95" s="292"/>
      <c r="P95" s="292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38"/>
      <c r="AL95" s="338"/>
      <c r="AM95" s="338"/>
      <c r="AN95" s="338"/>
      <c r="AO95" s="338"/>
      <c r="AP95" s="338"/>
      <c r="AQ95" s="338"/>
      <c r="AR95" s="338"/>
      <c r="AS95" s="338"/>
      <c r="AT95" s="338"/>
      <c r="AU95" s="338"/>
      <c r="AV95" s="338"/>
    </row>
    <row r="96" spans="2:48" x14ac:dyDescent="0.25">
      <c r="B96" s="338"/>
      <c r="C96" s="338"/>
      <c r="D96" s="338"/>
      <c r="E96" s="338"/>
      <c r="F96" s="338"/>
      <c r="G96" s="339"/>
      <c r="H96" s="342"/>
      <c r="I96" s="341"/>
      <c r="J96" s="339"/>
      <c r="K96" s="342"/>
      <c r="L96" s="341"/>
      <c r="M96" s="308"/>
      <c r="N96" s="292"/>
      <c r="O96" s="292"/>
      <c r="P96" s="292"/>
      <c r="Q96" s="338"/>
      <c r="R96" s="338"/>
      <c r="S96" s="338"/>
      <c r="T96" s="338"/>
      <c r="U96" s="338"/>
      <c r="V96" s="338"/>
      <c r="W96" s="338"/>
      <c r="X96" s="338"/>
      <c r="Y96" s="338"/>
      <c r="Z96" s="338"/>
      <c r="AA96" s="338"/>
      <c r="AB96" s="338"/>
      <c r="AC96" s="338"/>
      <c r="AD96" s="338"/>
      <c r="AE96" s="338"/>
      <c r="AF96" s="338"/>
      <c r="AG96" s="338"/>
      <c r="AH96" s="338"/>
      <c r="AI96" s="338"/>
      <c r="AJ96" s="338"/>
      <c r="AK96" s="338"/>
      <c r="AL96" s="338"/>
      <c r="AM96" s="338"/>
      <c r="AN96" s="338"/>
      <c r="AO96" s="338"/>
      <c r="AP96" s="338"/>
      <c r="AQ96" s="338"/>
      <c r="AR96" s="338"/>
      <c r="AS96" s="338"/>
      <c r="AT96" s="338"/>
      <c r="AU96" s="338"/>
      <c r="AV96" s="338"/>
    </row>
    <row r="97" spans="2:48" x14ac:dyDescent="0.25">
      <c r="B97" s="338"/>
      <c r="C97" s="338"/>
      <c r="D97" s="338"/>
      <c r="E97" s="338"/>
      <c r="F97" s="338"/>
      <c r="G97" s="339"/>
      <c r="H97" s="342"/>
      <c r="I97" s="341"/>
      <c r="J97" s="339"/>
      <c r="K97" s="342"/>
      <c r="L97" s="341"/>
      <c r="M97" s="308"/>
      <c r="N97" s="292"/>
      <c r="O97" s="292"/>
      <c r="P97" s="292"/>
      <c r="Q97" s="338"/>
      <c r="R97" s="338"/>
      <c r="S97" s="338"/>
      <c r="T97" s="338"/>
      <c r="U97" s="338"/>
      <c r="V97" s="338"/>
      <c r="W97" s="338"/>
      <c r="X97" s="338"/>
      <c r="Y97" s="338"/>
      <c r="Z97" s="338"/>
      <c r="AA97" s="338"/>
      <c r="AB97" s="338"/>
      <c r="AC97" s="338"/>
      <c r="AD97" s="338"/>
      <c r="AE97" s="338"/>
      <c r="AF97" s="338"/>
      <c r="AG97" s="338"/>
      <c r="AH97" s="338"/>
      <c r="AI97" s="338"/>
      <c r="AJ97" s="338"/>
      <c r="AK97" s="338"/>
      <c r="AL97" s="338"/>
      <c r="AM97" s="338"/>
      <c r="AN97" s="338"/>
      <c r="AO97" s="338"/>
      <c r="AP97" s="338"/>
      <c r="AQ97" s="338"/>
      <c r="AR97" s="338"/>
      <c r="AS97" s="338"/>
      <c r="AT97" s="338"/>
      <c r="AU97" s="338"/>
      <c r="AV97" s="338"/>
    </row>
    <row r="98" spans="2:48" x14ac:dyDescent="0.25">
      <c r="B98" s="338"/>
      <c r="C98" s="338"/>
      <c r="D98" s="338"/>
      <c r="E98" s="338"/>
      <c r="F98" s="338"/>
      <c r="G98" s="339"/>
      <c r="H98" s="342"/>
      <c r="I98" s="341"/>
      <c r="J98" s="339"/>
      <c r="K98" s="342"/>
      <c r="L98" s="341"/>
      <c r="M98" s="308"/>
      <c r="N98" s="292"/>
      <c r="O98" s="292"/>
      <c r="P98" s="292"/>
      <c r="Q98" s="338"/>
      <c r="R98" s="338"/>
      <c r="S98" s="338"/>
      <c r="T98" s="338"/>
      <c r="U98" s="338"/>
      <c r="V98" s="338"/>
      <c r="W98" s="338"/>
      <c r="X98" s="338"/>
      <c r="Y98" s="338"/>
      <c r="Z98" s="338"/>
      <c r="AA98" s="338"/>
      <c r="AB98" s="338"/>
      <c r="AC98" s="338"/>
      <c r="AD98" s="338"/>
      <c r="AE98" s="338"/>
      <c r="AF98" s="338"/>
      <c r="AG98" s="338"/>
      <c r="AH98" s="338"/>
      <c r="AI98" s="338"/>
      <c r="AJ98" s="338"/>
      <c r="AK98" s="338"/>
      <c r="AL98" s="338"/>
      <c r="AM98" s="338"/>
      <c r="AN98" s="338"/>
      <c r="AO98" s="338"/>
      <c r="AP98" s="338"/>
      <c r="AQ98" s="338"/>
      <c r="AR98" s="338"/>
      <c r="AS98" s="338"/>
      <c r="AT98" s="338"/>
      <c r="AU98" s="338"/>
      <c r="AV98" s="338"/>
    </row>
    <row r="99" spans="2:48" x14ac:dyDescent="0.25">
      <c r="B99" s="338"/>
      <c r="C99" s="338"/>
      <c r="D99" s="338"/>
      <c r="E99" s="338"/>
      <c r="F99" s="338"/>
      <c r="G99" s="339"/>
      <c r="H99" s="342"/>
      <c r="I99" s="341"/>
      <c r="J99" s="339"/>
      <c r="K99" s="342"/>
      <c r="L99" s="341"/>
      <c r="M99" s="308"/>
      <c r="N99" s="292"/>
      <c r="O99" s="292"/>
      <c r="P99" s="292"/>
      <c r="Q99" s="338"/>
      <c r="R99" s="338"/>
      <c r="S99" s="338"/>
      <c r="T99" s="338"/>
      <c r="U99" s="338"/>
      <c r="V99" s="338"/>
      <c r="W99" s="338"/>
      <c r="X99" s="338"/>
      <c r="Y99" s="338"/>
      <c r="Z99" s="338"/>
      <c r="AA99" s="338"/>
      <c r="AB99" s="338"/>
      <c r="AC99" s="338"/>
      <c r="AD99" s="338"/>
      <c r="AE99" s="338"/>
      <c r="AF99" s="338"/>
      <c r="AG99" s="338"/>
      <c r="AH99" s="338"/>
      <c r="AI99" s="338"/>
      <c r="AJ99" s="338"/>
      <c r="AK99" s="338"/>
      <c r="AL99" s="338"/>
      <c r="AM99" s="338"/>
      <c r="AN99" s="338"/>
      <c r="AO99" s="338"/>
      <c r="AP99" s="338"/>
      <c r="AQ99" s="338"/>
      <c r="AR99" s="338"/>
      <c r="AS99" s="338"/>
      <c r="AT99" s="338"/>
      <c r="AU99" s="338"/>
      <c r="AV99" s="338"/>
    </row>
    <row r="100" spans="2:48" x14ac:dyDescent="0.25">
      <c r="B100" s="338"/>
      <c r="C100" s="338"/>
      <c r="D100" s="338"/>
      <c r="E100" s="338"/>
      <c r="F100" s="338"/>
      <c r="G100" s="339"/>
      <c r="H100" s="342"/>
      <c r="I100" s="341"/>
      <c r="J100" s="339"/>
      <c r="K100" s="342"/>
      <c r="L100" s="341"/>
      <c r="M100" s="308"/>
      <c r="N100" s="292"/>
      <c r="O100" s="292"/>
      <c r="P100" s="292"/>
      <c r="Q100" s="338"/>
      <c r="R100" s="338"/>
      <c r="S100" s="338"/>
      <c r="T100" s="338"/>
      <c r="U100" s="338"/>
      <c r="V100" s="338"/>
      <c r="W100" s="338"/>
      <c r="X100" s="338"/>
      <c r="Y100" s="338"/>
      <c r="Z100" s="338"/>
      <c r="AA100" s="338"/>
      <c r="AB100" s="338"/>
      <c r="AC100" s="338"/>
      <c r="AD100" s="338"/>
      <c r="AE100" s="338"/>
      <c r="AF100" s="338"/>
      <c r="AG100" s="338"/>
      <c r="AH100" s="338"/>
      <c r="AI100" s="338"/>
      <c r="AJ100" s="338"/>
      <c r="AK100" s="338"/>
      <c r="AL100" s="338"/>
      <c r="AM100" s="338"/>
      <c r="AN100" s="338"/>
      <c r="AO100" s="338"/>
      <c r="AP100" s="338"/>
      <c r="AQ100" s="338"/>
      <c r="AR100" s="338"/>
      <c r="AS100" s="338"/>
      <c r="AT100" s="338"/>
      <c r="AU100" s="338"/>
      <c r="AV100" s="338"/>
    </row>
    <row r="101" spans="2:48" x14ac:dyDescent="0.25">
      <c r="B101" s="338"/>
      <c r="C101" s="338"/>
      <c r="D101" s="338"/>
      <c r="E101" s="338"/>
      <c r="F101" s="338"/>
      <c r="G101" s="339"/>
      <c r="H101" s="342"/>
      <c r="I101" s="341"/>
      <c r="J101" s="339"/>
      <c r="K101" s="342"/>
      <c r="L101" s="341"/>
      <c r="M101" s="308"/>
      <c r="N101" s="292"/>
      <c r="O101" s="292"/>
      <c r="P101" s="292"/>
      <c r="Q101" s="338"/>
      <c r="R101" s="338"/>
      <c r="S101" s="338"/>
      <c r="T101" s="338"/>
      <c r="U101" s="338"/>
      <c r="V101" s="338"/>
      <c r="W101" s="338"/>
      <c r="X101" s="338"/>
      <c r="Y101" s="338"/>
      <c r="Z101" s="338"/>
      <c r="AA101" s="338"/>
      <c r="AB101" s="338"/>
      <c r="AC101" s="338"/>
      <c r="AD101" s="338"/>
      <c r="AE101" s="338"/>
      <c r="AF101" s="338"/>
      <c r="AG101" s="338"/>
      <c r="AH101" s="338"/>
      <c r="AI101" s="338"/>
      <c r="AJ101" s="338"/>
      <c r="AK101" s="338"/>
      <c r="AL101" s="338"/>
      <c r="AM101" s="338"/>
      <c r="AN101" s="338"/>
      <c r="AO101" s="338"/>
      <c r="AP101" s="338"/>
      <c r="AQ101" s="338"/>
      <c r="AR101" s="338"/>
      <c r="AS101" s="338"/>
      <c r="AT101" s="338"/>
      <c r="AU101" s="338"/>
      <c r="AV101" s="338"/>
    </row>
    <row r="102" spans="2:48" x14ac:dyDescent="0.25">
      <c r="B102" s="338"/>
      <c r="C102" s="338"/>
      <c r="D102" s="338"/>
      <c r="E102" s="338"/>
      <c r="F102" s="338"/>
      <c r="G102" s="339"/>
      <c r="H102" s="342"/>
      <c r="I102" s="341"/>
      <c r="J102" s="339"/>
      <c r="K102" s="342"/>
      <c r="L102" s="341"/>
      <c r="M102" s="308"/>
      <c r="N102" s="292"/>
      <c r="O102" s="292"/>
      <c r="P102" s="292"/>
      <c r="Q102" s="338"/>
      <c r="R102" s="338"/>
      <c r="S102" s="338"/>
      <c r="T102" s="338"/>
      <c r="U102" s="338"/>
      <c r="V102" s="338"/>
      <c r="W102" s="338"/>
      <c r="X102" s="338"/>
      <c r="Y102" s="338"/>
      <c r="Z102" s="338"/>
      <c r="AA102" s="338"/>
      <c r="AB102" s="338"/>
      <c r="AC102" s="338"/>
      <c r="AD102" s="338"/>
      <c r="AE102" s="338"/>
      <c r="AF102" s="338"/>
      <c r="AG102" s="338"/>
      <c r="AH102" s="338"/>
      <c r="AI102" s="338"/>
      <c r="AJ102" s="338"/>
      <c r="AK102" s="338"/>
      <c r="AL102" s="338"/>
      <c r="AM102" s="338"/>
      <c r="AN102" s="338"/>
      <c r="AO102" s="338"/>
      <c r="AP102" s="338"/>
      <c r="AQ102" s="338"/>
      <c r="AR102" s="338"/>
      <c r="AS102" s="338"/>
      <c r="AT102" s="338"/>
      <c r="AU102" s="338"/>
      <c r="AV102" s="338"/>
    </row>
    <row r="103" spans="2:48" x14ac:dyDescent="0.25">
      <c r="B103" s="338"/>
      <c r="C103" s="338"/>
      <c r="D103" s="338"/>
      <c r="E103" s="338"/>
      <c r="F103" s="338"/>
      <c r="G103" s="339"/>
      <c r="H103" s="342"/>
      <c r="I103" s="341"/>
      <c r="J103" s="339"/>
      <c r="K103" s="342"/>
      <c r="L103" s="341"/>
      <c r="M103" s="308"/>
      <c r="N103" s="292"/>
      <c r="O103" s="292"/>
      <c r="P103" s="292"/>
      <c r="Q103" s="338"/>
      <c r="R103" s="338"/>
      <c r="S103" s="338"/>
      <c r="T103" s="338"/>
      <c r="U103" s="338"/>
      <c r="V103" s="338"/>
      <c r="W103" s="338"/>
      <c r="X103" s="338"/>
      <c r="Y103" s="338"/>
      <c r="Z103" s="338"/>
      <c r="AA103" s="338"/>
      <c r="AB103" s="338"/>
      <c r="AC103" s="338"/>
      <c r="AD103" s="338"/>
      <c r="AE103" s="338"/>
      <c r="AF103" s="338"/>
      <c r="AG103" s="338"/>
      <c r="AH103" s="338"/>
      <c r="AI103" s="338"/>
      <c r="AJ103" s="338"/>
      <c r="AK103" s="338"/>
      <c r="AL103" s="338"/>
      <c r="AM103" s="338"/>
      <c r="AN103" s="338"/>
      <c r="AO103" s="338"/>
      <c r="AP103" s="338"/>
      <c r="AQ103" s="338"/>
      <c r="AR103" s="338"/>
      <c r="AS103" s="338"/>
      <c r="AT103" s="338"/>
      <c r="AU103" s="338"/>
      <c r="AV103" s="338"/>
    </row>
    <row r="104" spans="2:48" x14ac:dyDescent="0.25">
      <c r="B104" s="338"/>
      <c r="C104" s="338"/>
      <c r="D104" s="338"/>
      <c r="E104" s="338"/>
      <c r="F104" s="338"/>
      <c r="G104" s="339"/>
      <c r="H104" s="342"/>
      <c r="I104" s="341"/>
      <c r="J104" s="339"/>
      <c r="K104" s="342"/>
      <c r="L104" s="341"/>
      <c r="M104" s="308"/>
      <c r="N104" s="292"/>
      <c r="O104" s="292"/>
      <c r="P104" s="292"/>
      <c r="Q104" s="338"/>
      <c r="R104" s="338"/>
      <c r="S104" s="338"/>
      <c r="T104" s="338"/>
      <c r="U104" s="338"/>
      <c r="V104" s="338"/>
      <c r="W104" s="338"/>
      <c r="X104" s="338"/>
      <c r="Y104" s="338"/>
      <c r="Z104" s="338"/>
      <c r="AA104" s="338"/>
      <c r="AB104" s="338"/>
      <c r="AC104" s="338"/>
      <c r="AD104" s="338"/>
      <c r="AE104" s="338"/>
      <c r="AF104" s="338"/>
      <c r="AG104" s="338"/>
      <c r="AH104" s="338"/>
      <c r="AI104" s="338"/>
      <c r="AJ104" s="338"/>
      <c r="AK104" s="338"/>
      <c r="AL104" s="338"/>
      <c r="AM104" s="338"/>
      <c r="AN104" s="338"/>
      <c r="AO104" s="338"/>
      <c r="AP104" s="338"/>
      <c r="AQ104" s="338"/>
      <c r="AR104" s="338"/>
      <c r="AS104" s="338"/>
      <c r="AT104" s="338"/>
      <c r="AU104" s="338"/>
      <c r="AV104" s="338"/>
    </row>
    <row r="105" spans="2:48" x14ac:dyDescent="0.25">
      <c r="B105" s="338"/>
      <c r="C105" s="338"/>
      <c r="D105" s="338"/>
      <c r="E105" s="338"/>
      <c r="F105" s="338"/>
      <c r="G105" s="339"/>
      <c r="H105" s="342"/>
      <c r="I105" s="341"/>
      <c r="J105" s="339"/>
      <c r="K105" s="342"/>
      <c r="L105" s="341"/>
      <c r="M105" s="308"/>
      <c r="N105" s="292"/>
      <c r="O105" s="292"/>
      <c r="P105" s="292"/>
      <c r="Q105" s="338"/>
      <c r="R105" s="338"/>
      <c r="S105" s="338"/>
      <c r="T105" s="338"/>
      <c r="U105" s="338"/>
      <c r="V105" s="338"/>
      <c r="W105" s="338"/>
      <c r="X105" s="338"/>
      <c r="Y105" s="338"/>
      <c r="Z105" s="338"/>
      <c r="AA105" s="338"/>
      <c r="AB105" s="338"/>
      <c r="AC105" s="338"/>
      <c r="AD105" s="338"/>
      <c r="AE105" s="338"/>
      <c r="AF105" s="338"/>
      <c r="AG105" s="338"/>
      <c r="AH105" s="338"/>
      <c r="AI105" s="338"/>
      <c r="AJ105" s="338"/>
      <c r="AK105" s="338"/>
      <c r="AL105" s="338"/>
      <c r="AM105" s="338"/>
      <c r="AN105" s="338"/>
      <c r="AO105" s="338"/>
      <c r="AP105" s="338"/>
      <c r="AQ105" s="338"/>
      <c r="AR105" s="338"/>
      <c r="AS105" s="338"/>
      <c r="AT105" s="338"/>
      <c r="AU105" s="338"/>
      <c r="AV105" s="338"/>
    </row>
    <row r="106" spans="2:48" x14ac:dyDescent="0.25">
      <c r="B106" s="338"/>
      <c r="C106" s="338"/>
      <c r="D106" s="338"/>
      <c r="E106" s="338"/>
      <c r="F106" s="338"/>
      <c r="G106" s="339"/>
      <c r="H106" s="342"/>
      <c r="I106" s="341"/>
      <c r="J106" s="339"/>
      <c r="K106" s="342"/>
      <c r="L106" s="341"/>
      <c r="M106" s="308"/>
      <c r="N106" s="292"/>
      <c r="O106" s="292"/>
      <c r="P106" s="292"/>
      <c r="Q106" s="338"/>
      <c r="R106" s="338"/>
      <c r="S106" s="338"/>
      <c r="T106" s="338"/>
      <c r="U106" s="338"/>
      <c r="V106" s="338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</row>
    <row r="107" spans="2:48" x14ac:dyDescent="0.25">
      <c r="B107" s="338"/>
      <c r="C107" s="338"/>
      <c r="D107" s="338"/>
      <c r="E107" s="338"/>
      <c r="F107" s="338"/>
      <c r="G107" s="339"/>
      <c r="H107" s="342"/>
      <c r="I107" s="341"/>
      <c r="J107" s="339"/>
      <c r="K107" s="342"/>
      <c r="L107" s="341"/>
      <c r="M107" s="308"/>
      <c r="N107" s="292"/>
      <c r="O107" s="292"/>
      <c r="P107" s="292"/>
      <c r="Q107" s="338"/>
      <c r="R107" s="338"/>
      <c r="S107" s="338"/>
      <c r="T107" s="338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</row>
    <row r="108" spans="2:48" x14ac:dyDescent="0.25">
      <c r="B108" s="338"/>
      <c r="C108" s="338"/>
      <c r="D108" s="338"/>
      <c r="E108" s="338"/>
      <c r="F108" s="338"/>
      <c r="G108" s="339"/>
      <c r="H108" s="342"/>
      <c r="I108" s="341"/>
      <c r="J108" s="339"/>
      <c r="K108" s="342"/>
      <c r="L108" s="341"/>
      <c r="M108" s="308"/>
      <c r="N108" s="292"/>
      <c r="O108" s="292"/>
      <c r="P108" s="292"/>
      <c r="Q108" s="338"/>
      <c r="R108" s="338"/>
      <c r="S108" s="338"/>
      <c r="T108" s="338"/>
      <c r="U108" s="338"/>
      <c r="V108" s="338"/>
      <c r="W108" s="338"/>
      <c r="X108" s="338"/>
      <c r="Y108" s="338"/>
      <c r="Z108" s="338"/>
      <c r="AA108" s="338"/>
      <c r="AB108" s="338"/>
      <c r="AC108" s="338"/>
      <c r="AD108" s="338"/>
      <c r="AE108" s="338"/>
      <c r="AF108" s="338"/>
      <c r="AG108" s="338"/>
      <c r="AH108" s="338"/>
      <c r="AI108" s="338"/>
      <c r="AJ108" s="338"/>
      <c r="AK108" s="338"/>
      <c r="AL108" s="338"/>
      <c r="AM108" s="338"/>
      <c r="AN108" s="338"/>
      <c r="AO108" s="338"/>
      <c r="AP108" s="338"/>
      <c r="AQ108" s="338"/>
      <c r="AR108" s="338"/>
      <c r="AS108" s="338"/>
      <c r="AT108" s="338"/>
      <c r="AU108" s="338"/>
      <c r="AV108" s="338"/>
    </row>
    <row r="109" spans="2:48" x14ac:dyDescent="0.25">
      <c r="B109" s="338"/>
      <c r="C109" s="338"/>
      <c r="D109" s="338"/>
      <c r="E109" s="338"/>
      <c r="F109" s="338"/>
      <c r="G109" s="339"/>
      <c r="H109" s="342"/>
      <c r="I109" s="341"/>
      <c r="J109" s="339"/>
      <c r="K109" s="342"/>
      <c r="L109" s="341"/>
      <c r="M109" s="308"/>
      <c r="N109" s="292"/>
      <c r="O109" s="292"/>
      <c r="P109" s="292"/>
      <c r="Q109" s="338"/>
      <c r="R109" s="338"/>
      <c r="S109" s="338"/>
      <c r="T109" s="338"/>
      <c r="U109" s="338"/>
      <c r="V109" s="338"/>
      <c r="W109" s="338"/>
      <c r="X109" s="338"/>
      <c r="Y109" s="338"/>
      <c r="Z109" s="338"/>
      <c r="AA109" s="338"/>
      <c r="AB109" s="338"/>
      <c r="AC109" s="338"/>
      <c r="AD109" s="338"/>
      <c r="AE109" s="338"/>
      <c r="AF109" s="338"/>
      <c r="AG109" s="338"/>
      <c r="AH109" s="338"/>
      <c r="AI109" s="338"/>
      <c r="AJ109" s="338"/>
      <c r="AK109" s="338"/>
      <c r="AL109" s="338"/>
      <c r="AM109" s="338"/>
      <c r="AN109" s="338"/>
      <c r="AO109" s="338"/>
      <c r="AP109" s="338"/>
      <c r="AQ109" s="338"/>
      <c r="AR109" s="338"/>
      <c r="AS109" s="338"/>
      <c r="AT109" s="338"/>
      <c r="AU109" s="338"/>
      <c r="AV109" s="338"/>
    </row>
    <row r="110" spans="2:48" x14ac:dyDescent="0.25">
      <c r="B110" s="338"/>
      <c r="C110" s="338"/>
      <c r="D110" s="338"/>
      <c r="E110" s="338"/>
      <c r="F110" s="338"/>
      <c r="G110" s="339"/>
      <c r="H110" s="342"/>
      <c r="I110" s="341"/>
      <c r="J110" s="339"/>
      <c r="K110" s="342"/>
      <c r="L110" s="341"/>
      <c r="M110" s="308"/>
      <c r="N110" s="292"/>
      <c r="O110" s="292"/>
      <c r="P110" s="292"/>
      <c r="Q110" s="338"/>
      <c r="R110" s="338"/>
      <c r="S110" s="338"/>
      <c r="T110" s="338"/>
      <c r="U110" s="338"/>
      <c r="V110" s="338"/>
      <c r="W110" s="338"/>
      <c r="X110" s="338"/>
      <c r="Y110" s="338"/>
      <c r="Z110" s="338"/>
      <c r="AA110" s="338"/>
      <c r="AB110" s="338"/>
      <c r="AC110" s="338"/>
      <c r="AD110" s="338"/>
      <c r="AE110" s="338"/>
      <c r="AF110" s="338"/>
      <c r="AG110" s="338"/>
      <c r="AH110" s="338"/>
      <c r="AI110" s="338"/>
      <c r="AJ110" s="338"/>
      <c r="AK110" s="338"/>
      <c r="AL110" s="338"/>
      <c r="AM110" s="338"/>
      <c r="AN110" s="338"/>
      <c r="AO110" s="338"/>
      <c r="AP110" s="338"/>
      <c r="AQ110" s="338"/>
      <c r="AR110" s="338"/>
      <c r="AS110" s="338"/>
      <c r="AT110" s="338"/>
      <c r="AU110" s="338"/>
      <c r="AV110" s="338"/>
    </row>
    <row r="111" spans="2:48" x14ac:dyDescent="0.25">
      <c r="B111" s="338"/>
      <c r="C111" s="338"/>
      <c r="D111" s="338"/>
      <c r="E111" s="338"/>
      <c r="F111" s="338"/>
      <c r="G111" s="339"/>
      <c r="H111" s="342"/>
      <c r="I111" s="341"/>
      <c r="J111" s="339"/>
      <c r="K111" s="342"/>
      <c r="L111" s="341"/>
      <c r="M111" s="308"/>
      <c r="N111" s="292"/>
      <c r="O111" s="292"/>
      <c r="P111" s="292"/>
      <c r="Q111" s="338"/>
      <c r="R111" s="338"/>
      <c r="S111" s="338"/>
      <c r="T111" s="338"/>
      <c r="U111" s="338"/>
      <c r="V111" s="338"/>
      <c r="W111" s="338"/>
      <c r="X111" s="338"/>
      <c r="Y111" s="338"/>
      <c r="Z111" s="338"/>
      <c r="AA111" s="338"/>
      <c r="AB111" s="338"/>
      <c r="AC111" s="338"/>
      <c r="AD111" s="338"/>
      <c r="AE111" s="338"/>
      <c r="AF111" s="338"/>
      <c r="AG111" s="338"/>
      <c r="AH111" s="338"/>
      <c r="AI111" s="338"/>
      <c r="AJ111" s="338"/>
      <c r="AK111" s="338"/>
      <c r="AL111" s="338"/>
      <c r="AM111" s="338"/>
      <c r="AN111" s="338"/>
      <c r="AO111" s="338"/>
      <c r="AP111" s="338"/>
      <c r="AQ111" s="338"/>
      <c r="AR111" s="338"/>
      <c r="AS111" s="338"/>
      <c r="AT111" s="338"/>
      <c r="AU111" s="338"/>
      <c r="AV111" s="338"/>
    </row>
    <row r="112" spans="2:48" x14ac:dyDescent="0.25">
      <c r="B112" s="338"/>
      <c r="C112" s="338"/>
      <c r="D112" s="338"/>
      <c r="E112" s="338"/>
      <c r="F112" s="338"/>
      <c r="G112" s="339"/>
      <c r="H112" s="342"/>
      <c r="I112" s="341"/>
      <c r="J112" s="339"/>
      <c r="K112" s="342"/>
      <c r="L112" s="341"/>
      <c r="M112" s="308"/>
      <c r="N112" s="292"/>
      <c r="O112" s="292"/>
      <c r="P112" s="292"/>
      <c r="Q112" s="338"/>
      <c r="R112" s="338"/>
      <c r="S112" s="338"/>
      <c r="T112" s="338"/>
      <c r="U112" s="338"/>
      <c r="V112" s="338"/>
      <c r="W112" s="338"/>
      <c r="X112" s="338"/>
      <c r="Y112" s="338"/>
      <c r="Z112" s="338"/>
      <c r="AA112" s="338"/>
      <c r="AB112" s="338"/>
      <c r="AC112" s="338"/>
      <c r="AD112" s="338"/>
      <c r="AE112" s="338"/>
      <c r="AF112" s="338"/>
      <c r="AG112" s="338"/>
      <c r="AH112" s="338"/>
      <c r="AI112" s="338"/>
      <c r="AJ112" s="338"/>
      <c r="AK112" s="338"/>
      <c r="AL112" s="338"/>
      <c r="AM112" s="338"/>
      <c r="AN112" s="338"/>
      <c r="AO112" s="338"/>
      <c r="AP112" s="338"/>
      <c r="AQ112" s="338"/>
      <c r="AR112" s="338"/>
      <c r="AS112" s="338"/>
      <c r="AT112" s="338"/>
      <c r="AU112" s="338"/>
      <c r="AV112" s="338"/>
    </row>
    <row r="113" spans="2:48" x14ac:dyDescent="0.25">
      <c r="B113" s="338"/>
      <c r="C113" s="338"/>
      <c r="D113" s="338"/>
      <c r="E113" s="338"/>
      <c r="F113" s="338"/>
      <c r="G113" s="339"/>
      <c r="H113" s="342"/>
      <c r="I113" s="341"/>
      <c r="J113" s="339"/>
      <c r="K113" s="342"/>
      <c r="L113" s="341"/>
      <c r="M113" s="308"/>
      <c r="N113" s="292"/>
      <c r="O113" s="292"/>
      <c r="P113" s="292"/>
      <c r="Q113" s="338"/>
      <c r="R113" s="338"/>
      <c r="S113" s="338"/>
      <c r="T113" s="338"/>
      <c r="U113" s="338"/>
      <c r="V113" s="338"/>
      <c r="W113" s="338"/>
      <c r="X113" s="338"/>
      <c r="Y113" s="338"/>
      <c r="Z113" s="338"/>
      <c r="AA113" s="338"/>
      <c r="AB113" s="338"/>
      <c r="AC113" s="338"/>
      <c r="AD113" s="338"/>
      <c r="AE113" s="338"/>
      <c r="AF113" s="338"/>
      <c r="AG113" s="338"/>
      <c r="AH113" s="338"/>
      <c r="AI113" s="338"/>
      <c r="AJ113" s="338"/>
      <c r="AK113" s="338"/>
      <c r="AL113" s="338"/>
      <c r="AM113" s="338"/>
      <c r="AN113" s="338"/>
      <c r="AO113" s="338"/>
      <c r="AP113" s="338"/>
      <c r="AQ113" s="338"/>
      <c r="AR113" s="338"/>
      <c r="AS113" s="338"/>
      <c r="AT113" s="338"/>
      <c r="AU113" s="338"/>
      <c r="AV113" s="338"/>
    </row>
    <row r="114" spans="2:48" x14ac:dyDescent="0.25">
      <c r="B114" s="338"/>
      <c r="C114" s="338"/>
      <c r="D114" s="338"/>
      <c r="E114" s="338"/>
      <c r="F114" s="338"/>
      <c r="G114" s="339"/>
      <c r="H114" s="342"/>
      <c r="I114" s="341"/>
      <c r="J114" s="339"/>
      <c r="K114" s="342"/>
      <c r="L114" s="341"/>
      <c r="M114" s="308"/>
      <c r="N114" s="292"/>
      <c r="O114" s="292"/>
      <c r="P114" s="292"/>
      <c r="Q114" s="338"/>
      <c r="R114" s="338"/>
      <c r="S114" s="338"/>
      <c r="T114" s="338"/>
      <c r="U114" s="338"/>
      <c r="V114" s="338"/>
      <c r="W114" s="338"/>
      <c r="X114" s="338"/>
      <c r="Y114" s="338"/>
      <c r="Z114" s="338"/>
      <c r="AA114" s="338"/>
      <c r="AB114" s="338"/>
      <c r="AC114" s="338"/>
      <c r="AD114" s="338"/>
      <c r="AE114" s="338"/>
      <c r="AF114" s="338"/>
      <c r="AG114" s="338"/>
      <c r="AH114" s="338"/>
      <c r="AI114" s="338"/>
      <c r="AJ114" s="338"/>
      <c r="AK114" s="338"/>
      <c r="AL114" s="338"/>
      <c r="AM114" s="338"/>
      <c r="AN114" s="338"/>
      <c r="AO114" s="338"/>
      <c r="AP114" s="338"/>
      <c r="AQ114" s="338"/>
      <c r="AR114" s="338"/>
      <c r="AS114" s="338"/>
      <c r="AT114" s="338"/>
      <c r="AU114" s="338"/>
      <c r="AV114" s="338"/>
    </row>
    <row r="115" spans="2:48" x14ac:dyDescent="0.25">
      <c r="B115" s="338"/>
      <c r="C115" s="338"/>
      <c r="D115" s="338"/>
      <c r="E115" s="338"/>
      <c r="F115" s="338"/>
      <c r="G115" s="339"/>
      <c r="H115" s="342"/>
      <c r="I115" s="341"/>
      <c r="J115" s="339"/>
      <c r="K115" s="342"/>
      <c r="L115" s="341"/>
      <c r="M115" s="308"/>
      <c r="N115" s="292"/>
      <c r="O115" s="292"/>
      <c r="P115" s="292"/>
      <c r="Q115" s="338"/>
      <c r="R115" s="338"/>
      <c r="S115" s="338"/>
      <c r="T115" s="338"/>
      <c r="U115" s="338"/>
      <c r="V115" s="338"/>
      <c r="W115" s="338"/>
      <c r="X115" s="338"/>
      <c r="Y115" s="338"/>
      <c r="Z115" s="338"/>
      <c r="AA115" s="338"/>
      <c r="AB115" s="338"/>
      <c r="AC115" s="338"/>
      <c r="AD115" s="338"/>
      <c r="AE115" s="338"/>
      <c r="AF115" s="338"/>
      <c r="AG115" s="338"/>
      <c r="AH115" s="338"/>
      <c r="AI115" s="338"/>
      <c r="AJ115" s="338"/>
      <c r="AK115" s="338"/>
      <c r="AL115" s="338"/>
      <c r="AM115" s="338"/>
      <c r="AN115" s="338"/>
      <c r="AO115" s="338"/>
      <c r="AP115" s="338"/>
      <c r="AQ115" s="338"/>
      <c r="AR115" s="338"/>
      <c r="AS115" s="338"/>
      <c r="AT115" s="338"/>
      <c r="AU115" s="338"/>
      <c r="AV115" s="338"/>
    </row>
    <row r="116" spans="2:48" x14ac:dyDescent="0.25">
      <c r="B116" s="338"/>
      <c r="C116" s="338"/>
      <c r="D116" s="338"/>
      <c r="E116" s="338"/>
      <c r="F116" s="338"/>
      <c r="G116" s="339"/>
      <c r="H116" s="342"/>
      <c r="I116" s="341"/>
      <c r="J116" s="339"/>
      <c r="K116" s="342"/>
      <c r="L116" s="341"/>
      <c r="M116" s="308"/>
      <c r="N116" s="292"/>
      <c r="O116" s="292"/>
      <c r="P116" s="292"/>
      <c r="Q116" s="338"/>
      <c r="R116" s="338"/>
      <c r="S116" s="338"/>
      <c r="T116" s="338"/>
      <c r="U116" s="338"/>
      <c r="V116" s="338"/>
      <c r="W116" s="338"/>
      <c r="X116" s="338"/>
      <c r="Y116" s="338"/>
      <c r="Z116" s="338"/>
      <c r="AA116" s="338"/>
      <c r="AB116" s="338"/>
      <c r="AC116" s="338"/>
      <c r="AD116" s="338"/>
      <c r="AE116" s="338"/>
      <c r="AF116" s="338"/>
      <c r="AG116" s="338"/>
      <c r="AH116" s="338"/>
      <c r="AI116" s="338"/>
      <c r="AJ116" s="338"/>
      <c r="AK116" s="338"/>
      <c r="AL116" s="338"/>
      <c r="AM116" s="338"/>
      <c r="AN116" s="338"/>
      <c r="AO116" s="338"/>
      <c r="AP116" s="338"/>
      <c r="AQ116" s="338"/>
      <c r="AR116" s="338"/>
      <c r="AS116" s="338"/>
      <c r="AT116" s="338"/>
      <c r="AU116" s="338"/>
      <c r="AV116" s="338"/>
    </row>
    <row r="117" spans="2:48" x14ac:dyDescent="0.25">
      <c r="B117" s="338"/>
      <c r="C117" s="338"/>
      <c r="D117" s="338"/>
      <c r="E117" s="338"/>
      <c r="F117" s="338"/>
      <c r="G117" s="339"/>
      <c r="H117" s="342"/>
      <c r="I117" s="341"/>
      <c r="J117" s="339"/>
      <c r="K117" s="342"/>
      <c r="L117" s="341"/>
      <c r="M117" s="308"/>
      <c r="N117" s="292"/>
      <c r="O117" s="292"/>
      <c r="P117" s="292"/>
      <c r="Q117" s="338"/>
      <c r="R117" s="338"/>
      <c r="S117" s="338"/>
      <c r="T117" s="338"/>
      <c r="U117" s="338"/>
      <c r="V117" s="338"/>
      <c r="W117" s="338"/>
      <c r="X117" s="338"/>
      <c r="Y117" s="338"/>
      <c r="Z117" s="338"/>
      <c r="AA117" s="338"/>
      <c r="AB117" s="338"/>
      <c r="AC117" s="338"/>
      <c r="AD117" s="338"/>
      <c r="AE117" s="338"/>
      <c r="AF117" s="338"/>
      <c r="AG117" s="338"/>
      <c r="AH117" s="338"/>
      <c r="AI117" s="338"/>
      <c r="AJ117" s="338"/>
      <c r="AK117" s="338"/>
      <c r="AL117" s="338"/>
      <c r="AM117" s="338"/>
      <c r="AN117" s="338"/>
      <c r="AO117" s="338"/>
      <c r="AP117" s="338"/>
      <c r="AQ117" s="338"/>
      <c r="AR117" s="338"/>
      <c r="AS117" s="338"/>
      <c r="AT117" s="338"/>
      <c r="AU117" s="338"/>
      <c r="AV117" s="338"/>
    </row>
    <row r="118" spans="2:48" x14ac:dyDescent="0.25">
      <c r="B118" s="338"/>
      <c r="C118" s="338"/>
      <c r="D118" s="338"/>
      <c r="E118" s="338"/>
      <c r="F118" s="338"/>
      <c r="G118" s="339"/>
      <c r="H118" s="342"/>
      <c r="I118" s="341"/>
      <c r="J118" s="339"/>
      <c r="K118" s="342"/>
      <c r="L118" s="341"/>
      <c r="M118" s="308"/>
      <c r="N118" s="292"/>
      <c r="O118" s="292"/>
      <c r="P118" s="292"/>
      <c r="Q118" s="338"/>
      <c r="R118" s="338"/>
      <c r="S118" s="338"/>
      <c r="T118" s="338"/>
      <c r="U118" s="338"/>
      <c r="V118" s="338"/>
      <c r="W118" s="338"/>
      <c r="X118" s="338"/>
      <c r="Y118" s="338"/>
      <c r="Z118" s="338"/>
      <c r="AA118" s="338"/>
      <c r="AB118" s="338"/>
      <c r="AC118" s="338"/>
      <c r="AD118" s="338"/>
      <c r="AE118" s="338"/>
      <c r="AF118" s="338"/>
      <c r="AG118" s="338"/>
      <c r="AH118" s="338"/>
      <c r="AI118" s="338"/>
      <c r="AJ118" s="338"/>
      <c r="AK118" s="338"/>
      <c r="AL118" s="338"/>
      <c r="AM118" s="338"/>
      <c r="AN118" s="338"/>
      <c r="AO118" s="338"/>
      <c r="AP118" s="338"/>
      <c r="AQ118" s="338"/>
      <c r="AR118" s="338"/>
      <c r="AS118" s="338"/>
      <c r="AT118" s="338"/>
      <c r="AU118" s="338"/>
      <c r="AV118" s="338"/>
    </row>
    <row r="119" spans="2:48" x14ac:dyDescent="0.25">
      <c r="B119" s="338"/>
      <c r="C119" s="338"/>
      <c r="D119" s="338"/>
      <c r="E119" s="338"/>
      <c r="F119" s="338"/>
      <c r="G119" s="339"/>
      <c r="H119" s="342"/>
      <c r="I119" s="341"/>
      <c r="J119" s="339"/>
      <c r="K119" s="342"/>
      <c r="L119" s="341"/>
      <c r="M119" s="308"/>
      <c r="N119" s="292"/>
      <c r="O119" s="292"/>
      <c r="P119" s="292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  <c r="AC119" s="338"/>
      <c r="AD119" s="338"/>
      <c r="AE119" s="338"/>
      <c r="AF119" s="338"/>
      <c r="AG119" s="338"/>
      <c r="AH119" s="338"/>
      <c r="AI119" s="338"/>
      <c r="AJ119" s="338"/>
      <c r="AK119" s="338"/>
      <c r="AL119" s="338"/>
      <c r="AM119" s="338"/>
      <c r="AN119" s="338"/>
      <c r="AO119" s="338"/>
      <c r="AP119" s="338"/>
      <c r="AQ119" s="338"/>
      <c r="AR119" s="338"/>
      <c r="AS119" s="338"/>
      <c r="AT119" s="338"/>
      <c r="AU119" s="338"/>
      <c r="AV119" s="338"/>
    </row>
    <row r="120" spans="2:48" x14ac:dyDescent="0.25">
      <c r="B120" s="338"/>
      <c r="C120" s="338"/>
      <c r="D120" s="338"/>
      <c r="E120" s="338"/>
      <c r="F120" s="338"/>
      <c r="G120" s="339"/>
      <c r="H120" s="342"/>
      <c r="I120" s="341"/>
      <c r="J120" s="339"/>
      <c r="K120" s="342"/>
      <c r="L120" s="341"/>
      <c r="M120" s="308"/>
      <c r="N120" s="292"/>
      <c r="O120" s="292"/>
      <c r="P120" s="292"/>
      <c r="Q120" s="338"/>
      <c r="R120" s="338"/>
      <c r="S120" s="338"/>
      <c r="T120" s="338"/>
      <c r="U120" s="338"/>
      <c r="V120" s="338"/>
      <c r="W120" s="338"/>
      <c r="X120" s="338"/>
      <c r="Y120" s="338"/>
      <c r="Z120" s="338"/>
      <c r="AA120" s="338"/>
      <c r="AB120" s="338"/>
      <c r="AC120" s="338"/>
      <c r="AD120" s="338"/>
      <c r="AE120" s="338"/>
      <c r="AF120" s="338"/>
      <c r="AG120" s="338"/>
      <c r="AH120" s="338"/>
      <c r="AI120" s="338"/>
      <c r="AJ120" s="338"/>
      <c r="AK120" s="338"/>
      <c r="AL120" s="338"/>
      <c r="AM120" s="338"/>
      <c r="AN120" s="338"/>
      <c r="AO120" s="338"/>
      <c r="AP120" s="338"/>
      <c r="AQ120" s="338"/>
      <c r="AR120" s="338"/>
      <c r="AS120" s="338"/>
      <c r="AT120" s="338"/>
      <c r="AU120" s="338"/>
      <c r="AV120" s="338"/>
    </row>
    <row r="121" spans="2:48" x14ac:dyDescent="0.25">
      <c r="B121" s="338"/>
      <c r="C121" s="338"/>
      <c r="D121" s="338"/>
      <c r="E121" s="338"/>
      <c r="F121" s="338"/>
      <c r="G121" s="339"/>
      <c r="H121" s="342"/>
      <c r="I121" s="341"/>
      <c r="J121" s="339"/>
      <c r="K121" s="342"/>
      <c r="L121" s="341"/>
      <c r="M121" s="308"/>
      <c r="N121" s="292"/>
      <c r="O121" s="292"/>
      <c r="P121" s="292"/>
      <c r="Q121" s="338"/>
      <c r="R121" s="338"/>
      <c r="S121" s="338"/>
      <c r="T121" s="338"/>
      <c r="U121" s="338"/>
      <c r="V121" s="338"/>
      <c r="W121" s="338"/>
      <c r="X121" s="338"/>
      <c r="Y121" s="338"/>
      <c r="Z121" s="338"/>
      <c r="AA121" s="338"/>
      <c r="AB121" s="338"/>
      <c r="AC121" s="338"/>
      <c r="AD121" s="338"/>
      <c r="AE121" s="338"/>
      <c r="AF121" s="338"/>
      <c r="AG121" s="338"/>
      <c r="AH121" s="338"/>
      <c r="AI121" s="338"/>
      <c r="AJ121" s="338"/>
      <c r="AK121" s="338"/>
      <c r="AL121" s="338"/>
      <c r="AM121" s="338"/>
      <c r="AN121" s="338"/>
      <c r="AO121" s="338"/>
      <c r="AP121" s="338"/>
      <c r="AQ121" s="338"/>
      <c r="AR121" s="338"/>
      <c r="AS121" s="338"/>
      <c r="AT121" s="338"/>
      <c r="AU121" s="338"/>
      <c r="AV121" s="338"/>
    </row>
    <row r="122" spans="2:48" x14ac:dyDescent="0.25">
      <c r="B122" s="338"/>
      <c r="C122" s="338"/>
      <c r="D122" s="338"/>
      <c r="E122" s="338"/>
      <c r="F122" s="338"/>
      <c r="G122" s="339"/>
      <c r="H122" s="342"/>
      <c r="I122" s="341"/>
      <c r="J122" s="339"/>
      <c r="K122" s="342"/>
      <c r="L122" s="341"/>
      <c r="M122" s="308"/>
      <c r="N122" s="292"/>
      <c r="O122" s="292"/>
      <c r="P122" s="292"/>
      <c r="Q122" s="338"/>
      <c r="R122" s="338"/>
      <c r="S122" s="338"/>
      <c r="T122" s="338"/>
      <c r="U122" s="338"/>
      <c r="V122" s="338"/>
      <c r="W122" s="338"/>
      <c r="X122" s="338"/>
      <c r="Y122" s="338"/>
      <c r="Z122" s="338"/>
      <c r="AA122" s="338"/>
      <c r="AB122" s="338"/>
      <c r="AC122" s="338"/>
      <c r="AD122" s="338"/>
      <c r="AE122" s="338"/>
      <c r="AF122" s="338"/>
      <c r="AG122" s="338"/>
      <c r="AH122" s="338"/>
      <c r="AI122" s="338"/>
      <c r="AJ122" s="338"/>
      <c r="AK122" s="338"/>
      <c r="AL122" s="338"/>
      <c r="AM122" s="338"/>
      <c r="AN122" s="338"/>
      <c r="AO122" s="338"/>
      <c r="AP122" s="338"/>
      <c r="AQ122" s="338"/>
      <c r="AR122" s="338"/>
      <c r="AS122" s="338"/>
      <c r="AT122" s="338"/>
      <c r="AU122" s="338"/>
      <c r="AV122" s="338"/>
    </row>
    <row r="123" spans="2:48" x14ac:dyDescent="0.25">
      <c r="B123" s="338"/>
      <c r="C123" s="338"/>
      <c r="D123" s="338"/>
      <c r="E123" s="338"/>
      <c r="F123" s="338"/>
      <c r="G123" s="339"/>
      <c r="H123" s="342"/>
      <c r="I123" s="341"/>
      <c r="J123" s="339"/>
      <c r="K123" s="342"/>
      <c r="L123" s="341"/>
      <c r="M123" s="308"/>
      <c r="N123" s="292"/>
      <c r="O123" s="292"/>
      <c r="P123" s="292"/>
      <c r="Q123" s="338"/>
      <c r="R123" s="338"/>
      <c r="S123" s="338"/>
      <c r="T123" s="338"/>
      <c r="U123" s="338"/>
      <c r="V123" s="338"/>
      <c r="W123" s="338"/>
      <c r="X123" s="338"/>
      <c r="Y123" s="338"/>
      <c r="Z123" s="338"/>
      <c r="AA123" s="338"/>
      <c r="AB123" s="338"/>
      <c r="AC123" s="338"/>
      <c r="AD123" s="338"/>
      <c r="AE123" s="338"/>
      <c r="AF123" s="338"/>
      <c r="AG123" s="338"/>
      <c r="AH123" s="338"/>
      <c r="AI123" s="338"/>
      <c r="AJ123" s="338"/>
      <c r="AK123" s="338"/>
      <c r="AL123" s="338"/>
      <c r="AM123" s="338"/>
      <c r="AN123" s="338"/>
      <c r="AO123" s="338"/>
      <c r="AP123" s="338"/>
      <c r="AQ123" s="338"/>
      <c r="AR123" s="338"/>
      <c r="AS123" s="338"/>
      <c r="AT123" s="338"/>
      <c r="AU123" s="338"/>
      <c r="AV123" s="338"/>
    </row>
    <row r="124" spans="2:48" x14ac:dyDescent="0.25">
      <c r="B124" s="338"/>
      <c r="C124" s="338"/>
      <c r="D124" s="338"/>
      <c r="E124" s="338"/>
      <c r="F124" s="338"/>
      <c r="G124" s="339"/>
      <c r="H124" s="342"/>
      <c r="I124" s="341"/>
      <c r="J124" s="339"/>
      <c r="K124" s="342"/>
      <c r="L124" s="341"/>
      <c r="M124" s="308"/>
      <c r="N124" s="292"/>
      <c r="O124" s="292"/>
      <c r="P124" s="292"/>
      <c r="Q124" s="338"/>
      <c r="R124" s="338"/>
      <c r="S124" s="338"/>
      <c r="T124" s="338"/>
      <c r="U124" s="338"/>
      <c r="V124" s="338"/>
      <c r="W124" s="338"/>
      <c r="X124" s="338"/>
      <c r="Y124" s="338"/>
      <c r="Z124" s="338"/>
      <c r="AA124" s="338"/>
      <c r="AB124" s="338"/>
      <c r="AC124" s="338"/>
      <c r="AD124" s="338"/>
      <c r="AE124" s="338"/>
      <c r="AF124" s="338"/>
      <c r="AG124" s="338"/>
      <c r="AH124" s="338"/>
      <c r="AI124" s="338"/>
      <c r="AJ124" s="338"/>
      <c r="AK124" s="338"/>
      <c r="AL124" s="338"/>
      <c r="AM124" s="338"/>
      <c r="AN124" s="338"/>
      <c r="AO124" s="338"/>
      <c r="AP124" s="338"/>
      <c r="AQ124" s="338"/>
      <c r="AR124" s="338"/>
      <c r="AS124" s="338"/>
      <c r="AT124" s="338"/>
      <c r="AU124" s="338"/>
      <c r="AV124" s="338"/>
    </row>
    <row r="125" spans="2:48" x14ac:dyDescent="0.25">
      <c r="B125" s="338"/>
      <c r="C125" s="338"/>
      <c r="D125" s="338"/>
      <c r="E125" s="338"/>
      <c r="F125" s="338"/>
      <c r="G125" s="339"/>
      <c r="H125" s="342"/>
      <c r="I125" s="341"/>
      <c r="J125" s="339"/>
      <c r="K125" s="342"/>
      <c r="L125" s="341"/>
      <c r="M125" s="308"/>
      <c r="N125" s="292"/>
      <c r="O125" s="292"/>
      <c r="P125" s="292"/>
      <c r="Q125" s="338"/>
      <c r="R125" s="338"/>
      <c r="S125" s="338"/>
      <c r="T125" s="338"/>
      <c r="U125" s="338"/>
      <c r="V125" s="338"/>
      <c r="W125" s="338"/>
      <c r="X125" s="338"/>
      <c r="Y125" s="338"/>
      <c r="Z125" s="338"/>
      <c r="AA125" s="338"/>
      <c r="AB125" s="338"/>
      <c r="AC125" s="338"/>
      <c r="AD125" s="338"/>
      <c r="AE125" s="338"/>
      <c r="AF125" s="338"/>
      <c r="AG125" s="338"/>
      <c r="AH125" s="338"/>
      <c r="AI125" s="338"/>
      <c r="AJ125" s="338"/>
      <c r="AK125" s="338"/>
      <c r="AL125" s="338"/>
      <c r="AM125" s="338"/>
      <c r="AN125" s="338"/>
      <c r="AO125" s="338"/>
      <c r="AP125" s="338"/>
      <c r="AQ125" s="338"/>
      <c r="AR125" s="338"/>
      <c r="AS125" s="338"/>
      <c r="AT125" s="338"/>
      <c r="AU125" s="338"/>
      <c r="AV125" s="338"/>
    </row>
    <row r="126" spans="2:48" x14ac:dyDescent="0.25">
      <c r="B126" s="338"/>
      <c r="C126" s="338"/>
      <c r="D126" s="338"/>
      <c r="E126" s="338"/>
      <c r="F126" s="338"/>
      <c r="G126" s="339"/>
      <c r="H126" s="342"/>
      <c r="I126" s="341"/>
      <c r="J126" s="339"/>
      <c r="K126" s="342"/>
      <c r="L126" s="341"/>
      <c r="M126" s="308"/>
      <c r="N126" s="292"/>
      <c r="O126" s="292"/>
      <c r="P126" s="292"/>
      <c r="Q126" s="338"/>
      <c r="R126" s="338"/>
      <c r="S126" s="338"/>
      <c r="T126" s="338"/>
      <c r="U126" s="338"/>
      <c r="V126" s="338"/>
      <c r="W126" s="338"/>
      <c r="X126" s="338"/>
      <c r="Y126" s="338"/>
      <c r="Z126" s="338"/>
      <c r="AA126" s="338"/>
      <c r="AB126" s="338"/>
      <c r="AC126" s="338"/>
      <c r="AD126" s="338"/>
      <c r="AE126" s="338"/>
      <c r="AF126" s="338"/>
      <c r="AG126" s="338"/>
      <c r="AH126" s="338"/>
      <c r="AI126" s="338"/>
      <c r="AJ126" s="338"/>
      <c r="AK126" s="338"/>
      <c r="AL126" s="338"/>
      <c r="AM126" s="338"/>
      <c r="AN126" s="338"/>
      <c r="AO126" s="338"/>
      <c r="AP126" s="338"/>
      <c r="AQ126" s="338"/>
      <c r="AR126" s="338"/>
      <c r="AS126" s="338"/>
      <c r="AT126" s="338"/>
      <c r="AU126" s="338"/>
      <c r="AV126" s="338"/>
    </row>
    <row r="127" spans="2:48" x14ac:dyDescent="0.25">
      <c r="B127" s="338"/>
      <c r="C127" s="338"/>
      <c r="D127" s="338"/>
      <c r="E127" s="338"/>
      <c r="F127" s="338"/>
      <c r="G127" s="339"/>
      <c r="H127" s="342"/>
      <c r="I127" s="341"/>
      <c r="J127" s="339"/>
      <c r="K127" s="342"/>
      <c r="L127" s="341"/>
      <c r="M127" s="308"/>
      <c r="N127" s="292"/>
      <c r="O127" s="292"/>
      <c r="P127" s="292"/>
      <c r="Q127" s="338"/>
      <c r="R127" s="338"/>
      <c r="S127" s="338"/>
      <c r="T127" s="338"/>
      <c r="U127" s="338"/>
      <c r="V127" s="338"/>
      <c r="W127" s="338"/>
      <c r="X127" s="338"/>
      <c r="Y127" s="338"/>
      <c r="Z127" s="338"/>
      <c r="AA127" s="338"/>
      <c r="AB127" s="338"/>
      <c r="AC127" s="338"/>
      <c r="AD127" s="338"/>
      <c r="AE127" s="338"/>
      <c r="AF127" s="338"/>
      <c r="AG127" s="338"/>
      <c r="AH127" s="338"/>
      <c r="AI127" s="338"/>
      <c r="AJ127" s="338"/>
      <c r="AK127" s="338"/>
      <c r="AL127" s="338"/>
      <c r="AM127" s="338"/>
      <c r="AN127" s="338"/>
      <c r="AO127" s="338"/>
      <c r="AP127" s="338"/>
      <c r="AQ127" s="338"/>
      <c r="AR127" s="338"/>
      <c r="AS127" s="338"/>
      <c r="AT127" s="338"/>
      <c r="AU127" s="338"/>
      <c r="AV127" s="338"/>
    </row>
    <row r="128" spans="2:48" x14ac:dyDescent="0.25">
      <c r="B128" s="338"/>
      <c r="C128" s="338"/>
      <c r="D128" s="338"/>
      <c r="E128" s="338"/>
      <c r="F128" s="338"/>
      <c r="G128" s="339"/>
      <c r="H128" s="342"/>
      <c r="I128" s="341"/>
      <c r="J128" s="339"/>
      <c r="K128" s="342"/>
      <c r="L128" s="341"/>
      <c r="M128" s="308"/>
      <c r="N128" s="292"/>
      <c r="O128" s="292"/>
      <c r="P128" s="292"/>
      <c r="Q128" s="338"/>
      <c r="R128" s="338"/>
      <c r="S128" s="338"/>
      <c r="T128" s="338"/>
      <c r="U128" s="338"/>
      <c r="V128" s="338"/>
      <c r="W128" s="338"/>
      <c r="X128" s="338"/>
      <c r="Y128" s="338"/>
      <c r="Z128" s="338"/>
      <c r="AA128" s="338"/>
      <c r="AB128" s="338"/>
      <c r="AC128" s="338"/>
      <c r="AD128" s="338"/>
      <c r="AE128" s="338"/>
      <c r="AF128" s="338"/>
      <c r="AG128" s="338"/>
      <c r="AH128" s="338"/>
      <c r="AI128" s="338"/>
      <c r="AJ128" s="338"/>
      <c r="AK128" s="338"/>
      <c r="AL128" s="338"/>
      <c r="AM128" s="338"/>
      <c r="AN128" s="338"/>
      <c r="AO128" s="338"/>
      <c r="AP128" s="338"/>
      <c r="AQ128" s="338"/>
      <c r="AR128" s="338"/>
      <c r="AS128" s="338"/>
      <c r="AT128" s="338"/>
      <c r="AU128" s="338"/>
      <c r="AV128" s="338"/>
    </row>
    <row r="129" spans="2:48" x14ac:dyDescent="0.25">
      <c r="B129" s="338"/>
      <c r="C129" s="338"/>
      <c r="D129" s="338"/>
      <c r="E129" s="338"/>
      <c r="F129" s="338"/>
      <c r="G129" s="339"/>
      <c r="H129" s="342"/>
      <c r="I129" s="341"/>
      <c r="J129" s="339"/>
      <c r="K129" s="342"/>
      <c r="L129" s="341"/>
      <c r="M129" s="308"/>
      <c r="N129" s="292"/>
      <c r="O129" s="292"/>
      <c r="P129" s="292"/>
      <c r="Q129" s="338"/>
      <c r="R129" s="338"/>
      <c r="S129" s="338"/>
      <c r="T129" s="338"/>
      <c r="U129" s="338"/>
      <c r="V129" s="338"/>
      <c r="W129" s="338"/>
      <c r="X129" s="338"/>
      <c r="Y129" s="338"/>
      <c r="Z129" s="338"/>
      <c r="AA129" s="338"/>
      <c r="AB129" s="338"/>
      <c r="AC129" s="338"/>
      <c r="AD129" s="338"/>
      <c r="AE129" s="338"/>
      <c r="AF129" s="338"/>
      <c r="AG129" s="338"/>
      <c r="AH129" s="338"/>
      <c r="AI129" s="338"/>
      <c r="AJ129" s="338"/>
      <c r="AK129" s="338"/>
      <c r="AL129" s="338"/>
      <c r="AM129" s="338"/>
      <c r="AN129" s="338"/>
      <c r="AO129" s="338"/>
      <c r="AP129" s="338"/>
      <c r="AQ129" s="338"/>
      <c r="AR129" s="338"/>
      <c r="AS129" s="338"/>
      <c r="AT129" s="338"/>
      <c r="AU129" s="338"/>
      <c r="AV129" s="338"/>
    </row>
    <row r="130" spans="2:48" x14ac:dyDescent="0.25">
      <c r="B130" s="338"/>
      <c r="C130" s="338"/>
      <c r="D130" s="338"/>
      <c r="E130" s="338"/>
      <c r="F130" s="338"/>
      <c r="G130" s="339"/>
      <c r="H130" s="342"/>
      <c r="I130" s="341"/>
      <c r="J130" s="339"/>
      <c r="K130" s="342"/>
      <c r="L130" s="341"/>
      <c r="M130" s="308"/>
      <c r="N130" s="292"/>
      <c r="O130" s="292"/>
      <c r="P130" s="292"/>
      <c r="Q130" s="338"/>
      <c r="R130" s="338"/>
      <c r="S130" s="338"/>
      <c r="T130" s="338"/>
      <c r="U130" s="338"/>
      <c r="V130" s="338"/>
      <c r="W130" s="338"/>
      <c r="X130" s="338"/>
      <c r="Y130" s="338"/>
      <c r="Z130" s="338"/>
      <c r="AA130" s="338"/>
      <c r="AB130" s="338"/>
      <c r="AC130" s="338"/>
      <c r="AD130" s="338"/>
      <c r="AE130" s="338"/>
      <c r="AF130" s="338"/>
      <c r="AG130" s="338"/>
      <c r="AH130" s="338"/>
      <c r="AI130" s="338"/>
      <c r="AJ130" s="338"/>
      <c r="AK130" s="338"/>
      <c r="AL130" s="338"/>
      <c r="AM130" s="338"/>
      <c r="AN130" s="338"/>
      <c r="AO130" s="338"/>
      <c r="AP130" s="338"/>
      <c r="AQ130" s="338"/>
      <c r="AR130" s="338"/>
      <c r="AS130" s="338"/>
      <c r="AT130" s="338"/>
      <c r="AU130" s="338"/>
      <c r="AV130" s="338"/>
    </row>
    <row r="131" spans="2:48" x14ac:dyDescent="0.25">
      <c r="B131" s="338"/>
      <c r="C131" s="338"/>
      <c r="D131" s="338"/>
      <c r="E131" s="338"/>
      <c r="F131" s="338"/>
      <c r="G131" s="339"/>
      <c r="H131" s="342"/>
      <c r="I131" s="341"/>
      <c r="J131" s="339"/>
      <c r="K131" s="342"/>
      <c r="L131" s="341"/>
      <c r="M131" s="308"/>
      <c r="N131" s="292"/>
      <c r="O131" s="292"/>
      <c r="P131" s="292"/>
      <c r="Q131" s="338"/>
      <c r="R131" s="338"/>
      <c r="S131" s="338"/>
      <c r="T131" s="338"/>
      <c r="U131" s="338"/>
      <c r="V131" s="338"/>
      <c r="W131" s="338"/>
      <c r="X131" s="338"/>
      <c r="Y131" s="338"/>
      <c r="Z131" s="338"/>
      <c r="AA131" s="338"/>
      <c r="AB131" s="338"/>
      <c r="AC131" s="338"/>
      <c r="AD131" s="338"/>
      <c r="AE131" s="338"/>
      <c r="AF131" s="338"/>
      <c r="AG131" s="338"/>
      <c r="AH131" s="338"/>
      <c r="AI131" s="338"/>
      <c r="AJ131" s="338"/>
      <c r="AK131" s="338"/>
      <c r="AL131" s="338"/>
      <c r="AM131" s="338"/>
      <c r="AN131" s="338"/>
      <c r="AO131" s="338"/>
      <c r="AP131" s="338"/>
      <c r="AQ131" s="338"/>
      <c r="AR131" s="338"/>
      <c r="AS131" s="338"/>
      <c r="AT131" s="338"/>
      <c r="AU131" s="338"/>
      <c r="AV131" s="338"/>
    </row>
    <row r="132" spans="2:48" x14ac:dyDescent="0.25">
      <c r="B132" s="338"/>
      <c r="C132" s="338"/>
      <c r="D132" s="338"/>
      <c r="E132" s="338"/>
      <c r="F132" s="338"/>
      <c r="G132" s="339"/>
      <c r="H132" s="342"/>
      <c r="I132" s="341"/>
      <c r="J132" s="339"/>
      <c r="K132" s="342"/>
      <c r="L132" s="341"/>
      <c r="M132" s="308"/>
      <c r="N132" s="292"/>
      <c r="O132" s="292"/>
      <c r="P132" s="292"/>
      <c r="Q132" s="338"/>
      <c r="R132" s="338"/>
      <c r="S132" s="338"/>
      <c r="T132" s="338"/>
      <c r="U132" s="338"/>
      <c r="V132" s="338"/>
      <c r="W132" s="338"/>
      <c r="X132" s="338"/>
      <c r="Y132" s="338"/>
      <c r="Z132" s="338"/>
      <c r="AA132" s="338"/>
      <c r="AB132" s="338"/>
      <c r="AC132" s="338"/>
      <c r="AD132" s="338"/>
      <c r="AE132" s="338"/>
      <c r="AF132" s="338"/>
      <c r="AG132" s="338"/>
      <c r="AH132" s="338"/>
      <c r="AI132" s="338"/>
      <c r="AJ132" s="338"/>
      <c r="AK132" s="338"/>
      <c r="AL132" s="338"/>
      <c r="AM132" s="338"/>
      <c r="AN132" s="338"/>
      <c r="AO132" s="338"/>
      <c r="AP132" s="338"/>
      <c r="AQ132" s="338"/>
      <c r="AR132" s="338"/>
      <c r="AS132" s="338"/>
      <c r="AT132" s="338"/>
      <c r="AU132" s="338"/>
      <c r="AV132" s="338"/>
    </row>
    <row r="133" spans="2:48" x14ac:dyDescent="0.25">
      <c r="B133" s="338"/>
      <c r="C133" s="338"/>
      <c r="D133" s="338"/>
      <c r="E133" s="338"/>
      <c r="F133" s="338"/>
      <c r="G133" s="339"/>
      <c r="H133" s="342"/>
      <c r="I133" s="341"/>
      <c r="J133" s="339"/>
      <c r="K133" s="342"/>
      <c r="L133" s="341"/>
      <c r="M133" s="308"/>
      <c r="N133" s="292"/>
      <c r="O133" s="292"/>
      <c r="P133" s="292"/>
      <c r="Q133" s="338"/>
      <c r="R133" s="338"/>
      <c r="S133" s="338"/>
      <c r="T133" s="338"/>
      <c r="U133" s="338"/>
      <c r="V133" s="338"/>
      <c r="W133" s="338"/>
      <c r="X133" s="338"/>
      <c r="Y133" s="338"/>
      <c r="Z133" s="338"/>
      <c r="AA133" s="338"/>
      <c r="AB133" s="338"/>
      <c r="AC133" s="338"/>
      <c r="AD133" s="338"/>
      <c r="AE133" s="338"/>
      <c r="AF133" s="338"/>
      <c r="AG133" s="338"/>
      <c r="AH133" s="338"/>
      <c r="AI133" s="338"/>
      <c r="AJ133" s="338"/>
      <c r="AK133" s="338"/>
      <c r="AL133" s="338"/>
      <c r="AM133" s="338"/>
      <c r="AN133" s="338"/>
      <c r="AO133" s="338"/>
      <c r="AP133" s="338"/>
      <c r="AQ133" s="338"/>
      <c r="AR133" s="338"/>
      <c r="AS133" s="338"/>
      <c r="AT133" s="338"/>
      <c r="AU133" s="338"/>
      <c r="AV133" s="338"/>
    </row>
    <row r="134" spans="2:48" x14ac:dyDescent="0.25">
      <c r="B134" s="338"/>
      <c r="C134" s="338"/>
      <c r="D134" s="338"/>
      <c r="E134" s="338"/>
      <c r="F134" s="338"/>
      <c r="G134" s="339"/>
      <c r="H134" s="342"/>
      <c r="I134" s="341"/>
      <c r="J134" s="339"/>
      <c r="K134" s="342"/>
      <c r="L134" s="341"/>
      <c r="M134" s="308"/>
      <c r="N134" s="292"/>
      <c r="O134" s="292"/>
      <c r="P134" s="292"/>
      <c r="Q134" s="338"/>
      <c r="R134" s="338"/>
      <c r="S134" s="338"/>
      <c r="T134" s="338"/>
      <c r="U134" s="338"/>
      <c r="V134" s="338"/>
      <c r="W134" s="338"/>
      <c r="X134" s="338"/>
      <c r="Y134" s="338"/>
      <c r="Z134" s="338"/>
      <c r="AA134" s="338"/>
      <c r="AB134" s="338"/>
      <c r="AC134" s="338"/>
      <c r="AD134" s="338"/>
      <c r="AE134" s="338"/>
      <c r="AF134" s="338"/>
      <c r="AG134" s="338"/>
      <c r="AH134" s="338"/>
      <c r="AI134" s="338"/>
      <c r="AJ134" s="338"/>
      <c r="AK134" s="338"/>
      <c r="AL134" s="338"/>
      <c r="AM134" s="338"/>
      <c r="AN134" s="338"/>
      <c r="AO134" s="338"/>
      <c r="AP134" s="338"/>
      <c r="AQ134" s="338"/>
      <c r="AR134" s="338"/>
      <c r="AS134" s="338"/>
      <c r="AT134" s="338"/>
      <c r="AU134" s="338"/>
      <c r="AV134" s="338"/>
    </row>
    <row r="135" spans="2:48" x14ac:dyDescent="0.25">
      <c r="B135" s="338"/>
      <c r="C135" s="338"/>
      <c r="D135" s="338"/>
      <c r="E135" s="338"/>
      <c r="F135" s="338"/>
      <c r="G135" s="339"/>
      <c r="H135" s="342"/>
      <c r="I135" s="341"/>
      <c r="J135" s="339"/>
      <c r="K135" s="342"/>
      <c r="L135" s="341"/>
      <c r="M135" s="308"/>
      <c r="N135" s="292"/>
      <c r="O135" s="292"/>
      <c r="P135" s="292"/>
      <c r="Q135" s="338"/>
      <c r="R135" s="338"/>
      <c r="S135" s="338"/>
      <c r="T135" s="338"/>
      <c r="U135" s="338"/>
      <c r="V135" s="338"/>
      <c r="W135" s="338"/>
      <c r="X135" s="338"/>
      <c r="Y135" s="338"/>
      <c r="Z135" s="338"/>
      <c r="AA135" s="338"/>
      <c r="AB135" s="338"/>
      <c r="AC135" s="338"/>
      <c r="AD135" s="338"/>
      <c r="AE135" s="338"/>
      <c r="AF135" s="338"/>
      <c r="AG135" s="338"/>
      <c r="AH135" s="338"/>
      <c r="AI135" s="338"/>
      <c r="AJ135" s="338"/>
      <c r="AK135" s="338"/>
      <c r="AL135" s="338"/>
      <c r="AM135" s="338"/>
      <c r="AN135" s="338"/>
      <c r="AO135" s="338"/>
      <c r="AP135" s="338"/>
      <c r="AQ135" s="338"/>
      <c r="AR135" s="338"/>
      <c r="AS135" s="338"/>
      <c r="AT135" s="338"/>
      <c r="AU135" s="338"/>
      <c r="AV135" s="338"/>
    </row>
    <row r="136" spans="2:48" x14ac:dyDescent="0.25">
      <c r="B136" s="338"/>
      <c r="C136" s="338"/>
      <c r="D136" s="338"/>
      <c r="E136" s="338"/>
      <c r="F136" s="338"/>
      <c r="G136" s="339"/>
      <c r="H136" s="342"/>
      <c r="I136" s="341"/>
      <c r="J136" s="339"/>
      <c r="K136" s="342"/>
      <c r="L136" s="341"/>
      <c r="M136" s="308"/>
      <c r="N136" s="292"/>
      <c r="O136" s="292"/>
      <c r="P136" s="292"/>
      <c r="Q136" s="338"/>
      <c r="R136" s="338"/>
      <c r="S136" s="338"/>
      <c r="T136" s="338"/>
      <c r="U136" s="338"/>
      <c r="V136" s="338"/>
      <c r="W136" s="338"/>
      <c r="X136" s="338"/>
      <c r="Y136" s="338"/>
      <c r="Z136" s="338"/>
      <c r="AA136" s="338"/>
      <c r="AB136" s="338"/>
      <c r="AC136" s="338"/>
      <c r="AD136" s="338"/>
      <c r="AE136" s="338"/>
      <c r="AF136" s="338"/>
      <c r="AG136" s="338"/>
      <c r="AH136" s="338"/>
      <c r="AI136" s="338"/>
      <c r="AJ136" s="338"/>
      <c r="AK136" s="338"/>
      <c r="AL136" s="338"/>
      <c r="AM136" s="338"/>
      <c r="AN136" s="338"/>
      <c r="AO136" s="338"/>
      <c r="AP136" s="338"/>
      <c r="AQ136" s="338"/>
      <c r="AR136" s="338"/>
      <c r="AS136" s="338"/>
      <c r="AT136" s="338"/>
      <c r="AU136" s="338"/>
      <c r="AV136" s="338"/>
    </row>
    <row r="137" spans="2:48" x14ac:dyDescent="0.25">
      <c r="B137" s="338"/>
      <c r="C137" s="338"/>
      <c r="D137" s="338"/>
      <c r="E137" s="338"/>
      <c r="F137" s="338"/>
      <c r="G137" s="339"/>
      <c r="H137" s="342"/>
      <c r="I137" s="341"/>
      <c r="J137" s="339"/>
      <c r="K137" s="342"/>
      <c r="L137" s="341"/>
      <c r="M137" s="308"/>
      <c r="N137" s="292"/>
      <c r="O137" s="292"/>
      <c r="P137" s="292"/>
      <c r="Q137" s="338"/>
      <c r="R137" s="338"/>
      <c r="S137" s="338"/>
      <c r="T137" s="338"/>
      <c r="U137" s="338"/>
      <c r="V137" s="338"/>
      <c r="W137" s="338"/>
      <c r="X137" s="338"/>
      <c r="Y137" s="338"/>
      <c r="Z137" s="338"/>
      <c r="AA137" s="338"/>
      <c r="AB137" s="338"/>
      <c r="AC137" s="338"/>
      <c r="AD137" s="338"/>
      <c r="AE137" s="338"/>
      <c r="AF137" s="338"/>
      <c r="AG137" s="338"/>
      <c r="AH137" s="338"/>
      <c r="AI137" s="338"/>
      <c r="AJ137" s="338"/>
      <c r="AK137" s="338"/>
      <c r="AL137" s="338"/>
      <c r="AM137" s="338"/>
      <c r="AN137" s="338"/>
      <c r="AO137" s="338"/>
      <c r="AP137" s="338"/>
      <c r="AQ137" s="338"/>
      <c r="AR137" s="338"/>
      <c r="AS137" s="338"/>
      <c r="AT137" s="338"/>
      <c r="AU137" s="338"/>
      <c r="AV137" s="338"/>
    </row>
    <row r="138" spans="2:48" x14ac:dyDescent="0.25">
      <c r="B138" s="338"/>
      <c r="C138" s="338"/>
      <c r="D138" s="338"/>
      <c r="E138" s="338"/>
      <c r="F138" s="338"/>
      <c r="G138" s="339"/>
      <c r="H138" s="342"/>
      <c r="I138" s="341"/>
      <c r="J138" s="339"/>
      <c r="K138" s="342"/>
      <c r="L138" s="341"/>
      <c r="M138" s="308"/>
      <c r="N138" s="292"/>
      <c r="O138" s="292"/>
      <c r="P138" s="292"/>
      <c r="Q138" s="338"/>
      <c r="R138" s="338"/>
      <c r="S138" s="338"/>
      <c r="T138" s="338"/>
      <c r="U138" s="338"/>
      <c r="V138" s="338"/>
      <c r="W138" s="338"/>
      <c r="X138" s="338"/>
      <c r="Y138" s="338"/>
      <c r="Z138" s="338"/>
      <c r="AA138" s="338"/>
      <c r="AB138" s="338"/>
      <c r="AC138" s="338"/>
      <c r="AD138" s="338"/>
      <c r="AE138" s="338"/>
      <c r="AF138" s="338"/>
      <c r="AG138" s="338"/>
      <c r="AH138" s="338"/>
      <c r="AI138" s="338"/>
      <c r="AJ138" s="338"/>
      <c r="AK138" s="338"/>
      <c r="AL138" s="338"/>
      <c r="AM138" s="338"/>
      <c r="AN138" s="338"/>
      <c r="AO138" s="338"/>
      <c r="AP138" s="338"/>
      <c r="AQ138" s="338"/>
      <c r="AR138" s="338"/>
      <c r="AS138" s="338"/>
      <c r="AT138" s="338"/>
      <c r="AU138" s="338"/>
      <c r="AV138" s="338"/>
    </row>
    <row r="139" spans="2:48" x14ac:dyDescent="0.25">
      <c r="B139" s="338"/>
      <c r="C139" s="338"/>
      <c r="D139" s="338"/>
      <c r="E139" s="338"/>
      <c r="F139" s="338"/>
      <c r="G139" s="339"/>
      <c r="H139" s="342"/>
      <c r="I139" s="341"/>
      <c r="J139" s="339"/>
      <c r="K139" s="342"/>
      <c r="L139" s="341"/>
      <c r="M139" s="308"/>
      <c r="N139" s="292"/>
      <c r="O139" s="292"/>
      <c r="P139" s="292"/>
      <c r="Q139" s="338"/>
      <c r="R139" s="338"/>
      <c r="S139" s="338"/>
      <c r="T139" s="338"/>
      <c r="U139" s="338"/>
      <c r="V139" s="338"/>
      <c r="W139" s="338"/>
      <c r="X139" s="338"/>
      <c r="Y139" s="338"/>
      <c r="Z139" s="338"/>
      <c r="AA139" s="338"/>
      <c r="AB139" s="338"/>
      <c r="AC139" s="338"/>
      <c r="AD139" s="338"/>
      <c r="AE139" s="338"/>
      <c r="AF139" s="338"/>
      <c r="AG139" s="338"/>
      <c r="AH139" s="338"/>
      <c r="AI139" s="338"/>
      <c r="AJ139" s="338"/>
      <c r="AK139" s="338"/>
      <c r="AL139" s="338"/>
      <c r="AM139" s="338"/>
      <c r="AN139" s="338"/>
      <c r="AO139" s="338"/>
      <c r="AP139" s="338"/>
      <c r="AQ139" s="338"/>
      <c r="AR139" s="338"/>
      <c r="AS139" s="338"/>
      <c r="AT139" s="338"/>
      <c r="AU139" s="338"/>
      <c r="AV139" s="338"/>
    </row>
    <row r="140" spans="2:48" x14ac:dyDescent="0.25">
      <c r="B140" s="338"/>
      <c r="C140" s="338"/>
      <c r="D140" s="338"/>
      <c r="E140" s="338"/>
      <c r="F140" s="338"/>
      <c r="G140" s="339"/>
      <c r="H140" s="342"/>
      <c r="I140" s="341"/>
      <c r="J140" s="339"/>
      <c r="K140" s="342"/>
      <c r="L140" s="341"/>
      <c r="M140" s="308"/>
      <c r="N140" s="292"/>
      <c r="O140" s="292"/>
      <c r="P140" s="292"/>
      <c r="Q140" s="338"/>
      <c r="R140" s="338"/>
      <c r="S140" s="338"/>
      <c r="T140" s="338"/>
      <c r="U140" s="338"/>
      <c r="V140" s="338"/>
      <c r="W140" s="338"/>
      <c r="X140" s="338"/>
      <c r="Y140" s="338"/>
      <c r="Z140" s="338"/>
      <c r="AA140" s="338"/>
      <c r="AB140" s="338"/>
      <c r="AC140" s="338"/>
      <c r="AD140" s="338"/>
      <c r="AE140" s="338"/>
      <c r="AF140" s="338"/>
      <c r="AG140" s="338"/>
      <c r="AH140" s="338"/>
      <c r="AI140" s="338"/>
      <c r="AJ140" s="338"/>
      <c r="AK140" s="338"/>
      <c r="AL140" s="338"/>
      <c r="AM140" s="338"/>
      <c r="AN140" s="338"/>
      <c r="AO140" s="338"/>
      <c r="AP140" s="338"/>
      <c r="AQ140" s="338"/>
      <c r="AR140" s="338"/>
      <c r="AS140" s="338"/>
      <c r="AT140" s="338"/>
      <c r="AU140" s="338"/>
      <c r="AV140" s="338"/>
    </row>
    <row r="141" spans="2:48" x14ac:dyDescent="0.25">
      <c r="B141" s="338"/>
      <c r="C141" s="338"/>
      <c r="D141" s="338"/>
      <c r="E141" s="338"/>
      <c r="F141" s="338"/>
      <c r="G141" s="339"/>
      <c r="H141" s="342"/>
      <c r="I141" s="341"/>
      <c r="J141" s="339"/>
      <c r="K141" s="342"/>
      <c r="L141" s="341"/>
      <c r="M141" s="308"/>
      <c r="N141" s="292"/>
      <c r="O141" s="292"/>
      <c r="P141" s="292"/>
      <c r="Q141" s="338"/>
      <c r="R141" s="338"/>
      <c r="S141" s="338"/>
      <c r="T141" s="338"/>
      <c r="U141" s="338"/>
      <c r="V141" s="338"/>
      <c r="W141" s="338"/>
      <c r="X141" s="338"/>
      <c r="Y141" s="338"/>
      <c r="Z141" s="338"/>
      <c r="AA141" s="338"/>
      <c r="AB141" s="338"/>
      <c r="AC141" s="338"/>
      <c r="AD141" s="338"/>
      <c r="AE141" s="338"/>
      <c r="AF141" s="338"/>
      <c r="AG141" s="338"/>
      <c r="AH141" s="338"/>
      <c r="AI141" s="338"/>
      <c r="AJ141" s="338"/>
      <c r="AK141" s="338"/>
      <c r="AL141" s="338"/>
      <c r="AM141" s="338"/>
      <c r="AN141" s="338"/>
      <c r="AO141" s="338"/>
      <c r="AP141" s="338"/>
      <c r="AQ141" s="338"/>
      <c r="AR141" s="338"/>
      <c r="AS141" s="338"/>
      <c r="AT141" s="338"/>
      <c r="AU141" s="338"/>
      <c r="AV141" s="338"/>
    </row>
    <row r="142" spans="2:48" x14ac:dyDescent="0.25">
      <c r="B142" s="338"/>
      <c r="C142" s="338"/>
      <c r="D142" s="338"/>
      <c r="E142" s="338"/>
      <c r="F142" s="338"/>
      <c r="G142" s="339"/>
      <c r="H142" s="342"/>
      <c r="I142" s="341"/>
      <c r="J142" s="339"/>
      <c r="K142" s="342"/>
      <c r="L142" s="341"/>
      <c r="M142" s="308"/>
      <c r="N142" s="292"/>
      <c r="O142" s="292"/>
      <c r="P142" s="292"/>
      <c r="Q142" s="338"/>
      <c r="R142" s="338"/>
      <c r="S142" s="338"/>
      <c r="T142" s="338"/>
      <c r="U142" s="338"/>
      <c r="V142" s="338"/>
      <c r="W142" s="338"/>
      <c r="X142" s="338"/>
      <c r="Y142" s="338"/>
      <c r="Z142" s="338"/>
      <c r="AA142" s="338"/>
      <c r="AB142" s="338"/>
      <c r="AC142" s="338"/>
      <c r="AD142" s="338"/>
      <c r="AE142" s="338"/>
      <c r="AF142" s="338"/>
      <c r="AG142" s="338"/>
      <c r="AH142" s="338"/>
      <c r="AI142" s="338"/>
      <c r="AJ142" s="338"/>
      <c r="AK142" s="338"/>
      <c r="AL142" s="338"/>
      <c r="AM142" s="338"/>
      <c r="AN142" s="338"/>
      <c r="AO142" s="338"/>
      <c r="AP142" s="338"/>
      <c r="AQ142" s="338"/>
      <c r="AR142" s="338"/>
      <c r="AS142" s="338"/>
      <c r="AT142" s="338"/>
      <c r="AU142" s="338"/>
      <c r="AV142" s="338"/>
    </row>
    <row r="143" spans="2:48" x14ac:dyDescent="0.25">
      <c r="B143" s="338"/>
      <c r="C143" s="338"/>
      <c r="D143" s="338"/>
      <c r="E143" s="338"/>
      <c r="F143" s="338"/>
      <c r="G143" s="339"/>
      <c r="H143" s="342"/>
      <c r="I143" s="341"/>
      <c r="J143" s="339"/>
      <c r="K143" s="342"/>
      <c r="L143" s="341"/>
      <c r="M143" s="308"/>
      <c r="N143" s="292"/>
      <c r="O143" s="292"/>
      <c r="P143" s="292"/>
      <c r="Q143" s="338"/>
      <c r="R143" s="338"/>
      <c r="S143" s="338"/>
      <c r="T143" s="338"/>
      <c r="U143" s="338"/>
      <c r="V143" s="338"/>
      <c r="W143" s="338"/>
      <c r="X143" s="338"/>
      <c r="Y143" s="338"/>
      <c r="Z143" s="338"/>
      <c r="AA143" s="338"/>
      <c r="AB143" s="338"/>
      <c r="AC143" s="338"/>
      <c r="AD143" s="338"/>
      <c r="AE143" s="338"/>
      <c r="AF143" s="338"/>
      <c r="AG143" s="338"/>
      <c r="AH143" s="338"/>
      <c r="AI143" s="338"/>
      <c r="AJ143" s="338"/>
      <c r="AK143" s="338"/>
      <c r="AL143" s="338"/>
      <c r="AM143" s="338"/>
      <c r="AN143" s="338"/>
      <c r="AO143" s="338"/>
      <c r="AP143" s="338"/>
      <c r="AQ143" s="338"/>
      <c r="AR143" s="338"/>
      <c r="AS143" s="338"/>
      <c r="AT143" s="338"/>
      <c r="AU143" s="338"/>
      <c r="AV143" s="338"/>
    </row>
    <row r="144" spans="2:48" x14ac:dyDescent="0.25">
      <c r="B144" s="338"/>
      <c r="C144" s="338"/>
      <c r="D144" s="338"/>
      <c r="E144" s="338"/>
      <c r="F144" s="338"/>
      <c r="G144" s="339"/>
      <c r="H144" s="342"/>
      <c r="I144" s="341"/>
      <c r="J144" s="339"/>
      <c r="K144" s="342"/>
      <c r="L144" s="341"/>
      <c r="M144" s="308"/>
      <c r="N144" s="292"/>
      <c r="O144" s="292"/>
      <c r="P144" s="292"/>
      <c r="Q144" s="338"/>
      <c r="R144" s="338"/>
      <c r="S144" s="338"/>
      <c r="T144" s="338"/>
      <c r="U144" s="338"/>
      <c r="V144" s="338"/>
      <c r="W144" s="338"/>
      <c r="X144" s="338"/>
      <c r="Y144" s="338"/>
      <c r="Z144" s="338"/>
      <c r="AA144" s="338"/>
      <c r="AB144" s="338"/>
      <c r="AC144" s="338"/>
      <c r="AD144" s="338"/>
      <c r="AE144" s="338"/>
      <c r="AF144" s="338"/>
      <c r="AG144" s="338"/>
      <c r="AH144" s="338"/>
      <c r="AI144" s="338"/>
      <c r="AJ144" s="338"/>
      <c r="AK144" s="338"/>
      <c r="AL144" s="338"/>
      <c r="AM144" s="338"/>
      <c r="AN144" s="338"/>
      <c r="AO144" s="338"/>
      <c r="AP144" s="338"/>
      <c r="AQ144" s="338"/>
      <c r="AR144" s="338"/>
      <c r="AS144" s="338"/>
      <c r="AT144" s="338"/>
      <c r="AU144" s="338"/>
      <c r="AV144" s="338"/>
    </row>
    <row r="145" spans="2:48" x14ac:dyDescent="0.25">
      <c r="B145" s="338"/>
      <c r="C145" s="338"/>
      <c r="D145" s="338"/>
      <c r="E145" s="338"/>
      <c r="F145" s="338"/>
      <c r="G145" s="339"/>
      <c r="H145" s="342"/>
      <c r="I145" s="341"/>
      <c r="J145" s="339"/>
      <c r="K145" s="342"/>
      <c r="L145" s="341"/>
      <c r="M145" s="308"/>
      <c r="N145" s="292"/>
      <c r="O145" s="292"/>
      <c r="P145" s="292"/>
      <c r="Q145" s="338"/>
      <c r="R145" s="338"/>
      <c r="S145" s="338"/>
      <c r="T145" s="338"/>
      <c r="U145" s="338"/>
      <c r="V145" s="338"/>
      <c r="W145" s="338"/>
      <c r="X145" s="338"/>
      <c r="Y145" s="338"/>
      <c r="Z145" s="338"/>
      <c r="AA145" s="338"/>
      <c r="AB145" s="338"/>
      <c r="AC145" s="338"/>
      <c r="AD145" s="338"/>
      <c r="AE145" s="338"/>
      <c r="AF145" s="338"/>
      <c r="AG145" s="338"/>
      <c r="AH145" s="338"/>
      <c r="AI145" s="338"/>
      <c r="AJ145" s="338"/>
      <c r="AK145" s="338"/>
      <c r="AL145" s="338"/>
      <c r="AM145" s="338"/>
      <c r="AN145" s="338"/>
      <c r="AO145" s="338"/>
      <c r="AP145" s="338"/>
      <c r="AQ145" s="338"/>
      <c r="AR145" s="338"/>
      <c r="AS145" s="338"/>
      <c r="AT145" s="338"/>
      <c r="AU145" s="338"/>
      <c r="AV145" s="338"/>
    </row>
    <row r="146" spans="2:48" x14ac:dyDescent="0.25">
      <c r="B146" s="338"/>
      <c r="C146" s="338"/>
      <c r="D146" s="338"/>
      <c r="E146" s="338"/>
      <c r="F146" s="338"/>
      <c r="G146" s="339"/>
      <c r="H146" s="342"/>
      <c r="I146" s="341"/>
      <c r="J146" s="339"/>
      <c r="K146" s="342"/>
      <c r="L146" s="341"/>
      <c r="M146" s="308"/>
      <c r="N146" s="292"/>
      <c r="O146" s="292"/>
      <c r="P146" s="292"/>
      <c r="Q146" s="338"/>
      <c r="R146" s="338"/>
      <c r="S146" s="338"/>
      <c r="T146" s="338"/>
      <c r="U146" s="338"/>
      <c r="V146" s="338"/>
      <c r="W146" s="338"/>
      <c r="X146" s="338"/>
      <c r="Y146" s="338"/>
      <c r="Z146" s="338"/>
      <c r="AA146" s="338"/>
      <c r="AB146" s="338"/>
      <c r="AC146" s="338"/>
      <c r="AD146" s="338"/>
      <c r="AE146" s="338"/>
      <c r="AF146" s="338"/>
      <c r="AG146" s="338"/>
      <c r="AH146" s="338"/>
      <c r="AI146" s="338"/>
      <c r="AJ146" s="338"/>
      <c r="AK146" s="338"/>
      <c r="AL146" s="338"/>
      <c r="AM146" s="338"/>
      <c r="AN146" s="338"/>
      <c r="AO146" s="338"/>
      <c r="AP146" s="338"/>
      <c r="AQ146" s="338"/>
      <c r="AR146" s="338"/>
      <c r="AS146" s="338"/>
      <c r="AT146" s="338"/>
      <c r="AU146" s="338"/>
      <c r="AV146" s="338"/>
    </row>
    <row r="147" spans="2:48" x14ac:dyDescent="0.25">
      <c r="B147" s="338"/>
      <c r="C147" s="338"/>
      <c r="D147" s="338"/>
      <c r="E147" s="338"/>
      <c r="F147" s="338"/>
      <c r="G147" s="339"/>
      <c r="H147" s="342"/>
      <c r="I147" s="341"/>
      <c r="J147" s="339"/>
      <c r="K147" s="342"/>
      <c r="L147" s="341"/>
      <c r="M147" s="308"/>
      <c r="N147" s="292"/>
      <c r="O147" s="292"/>
      <c r="P147" s="292"/>
      <c r="Q147" s="338"/>
      <c r="R147" s="338"/>
      <c r="S147" s="338"/>
      <c r="T147" s="338"/>
      <c r="U147" s="338"/>
      <c r="V147" s="338"/>
      <c r="W147" s="338"/>
      <c r="X147" s="338"/>
      <c r="Y147" s="338"/>
      <c r="Z147" s="338"/>
      <c r="AA147" s="338"/>
      <c r="AB147" s="338"/>
      <c r="AC147" s="338"/>
      <c r="AD147" s="338"/>
      <c r="AE147" s="338"/>
      <c r="AF147" s="338"/>
      <c r="AG147" s="338"/>
      <c r="AH147" s="338"/>
      <c r="AI147" s="338"/>
      <c r="AJ147" s="338"/>
      <c r="AK147" s="338"/>
      <c r="AL147" s="338"/>
      <c r="AM147" s="338"/>
      <c r="AN147" s="338"/>
      <c r="AO147" s="338"/>
      <c r="AP147" s="338"/>
      <c r="AQ147" s="338"/>
      <c r="AR147" s="338"/>
      <c r="AS147" s="338"/>
      <c r="AT147" s="338"/>
      <c r="AU147" s="338"/>
      <c r="AV147" s="338"/>
    </row>
    <row r="148" spans="2:48" x14ac:dyDescent="0.25">
      <c r="B148" s="338"/>
      <c r="C148" s="338"/>
      <c r="D148" s="338"/>
      <c r="E148" s="338"/>
      <c r="F148" s="338"/>
      <c r="G148" s="339"/>
      <c r="H148" s="342"/>
      <c r="I148" s="341"/>
      <c r="J148" s="339"/>
      <c r="K148" s="342"/>
      <c r="L148" s="341"/>
      <c r="M148" s="308"/>
      <c r="N148" s="292"/>
      <c r="O148" s="292"/>
      <c r="P148" s="292"/>
      <c r="Q148" s="338"/>
      <c r="R148" s="338"/>
      <c r="S148" s="338"/>
      <c r="T148" s="338"/>
      <c r="U148" s="338"/>
      <c r="V148" s="338"/>
      <c r="W148" s="338"/>
      <c r="X148" s="338"/>
      <c r="Y148" s="338"/>
      <c r="Z148" s="338"/>
      <c r="AA148" s="338"/>
      <c r="AB148" s="338"/>
      <c r="AC148" s="338"/>
      <c r="AD148" s="338"/>
      <c r="AE148" s="338"/>
      <c r="AF148" s="338"/>
      <c r="AG148" s="338"/>
      <c r="AH148" s="338"/>
      <c r="AI148" s="338"/>
      <c r="AJ148" s="338"/>
      <c r="AK148" s="338"/>
      <c r="AL148" s="338"/>
      <c r="AM148" s="338"/>
      <c r="AN148" s="338"/>
      <c r="AO148" s="338"/>
      <c r="AP148" s="338"/>
      <c r="AQ148" s="338"/>
      <c r="AR148" s="338"/>
      <c r="AS148" s="338"/>
      <c r="AT148" s="338"/>
      <c r="AU148" s="338"/>
      <c r="AV148" s="338"/>
    </row>
    <row r="149" spans="2:48" x14ac:dyDescent="0.25">
      <c r="B149" s="338"/>
      <c r="C149" s="338"/>
      <c r="D149" s="338"/>
      <c r="E149" s="338"/>
      <c r="F149" s="338"/>
      <c r="G149" s="339"/>
      <c r="H149" s="342"/>
      <c r="I149" s="341"/>
      <c r="J149" s="339"/>
      <c r="K149" s="342"/>
      <c r="L149" s="341"/>
      <c r="M149" s="308"/>
      <c r="N149" s="292"/>
      <c r="O149" s="292"/>
      <c r="P149" s="292"/>
      <c r="Q149" s="338"/>
      <c r="R149" s="338"/>
      <c r="S149" s="338"/>
      <c r="T149" s="338"/>
      <c r="U149" s="338"/>
      <c r="V149" s="338"/>
      <c r="W149" s="338"/>
      <c r="X149" s="338"/>
      <c r="Y149" s="338"/>
      <c r="Z149" s="338"/>
      <c r="AA149" s="338"/>
      <c r="AB149" s="338"/>
      <c r="AC149" s="338"/>
      <c r="AD149" s="338"/>
      <c r="AE149" s="338"/>
      <c r="AF149" s="338"/>
      <c r="AG149" s="338"/>
      <c r="AH149" s="338"/>
      <c r="AI149" s="338"/>
      <c r="AJ149" s="338"/>
      <c r="AK149" s="338"/>
      <c r="AL149" s="338"/>
      <c r="AM149" s="338"/>
      <c r="AN149" s="338"/>
      <c r="AO149" s="338"/>
      <c r="AP149" s="338"/>
      <c r="AQ149" s="338"/>
      <c r="AR149" s="338"/>
      <c r="AS149" s="338"/>
      <c r="AT149" s="338"/>
      <c r="AU149" s="338"/>
      <c r="AV149" s="338"/>
    </row>
    <row r="150" spans="2:48" x14ac:dyDescent="0.25">
      <c r="B150" s="338"/>
      <c r="C150" s="338"/>
      <c r="D150" s="338"/>
      <c r="E150" s="338"/>
      <c r="F150" s="338"/>
      <c r="G150" s="339"/>
      <c r="H150" s="342"/>
      <c r="I150" s="341"/>
      <c r="J150" s="339"/>
      <c r="K150" s="342"/>
      <c r="L150" s="341"/>
      <c r="M150" s="308"/>
      <c r="N150" s="292"/>
      <c r="O150" s="292"/>
      <c r="P150" s="292"/>
      <c r="Q150" s="338"/>
      <c r="R150" s="338"/>
      <c r="S150" s="338"/>
      <c r="T150" s="338"/>
      <c r="U150" s="338"/>
      <c r="V150" s="338"/>
      <c r="W150" s="338"/>
      <c r="X150" s="338"/>
      <c r="Y150" s="338"/>
      <c r="Z150" s="338"/>
      <c r="AA150" s="338"/>
      <c r="AB150" s="338"/>
      <c r="AC150" s="338"/>
      <c r="AD150" s="338"/>
      <c r="AE150" s="338"/>
      <c r="AF150" s="338"/>
      <c r="AG150" s="338"/>
      <c r="AH150" s="338"/>
      <c r="AI150" s="338"/>
      <c r="AJ150" s="338"/>
      <c r="AK150" s="338"/>
      <c r="AL150" s="338"/>
      <c r="AM150" s="338"/>
      <c r="AN150" s="338"/>
      <c r="AO150" s="338"/>
      <c r="AP150" s="338"/>
      <c r="AQ150" s="338"/>
      <c r="AR150" s="338"/>
      <c r="AS150" s="338"/>
      <c r="AT150" s="338"/>
      <c r="AU150" s="338"/>
      <c r="AV150" s="338"/>
    </row>
    <row r="151" spans="2:48" x14ac:dyDescent="0.25">
      <c r="B151" s="338"/>
      <c r="C151" s="338"/>
      <c r="D151" s="338"/>
      <c r="E151" s="338"/>
      <c r="F151" s="338"/>
      <c r="G151" s="339"/>
      <c r="H151" s="342"/>
      <c r="I151" s="341"/>
      <c r="J151" s="339"/>
      <c r="K151" s="342"/>
      <c r="L151" s="341"/>
      <c r="M151" s="308"/>
      <c r="N151" s="292"/>
      <c r="O151" s="292"/>
      <c r="P151" s="292"/>
      <c r="Q151" s="338"/>
      <c r="R151" s="338"/>
      <c r="S151" s="338"/>
      <c r="T151" s="338"/>
      <c r="U151" s="338"/>
      <c r="V151" s="338"/>
      <c r="W151" s="338"/>
      <c r="X151" s="338"/>
      <c r="Y151" s="338"/>
      <c r="Z151" s="338"/>
      <c r="AA151" s="338"/>
      <c r="AB151" s="338"/>
      <c r="AC151" s="338"/>
      <c r="AD151" s="338"/>
      <c r="AE151" s="338"/>
      <c r="AF151" s="338"/>
      <c r="AG151" s="338"/>
      <c r="AH151" s="338"/>
      <c r="AI151" s="338"/>
      <c r="AJ151" s="338"/>
      <c r="AK151" s="338"/>
      <c r="AL151" s="338"/>
      <c r="AM151" s="338"/>
      <c r="AN151" s="338"/>
      <c r="AO151" s="338"/>
      <c r="AP151" s="338"/>
      <c r="AQ151" s="338"/>
      <c r="AR151" s="338"/>
      <c r="AS151" s="338"/>
      <c r="AT151" s="338"/>
      <c r="AU151" s="338"/>
      <c r="AV151" s="338"/>
    </row>
    <row r="152" spans="2:48" x14ac:dyDescent="0.25">
      <c r="B152" s="338"/>
      <c r="C152" s="338"/>
      <c r="D152" s="338"/>
      <c r="E152" s="338"/>
      <c r="F152" s="338"/>
      <c r="G152" s="339"/>
      <c r="H152" s="342"/>
      <c r="I152" s="341"/>
      <c r="J152" s="339"/>
      <c r="K152" s="342"/>
      <c r="L152" s="341"/>
      <c r="M152" s="308"/>
      <c r="N152" s="292"/>
      <c r="O152" s="292"/>
      <c r="P152" s="292"/>
      <c r="Q152" s="338"/>
      <c r="R152" s="338"/>
      <c r="S152" s="338"/>
      <c r="T152" s="338"/>
      <c r="U152" s="338"/>
      <c r="V152" s="338"/>
      <c r="W152" s="338"/>
      <c r="X152" s="338"/>
      <c r="Y152" s="338"/>
      <c r="Z152" s="338"/>
      <c r="AA152" s="338"/>
      <c r="AB152" s="338"/>
      <c r="AC152" s="338"/>
      <c r="AD152" s="338"/>
      <c r="AE152" s="338"/>
      <c r="AF152" s="338"/>
      <c r="AG152" s="338"/>
      <c r="AH152" s="338"/>
      <c r="AI152" s="338"/>
      <c r="AJ152" s="338"/>
      <c r="AK152" s="338"/>
      <c r="AL152" s="338"/>
      <c r="AM152" s="338"/>
      <c r="AN152" s="338"/>
      <c r="AO152" s="338"/>
      <c r="AP152" s="338"/>
      <c r="AQ152" s="338"/>
      <c r="AR152" s="338"/>
      <c r="AS152" s="338"/>
      <c r="AT152" s="338"/>
      <c r="AU152" s="338"/>
      <c r="AV152" s="338"/>
    </row>
    <row r="153" spans="2:48" x14ac:dyDescent="0.25">
      <c r="B153" s="338"/>
      <c r="C153" s="338"/>
      <c r="D153" s="338"/>
      <c r="E153" s="338"/>
      <c r="F153" s="338"/>
      <c r="G153" s="339"/>
      <c r="H153" s="342"/>
      <c r="I153" s="341"/>
      <c r="J153" s="339"/>
      <c r="K153" s="342"/>
      <c r="L153" s="341"/>
      <c r="M153" s="308"/>
      <c r="N153" s="292"/>
      <c r="O153" s="292"/>
      <c r="P153" s="292"/>
      <c r="Q153" s="338"/>
      <c r="R153" s="338"/>
      <c r="S153" s="338"/>
      <c r="T153" s="338"/>
      <c r="U153" s="338"/>
      <c r="V153" s="338"/>
      <c r="W153" s="338"/>
      <c r="X153" s="338"/>
      <c r="Y153" s="338"/>
      <c r="Z153" s="338"/>
      <c r="AA153" s="338"/>
      <c r="AB153" s="338"/>
      <c r="AC153" s="338"/>
      <c r="AD153" s="338"/>
      <c r="AE153" s="338"/>
      <c r="AF153" s="338"/>
      <c r="AG153" s="338"/>
      <c r="AH153" s="338"/>
      <c r="AI153" s="338"/>
      <c r="AJ153" s="338"/>
      <c r="AK153" s="338"/>
      <c r="AL153" s="338"/>
      <c r="AM153" s="338"/>
      <c r="AN153" s="338"/>
      <c r="AO153" s="338"/>
      <c r="AP153" s="338"/>
      <c r="AQ153" s="338"/>
      <c r="AR153" s="338"/>
      <c r="AS153" s="338"/>
      <c r="AT153" s="338"/>
      <c r="AU153" s="338"/>
      <c r="AV153" s="338"/>
    </row>
    <row r="154" spans="2:48" x14ac:dyDescent="0.25">
      <c r="B154" s="338"/>
      <c r="C154" s="338"/>
      <c r="D154" s="338"/>
      <c r="E154" s="338"/>
      <c r="F154" s="338"/>
      <c r="G154" s="339"/>
      <c r="H154" s="342"/>
      <c r="I154" s="341"/>
      <c r="J154" s="339"/>
      <c r="K154" s="342"/>
      <c r="L154" s="341"/>
      <c r="M154" s="308"/>
      <c r="N154" s="292"/>
      <c r="O154" s="292"/>
      <c r="P154" s="292"/>
      <c r="Q154" s="338"/>
      <c r="R154" s="338"/>
      <c r="S154" s="338"/>
      <c r="T154" s="338"/>
      <c r="U154" s="338"/>
      <c r="V154" s="338"/>
      <c r="W154" s="338"/>
      <c r="X154" s="338"/>
      <c r="Y154" s="338"/>
      <c r="Z154" s="338"/>
      <c r="AA154" s="338"/>
      <c r="AB154" s="338"/>
      <c r="AC154" s="338"/>
      <c r="AD154" s="338"/>
      <c r="AE154" s="338"/>
      <c r="AF154" s="338"/>
      <c r="AG154" s="338"/>
      <c r="AH154" s="338"/>
      <c r="AI154" s="338"/>
      <c r="AJ154" s="338"/>
      <c r="AK154" s="338"/>
      <c r="AL154" s="338"/>
      <c r="AM154" s="338"/>
      <c r="AN154" s="338"/>
      <c r="AO154" s="338"/>
      <c r="AP154" s="338"/>
      <c r="AQ154" s="338"/>
      <c r="AR154" s="338"/>
      <c r="AS154" s="338"/>
      <c r="AT154" s="338"/>
      <c r="AU154" s="338"/>
      <c r="AV154" s="338"/>
    </row>
    <row r="155" spans="2:48" x14ac:dyDescent="0.25">
      <c r="B155" s="338"/>
      <c r="C155" s="338"/>
      <c r="D155" s="338"/>
      <c r="E155" s="338"/>
      <c r="F155" s="338"/>
      <c r="G155" s="339"/>
      <c r="H155" s="342"/>
      <c r="I155" s="341"/>
      <c r="J155" s="339"/>
      <c r="K155" s="342"/>
      <c r="L155" s="341"/>
      <c r="M155" s="308"/>
      <c r="N155" s="292"/>
      <c r="O155" s="292"/>
      <c r="P155" s="292"/>
      <c r="Q155" s="338"/>
      <c r="R155" s="338"/>
      <c r="S155" s="338"/>
      <c r="T155" s="338"/>
      <c r="U155" s="338"/>
      <c r="V155" s="338"/>
      <c r="W155" s="338"/>
      <c r="X155" s="338"/>
      <c r="Y155" s="338"/>
      <c r="Z155" s="338"/>
      <c r="AA155" s="338"/>
      <c r="AB155" s="338"/>
      <c r="AC155" s="338"/>
      <c r="AD155" s="338"/>
      <c r="AE155" s="338"/>
      <c r="AF155" s="338"/>
      <c r="AG155" s="338"/>
      <c r="AH155" s="338"/>
      <c r="AI155" s="338"/>
      <c r="AJ155" s="338"/>
      <c r="AK155" s="338"/>
      <c r="AL155" s="338"/>
      <c r="AM155" s="338"/>
      <c r="AN155" s="338"/>
      <c r="AO155" s="338"/>
      <c r="AP155" s="338"/>
      <c r="AQ155" s="338"/>
      <c r="AR155" s="338"/>
      <c r="AS155" s="338"/>
      <c r="AT155" s="338"/>
      <c r="AU155" s="338"/>
      <c r="AV155" s="338"/>
    </row>
    <row r="156" spans="2:48" x14ac:dyDescent="0.25">
      <c r="B156" s="338"/>
      <c r="C156" s="338"/>
      <c r="D156" s="338"/>
      <c r="E156" s="338"/>
      <c r="F156" s="338"/>
      <c r="G156" s="339"/>
      <c r="H156" s="342"/>
      <c r="I156" s="341"/>
      <c r="J156" s="339"/>
      <c r="K156" s="342"/>
      <c r="L156" s="341"/>
      <c r="M156" s="308"/>
      <c r="N156" s="292"/>
      <c r="O156" s="292"/>
      <c r="P156" s="292"/>
      <c r="Q156" s="338"/>
      <c r="R156" s="338"/>
      <c r="S156" s="338"/>
      <c r="T156" s="338"/>
      <c r="U156" s="338"/>
      <c r="V156" s="338"/>
      <c r="W156" s="338"/>
      <c r="X156" s="338"/>
      <c r="Y156" s="338"/>
      <c r="Z156" s="338"/>
      <c r="AA156" s="338"/>
      <c r="AB156" s="338"/>
      <c r="AC156" s="338"/>
      <c r="AD156" s="338"/>
      <c r="AE156" s="338"/>
      <c r="AF156" s="338"/>
      <c r="AG156" s="338"/>
      <c r="AH156" s="338"/>
      <c r="AI156" s="338"/>
      <c r="AJ156" s="338"/>
      <c r="AK156" s="338"/>
      <c r="AL156" s="338"/>
      <c r="AM156" s="338"/>
      <c r="AN156" s="338"/>
      <c r="AO156" s="338"/>
      <c r="AP156" s="338"/>
      <c r="AQ156" s="338"/>
      <c r="AR156" s="338"/>
      <c r="AS156" s="338"/>
      <c r="AT156" s="338"/>
      <c r="AU156" s="338"/>
      <c r="AV156" s="338"/>
    </row>
    <row r="157" spans="2:48" x14ac:dyDescent="0.25">
      <c r="B157" s="338"/>
      <c r="C157" s="338"/>
      <c r="D157" s="338"/>
      <c r="E157" s="338"/>
      <c r="F157" s="338"/>
      <c r="G157" s="339"/>
      <c r="H157" s="342"/>
      <c r="I157" s="341"/>
      <c r="J157" s="339"/>
      <c r="K157" s="342"/>
      <c r="L157" s="341"/>
      <c r="M157" s="308"/>
      <c r="N157" s="292"/>
      <c r="O157" s="292"/>
      <c r="P157" s="292"/>
      <c r="Q157" s="338"/>
      <c r="R157" s="338"/>
      <c r="S157" s="338"/>
      <c r="T157" s="338"/>
      <c r="U157" s="338"/>
      <c r="V157" s="338"/>
      <c r="W157" s="338"/>
      <c r="X157" s="338"/>
      <c r="Y157" s="338"/>
      <c r="Z157" s="338"/>
      <c r="AA157" s="338"/>
      <c r="AB157" s="338"/>
      <c r="AC157" s="338"/>
      <c r="AD157" s="338"/>
      <c r="AE157" s="338"/>
      <c r="AF157" s="338"/>
      <c r="AG157" s="338"/>
      <c r="AH157" s="338"/>
      <c r="AI157" s="338"/>
      <c r="AJ157" s="338"/>
      <c r="AK157" s="338"/>
      <c r="AL157" s="338"/>
      <c r="AM157" s="338"/>
      <c r="AN157" s="338"/>
      <c r="AO157" s="338"/>
      <c r="AP157" s="338"/>
      <c r="AQ157" s="338"/>
      <c r="AR157" s="338"/>
      <c r="AS157" s="338"/>
      <c r="AT157" s="338"/>
      <c r="AU157" s="338"/>
      <c r="AV157" s="338"/>
    </row>
    <row r="158" spans="2:48" x14ac:dyDescent="0.25">
      <c r="B158" s="338"/>
      <c r="C158" s="338"/>
      <c r="D158" s="338"/>
      <c r="E158" s="338"/>
      <c r="F158" s="338"/>
      <c r="G158" s="339"/>
      <c r="H158" s="342"/>
      <c r="I158" s="341"/>
      <c r="J158" s="339"/>
      <c r="K158" s="342"/>
      <c r="L158" s="341"/>
      <c r="M158" s="308"/>
      <c r="N158" s="292"/>
      <c r="O158" s="292"/>
      <c r="P158" s="292"/>
      <c r="Q158" s="338"/>
      <c r="R158" s="338"/>
      <c r="S158" s="338"/>
      <c r="T158" s="338"/>
      <c r="U158" s="338"/>
      <c r="V158" s="338"/>
      <c r="W158" s="338"/>
      <c r="X158" s="338"/>
      <c r="Y158" s="338"/>
      <c r="Z158" s="338"/>
      <c r="AA158" s="338"/>
      <c r="AB158" s="338"/>
      <c r="AC158" s="338"/>
      <c r="AD158" s="338"/>
      <c r="AE158" s="338"/>
      <c r="AF158" s="338"/>
      <c r="AG158" s="338"/>
      <c r="AH158" s="338"/>
      <c r="AI158" s="338"/>
      <c r="AJ158" s="338"/>
      <c r="AK158" s="338"/>
      <c r="AL158" s="338"/>
      <c r="AM158" s="338"/>
      <c r="AN158" s="338"/>
      <c r="AO158" s="338"/>
      <c r="AP158" s="338"/>
      <c r="AQ158" s="338"/>
      <c r="AR158" s="338"/>
      <c r="AS158" s="338"/>
      <c r="AT158" s="338"/>
      <c r="AU158" s="338"/>
      <c r="AV158" s="338"/>
    </row>
    <row r="159" spans="2:48" x14ac:dyDescent="0.25">
      <c r="B159" s="338"/>
      <c r="C159" s="338"/>
      <c r="D159" s="338"/>
      <c r="E159" s="338"/>
      <c r="F159" s="338"/>
      <c r="G159" s="339"/>
      <c r="H159" s="342"/>
      <c r="I159" s="341"/>
      <c r="J159" s="339"/>
      <c r="K159" s="342"/>
      <c r="L159" s="341"/>
      <c r="M159" s="308"/>
      <c r="N159" s="292"/>
      <c r="O159" s="292"/>
      <c r="P159" s="292"/>
      <c r="Q159" s="338"/>
      <c r="R159" s="338"/>
      <c r="S159" s="338"/>
      <c r="T159" s="338"/>
      <c r="U159" s="338"/>
      <c r="V159" s="338"/>
      <c r="W159" s="338"/>
      <c r="X159" s="338"/>
      <c r="Y159" s="338"/>
      <c r="Z159" s="338"/>
      <c r="AA159" s="338"/>
      <c r="AB159" s="338"/>
      <c r="AC159" s="338"/>
      <c r="AD159" s="338"/>
      <c r="AE159" s="338"/>
      <c r="AF159" s="338"/>
      <c r="AG159" s="338"/>
      <c r="AH159" s="338"/>
      <c r="AI159" s="338"/>
      <c r="AJ159" s="338"/>
      <c r="AK159" s="338"/>
      <c r="AL159" s="338"/>
      <c r="AM159" s="338"/>
      <c r="AN159" s="338"/>
      <c r="AO159" s="338"/>
      <c r="AP159" s="338"/>
      <c r="AQ159" s="338"/>
      <c r="AR159" s="338"/>
      <c r="AS159" s="338"/>
      <c r="AT159" s="338"/>
      <c r="AU159" s="338"/>
      <c r="AV159" s="338"/>
    </row>
    <row r="160" spans="2:48" x14ac:dyDescent="0.25">
      <c r="B160" s="338"/>
      <c r="C160" s="338"/>
      <c r="D160" s="338"/>
      <c r="E160" s="338"/>
      <c r="F160" s="338"/>
      <c r="G160" s="339"/>
      <c r="H160" s="342"/>
      <c r="I160" s="341"/>
      <c r="J160" s="339"/>
      <c r="K160" s="342"/>
      <c r="L160" s="341"/>
      <c r="M160" s="308"/>
      <c r="N160" s="292"/>
      <c r="O160" s="292"/>
      <c r="P160" s="292"/>
      <c r="Q160" s="338"/>
      <c r="R160" s="338"/>
      <c r="S160" s="338"/>
      <c r="T160" s="338"/>
      <c r="U160" s="338"/>
      <c r="V160" s="338"/>
      <c r="W160" s="338"/>
      <c r="X160" s="338"/>
      <c r="Y160" s="338"/>
      <c r="Z160" s="338"/>
      <c r="AA160" s="338"/>
      <c r="AB160" s="338"/>
      <c r="AC160" s="338"/>
      <c r="AD160" s="338"/>
      <c r="AE160" s="338"/>
      <c r="AF160" s="338"/>
      <c r="AG160" s="338"/>
      <c r="AH160" s="338"/>
      <c r="AI160" s="338"/>
      <c r="AJ160" s="338"/>
      <c r="AK160" s="338"/>
      <c r="AL160" s="338"/>
      <c r="AM160" s="338"/>
      <c r="AN160" s="338"/>
      <c r="AO160" s="338"/>
      <c r="AP160" s="338"/>
      <c r="AQ160" s="338"/>
      <c r="AR160" s="338"/>
      <c r="AS160" s="338"/>
      <c r="AT160" s="338"/>
      <c r="AU160" s="338"/>
      <c r="AV160" s="338"/>
    </row>
    <row r="161" spans="2:48" x14ac:dyDescent="0.25">
      <c r="B161" s="338"/>
      <c r="C161" s="338"/>
      <c r="D161" s="338"/>
      <c r="E161" s="338"/>
      <c r="F161" s="338"/>
      <c r="G161" s="339"/>
      <c r="H161" s="342"/>
      <c r="I161" s="341"/>
      <c r="J161" s="339"/>
      <c r="K161" s="342"/>
      <c r="L161" s="341"/>
      <c r="M161" s="308"/>
      <c r="N161" s="292"/>
      <c r="O161" s="292"/>
      <c r="P161" s="292"/>
      <c r="Q161" s="338"/>
      <c r="R161" s="338"/>
      <c r="S161" s="338"/>
      <c r="T161" s="338"/>
      <c r="U161" s="338"/>
      <c r="V161" s="338"/>
      <c r="W161" s="338"/>
      <c r="X161" s="338"/>
      <c r="Y161" s="338"/>
      <c r="Z161" s="338"/>
      <c r="AA161" s="338"/>
      <c r="AB161" s="338"/>
      <c r="AC161" s="338"/>
      <c r="AD161" s="338"/>
      <c r="AE161" s="338"/>
      <c r="AF161" s="338"/>
      <c r="AG161" s="338"/>
      <c r="AH161" s="338"/>
      <c r="AI161" s="338"/>
      <c r="AJ161" s="338"/>
      <c r="AK161" s="338"/>
      <c r="AL161" s="338"/>
      <c r="AM161" s="338"/>
      <c r="AN161" s="338"/>
      <c r="AO161" s="338"/>
      <c r="AP161" s="338"/>
      <c r="AQ161" s="338"/>
      <c r="AR161" s="338"/>
      <c r="AS161" s="338"/>
      <c r="AT161" s="338"/>
      <c r="AU161" s="338"/>
      <c r="AV161" s="338"/>
    </row>
    <row r="162" spans="2:48" x14ac:dyDescent="0.25">
      <c r="B162" s="338"/>
      <c r="C162" s="338"/>
      <c r="D162" s="338"/>
      <c r="E162" s="338"/>
      <c r="F162" s="338"/>
      <c r="G162" s="339"/>
      <c r="H162" s="342"/>
      <c r="I162" s="341"/>
      <c r="J162" s="339"/>
      <c r="K162" s="342"/>
      <c r="L162" s="341"/>
      <c r="M162" s="308"/>
      <c r="N162" s="292"/>
      <c r="O162" s="292"/>
      <c r="P162" s="292"/>
      <c r="Q162" s="338"/>
      <c r="R162" s="338"/>
      <c r="S162" s="338"/>
      <c r="T162" s="338"/>
      <c r="U162" s="338"/>
      <c r="V162" s="338"/>
      <c r="W162" s="338"/>
      <c r="X162" s="338"/>
      <c r="Y162" s="338"/>
      <c r="Z162" s="338"/>
      <c r="AA162" s="338"/>
      <c r="AB162" s="338"/>
      <c r="AC162" s="338"/>
      <c r="AD162" s="338"/>
      <c r="AE162" s="338"/>
      <c r="AF162" s="338"/>
      <c r="AG162" s="338"/>
      <c r="AH162" s="338"/>
      <c r="AI162" s="338"/>
      <c r="AJ162" s="338"/>
      <c r="AK162" s="338"/>
      <c r="AL162" s="338"/>
      <c r="AM162" s="338"/>
      <c r="AN162" s="338"/>
      <c r="AO162" s="338"/>
      <c r="AP162" s="338"/>
      <c r="AQ162" s="338"/>
      <c r="AR162" s="338"/>
      <c r="AS162" s="338"/>
      <c r="AT162" s="338"/>
      <c r="AU162" s="338"/>
      <c r="AV162" s="338"/>
    </row>
    <row r="163" spans="2:48" x14ac:dyDescent="0.25">
      <c r="B163" s="338"/>
      <c r="C163" s="338"/>
      <c r="D163" s="338"/>
      <c r="E163" s="338"/>
      <c r="F163" s="338"/>
      <c r="G163" s="339"/>
      <c r="H163" s="342"/>
      <c r="I163" s="341"/>
      <c r="J163" s="339"/>
      <c r="K163" s="342"/>
      <c r="L163" s="341"/>
      <c r="M163" s="308"/>
      <c r="N163" s="292"/>
      <c r="O163" s="292"/>
      <c r="P163" s="292"/>
      <c r="Q163" s="338"/>
      <c r="R163" s="338"/>
      <c r="S163" s="338"/>
      <c r="T163" s="338"/>
      <c r="U163" s="338"/>
      <c r="V163" s="338"/>
      <c r="W163" s="338"/>
      <c r="X163" s="338"/>
      <c r="Y163" s="338"/>
      <c r="Z163" s="338"/>
      <c r="AA163" s="338"/>
      <c r="AB163" s="338"/>
      <c r="AC163" s="338"/>
      <c r="AD163" s="338"/>
      <c r="AE163" s="338"/>
      <c r="AF163" s="338"/>
      <c r="AG163" s="338"/>
      <c r="AH163" s="338"/>
      <c r="AI163" s="338"/>
      <c r="AJ163" s="338"/>
      <c r="AK163" s="338"/>
      <c r="AL163" s="338"/>
      <c r="AM163" s="338"/>
      <c r="AN163" s="338"/>
      <c r="AO163" s="338"/>
      <c r="AP163" s="338"/>
      <c r="AQ163" s="338"/>
      <c r="AR163" s="338"/>
      <c r="AS163" s="338"/>
      <c r="AT163" s="338"/>
      <c r="AU163" s="338"/>
      <c r="AV163" s="338"/>
    </row>
    <row r="164" spans="2:48" x14ac:dyDescent="0.25">
      <c r="B164" s="338"/>
      <c r="C164" s="338"/>
      <c r="D164" s="338"/>
      <c r="E164" s="338"/>
      <c r="F164" s="338"/>
      <c r="G164" s="339"/>
      <c r="H164" s="342"/>
      <c r="I164" s="341"/>
      <c r="J164" s="339"/>
      <c r="K164" s="342"/>
      <c r="L164" s="341"/>
      <c r="M164" s="308"/>
      <c r="N164" s="292"/>
      <c r="O164" s="292"/>
      <c r="P164" s="292"/>
      <c r="Q164" s="338"/>
      <c r="R164" s="338"/>
      <c r="S164" s="338"/>
      <c r="T164" s="338"/>
      <c r="U164" s="338"/>
      <c r="V164" s="338"/>
      <c r="W164" s="338"/>
      <c r="X164" s="338"/>
      <c r="Y164" s="338"/>
      <c r="Z164" s="338"/>
      <c r="AA164" s="338"/>
      <c r="AB164" s="338"/>
      <c r="AC164" s="338"/>
      <c r="AD164" s="338"/>
      <c r="AE164" s="338"/>
      <c r="AF164" s="338"/>
      <c r="AG164" s="338"/>
      <c r="AH164" s="338"/>
      <c r="AI164" s="338"/>
      <c r="AJ164" s="338"/>
      <c r="AK164" s="338"/>
      <c r="AL164" s="338"/>
      <c r="AM164" s="338"/>
      <c r="AN164" s="338"/>
      <c r="AO164" s="338"/>
      <c r="AP164" s="338"/>
      <c r="AQ164" s="338"/>
      <c r="AR164" s="338"/>
      <c r="AS164" s="338"/>
      <c r="AT164" s="338"/>
      <c r="AU164" s="338"/>
      <c r="AV164" s="338"/>
    </row>
    <row r="165" spans="2:48" x14ac:dyDescent="0.25">
      <c r="B165" s="338"/>
      <c r="C165" s="338"/>
      <c r="D165" s="338"/>
      <c r="E165" s="338"/>
      <c r="F165" s="338"/>
      <c r="G165" s="339"/>
      <c r="H165" s="342"/>
      <c r="I165" s="341"/>
      <c r="J165" s="339"/>
      <c r="K165" s="342"/>
      <c r="L165" s="341"/>
      <c r="M165" s="308"/>
      <c r="N165" s="292"/>
      <c r="O165" s="292"/>
      <c r="P165" s="292"/>
      <c r="Q165" s="338"/>
      <c r="R165" s="338"/>
      <c r="S165" s="338"/>
      <c r="T165" s="338"/>
      <c r="U165" s="338"/>
      <c r="V165" s="338"/>
      <c r="W165" s="338"/>
      <c r="X165" s="338"/>
      <c r="Y165" s="338"/>
      <c r="Z165" s="338"/>
      <c r="AA165" s="338"/>
      <c r="AB165" s="338"/>
      <c r="AC165" s="338"/>
      <c r="AD165" s="338"/>
      <c r="AE165" s="338"/>
      <c r="AF165" s="338"/>
      <c r="AG165" s="338"/>
      <c r="AH165" s="338"/>
      <c r="AI165" s="338"/>
      <c r="AJ165" s="338"/>
      <c r="AK165" s="338"/>
      <c r="AL165" s="338"/>
      <c r="AM165" s="338"/>
      <c r="AN165" s="338"/>
      <c r="AO165" s="338"/>
      <c r="AP165" s="338"/>
      <c r="AQ165" s="338"/>
      <c r="AR165" s="338"/>
      <c r="AS165" s="338"/>
      <c r="AT165" s="338"/>
      <c r="AU165" s="338"/>
      <c r="AV165" s="338"/>
    </row>
    <row r="166" spans="2:48" x14ac:dyDescent="0.25">
      <c r="B166" s="338"/>
      <c r="C166" s="338"/>
      <c r="D166" s="338"/>
      <c r="E166" s="338"/>
      <c r="F166" s="338"/>
      <c r="G166" s="339"/>
      <c r="H166" s="342"/>
      <c r="I166" s="341"/>
      <c r="J166" s="339"/>
      <c r="K166" s="342"/>
      <c r="L166" s="341"/>
      <c r="M166" s="308"/>
      <c r="N166" s="292"/>
      <c r="O166" s="292"/>
      <c r="P166" s="292"/>
      <c r="Q166" s="338"/>
      <c r="R166" s="338"/>
      <c r="S166" s="338"/>
      <c r="T166" s="338"/>
      <c r="U166" s="338"/>
      <c r="V166" s="338"/>
      <c r="W166" s="338"/>
      <c r="X166" s="338"/>
      <c r="Y166" s="338"/>
      <c r="Z166" s="338"/>
      <c r="AA166" s="338"/>
      <c r="AB166" s="338"/>
      <c r="AC166" s="338"/>
      <c r="AD166" s="338"/>
      <c r="AE166" s="338"/>
      <c r="AF166" s="338"/>
      <c r="AG166" s="338"/>
      <c r="AH166" s="338"/>
      <c r="AI166" s="338"/>
      <c r="AJ166" s="338"/>
      <c r="AK166" s="338"/>
      <c r="AL166" s="338"/>
      <c r="AM166" s="338"/>
      <c r="AN166" s="338"/>
      <c r="AO166" s="338"/>
      <c r="AP166" s="338"/>
      <c r="AQ166" s="338"/>
      <c r="AR166" s="338"/>
      <c r="AS166" s="338"/>
      <c r="AT166" s="338"/>
      <c r="AU166" s="338"/>
      <c r="AV166" s="338"/>
    </row>
    <row r="167" spans="2:48" x14ac:dyDescent="0.25">
      <c r="B167" s="338"/>
      <c r="C167" s="338"/>
      <c r="D167" s="338"/>
      <c r="E167" s="338"/>
      <c r="F167" s="338"/>
      <c r="G167" s="339"/>
      <c r="H167" s="342"/>
      <c r="I167" s="341"/>
      <c r="J167" s="339"/>
      <c r="K167" s="342"/>
      <c r="L167" s="341"/>
      <c r="M167" s="308"/>
      <c r="N167" s="292"/>
      <c r="O167" s="292"/>
      <c r="P167" s="292"/>
      <c r="Q167" s="338"/>
      <c r="R167" s="338"/>
      <c r="S167" s="338"/>
      <c r="T167" s="338"/>
      <c r="U167" s="338"/>
      <c r="V167" s="338"/>
      <c r="W167" s="338"/>
      <c r="X167" s="338"/>
      <c r="Y167" s="338"/>
      <c r="Z167" s="338"/>
      <c r="AA167" s="338"/>
      <c r="AB167" s="338"/>
      <c r="AC167" s="338"/>
      <c r="AD167" s="338"/>
      <c r="AE167" s="338"/>
      <c r="AF167" s="338"/>
      <c r="AG167" s="338"/>
      <c r="AH167" s="338"/>
      <c r="AI167" s="338"/>
      <c r="AJ167" s="338"/>
      <c r="AK167" s="338"/>
      <c r="AL167" s="338"/>
      <c r="AM167" s="338"/>
      <c r="AN167" s="338"/>
      <c r="AO167" s="338"/>
      <c r="AP167" s="338"/>
      <c r="AQ167" s="338"/>
      <c r="AR167" s="338"/>
      <c r="AS167" s="338"/>
      <c r="AT167" s="338"/>
      <c r="AU167" s="338"/>
      <c r="AV167" s="338"/>
    </row>
    <row r="168" spans="2:48" x14ac:dyDescent="0.25">
      <c r="B168" s="338"/>
      <c r="C168" s="338"/>
      <c r="D168" s="338"/>
      <c r="E168" s="338"/>
      <c r="F168" s="338"/>
      <c r="G168" s="339"/>
      <c r="H168" s="342"/>
      <c r="I168" s="341"/>
      <c r="J168" s="339"/>
      <c r="K168" s="342"/>
      <c r="L168" s="341"/>
      <c r="M168" s="308"/>
      <c r="N168" s="292"/>
      <c r="O168" s="292"/>
      <c r="P168" s="292"/>
      <c r="Q168" s="338"/>
      <c r="R168" s="338"/>
      <c r="S168" s="338"/>
      <c r="T168" s="338"/>
      <c r="U168" s="338"/>
      <c r="V168" s="338"/>
      <c r="W168" s="338"/>
      <c r="X168" s="338"/>
      <c r="Y168" s="338"/>
      <c r="Z168" s="338"/>
      <c r="AA168" s="338"/>
      <c r="AB168" s="338"/>
      <c r="AC168" s="338"/>
      <c r="AD168" s="338"/>
      <c r="AE168" s="338"/>
      <c r="AF168" s="338"/>
      <c r="AG168" s="338"/>
      <c r="AH168" s="338"/>
      <c r="AI168" s="338"/>
      <c r="AJ168" s="338"/>
      <c r="AK168" s="338"/>
      <c r="AL168" s="338"/>
      <c r="AM168" s="338"/>
      <c r="AN168" s="338"/>
      <c r="AO168" s="338"/>
      <c r="AP168" s="338"/>
      <c r="AQ168" s="338"/>
      <c r="AR168" s="338"/>
      <c r="AS168" s="338"/>
      <c r="AT168" s="338"/>
      <c r="AU168" s="338"/>
      <c r="AV168" s="338"/>
    </row>
    <row r="169" spans="2:48" x14ac:dyDescent="0.25">
      <c r="B169" s="338"/>
      <c r="C169" s="338"/>
      <c r="D169" s="338"/>
      <c r="E169" s="338"/>
      <c r="F169" s="338"/>
      <c r="G169" s="339"/>
      <c r="H169" s="342"/>
      <c r="I169" s="341"/>
      <c r="J169" s="339"/>
      <c r="K169" s="342"/>
      <c r="L169" s="341"/>
      <c r="M169" s="308"/>
      <c r="N169" s="292"/>
      <c r="O169" s="292"/>
      <c r="P169" s="292"/>
      <c r="Q169" s="338"/>
      <c r="R169" s="338"/>
      <c r="S169" s="338"/>
      <c r="T169" s="338"/>
      <c r="U169" s="338"/>
      <c r="V169" s="338"/>
      <c r="W169" s="338"/>
      <c r="X169" s="338"/>
      <c r="Y169" s="338"/>
      <c r="Z169" s="338"/>
      <c r="AA169" s="338"/>
      <c r="AB169" s="338"/>
      <c r="AC169" s="338"/>
      <c r="AD169" s="338"/>
      <c r="AE169" s="338"/>
      <c r="AF169" s="338"/>
      <c r="AG169" s="338"/>
      <c r="AH169" s="338"/>
      <c r="AI169" s="338"/>
      <c r="AJ169" s="338"/>
      <c r="AK169" s="338"/>
      <c r="AL169" s="338"/>
      <c r="AM169" s="338"/>
      <c r="AN169" s="338"/>
      <c r="AO169" s="338"/>
      <c r="AP169" s="338"/>
      <c r="AQ169" s="338"/>
      <c r="AR169" s="338"/>
      <c r="AS169" s="338"/>
      <c r="AT169" s="338"/>
      <c r="AU169" s="338"/>
      <c r="AV169" s="338"/>
    </row>
    <row r="170" spans="2:48" x14ac:dyDescent="0.25">
      <c r="B170" s="338"/>
      <c r="C170" s="338"/>
      <c r="D170" s="338"/>
      <c r="E170" s="338"/>
      <c r="F170" s="338"/>
      <c r="G170" s="339"/>
      <c r="H170" s="342"/>
      <c r="I170" s="341"/>
      <c r="J170" s="339"/>
      <c r="K170" s="342"/>
      <c r="L170" s="341"/>
      <c r="M170" s="308"/>
      <c r="N170" s="292"/>
      <c r="O170" s="292"/>
      <c r="P170" s="292"/>
      <c r="Q170" s="338"/>
      <c r="R170" s="338"/>
      <c r="S170" s="338"/>
      <c r="T170" s="338"/>
      <c r="U170" s="338"/>
      <c r="V170" s="338"/>
      <c r="W170" s="338"/>
      <c r="X170" s="338"/>
      <c r="Y170" s="338"/>
      <c r="Z170" s="338"/>
      <c r="AA170" s="338"/>
      <c r="AB170" s="338"/>
      <c r="AC170" s="338"/>
      <c r="AD170" s="338"/>
      <c r="AE170" s="338"/>
      <c r="AF170" s="338"/>
      <c r="AG170" s="338"/>
      <c r="AH170" s="338"/>
      <c r="AI170" s="338"/>
      <c r="AJ170" s="338"/>
      <c r="AK170" s="338"/>
      <c r="AL170" s="338"/>
      <c r="AM170" s="338"/>
      <c r="AN170" s="338"/>
      <c r="AO170" s="338"/>
      <c r="AP170" s="338"/>
      <c r="AQ170" s="338"/>
      <c r="AR170" s="338"/>
      <c r="AS170" s="338"/>
      <c r="AT170" s="338"/>
      <c r="AU170" s="338"/>
      <c r="AV170" s="338"/>
    </row>
    <row r="171" spans="2:48" x14ac:dyDescent="0.25">
      <c r="B171" s="338"/>
      <c r="C171" s="338"/>
      <c r="D171" s="338"/>
      <c r="E171" s="338"/>
      <c r="F171" s="338"/>
      <c r="G171" s="339"/>
      <c r="H171" s="342"/>
      <c r="I171" s="341"/>
      <c r="J171" s="339"/>
      <c r="K171" s="342"/>
      <c r="L171" s="341"/>
      <c r="M171" s="308"/>
      <c r="N171" s="292"/>
      <c r="O171" s="292"/>
      <c r="P171" s="292"/>
      <c r="Q171" s="338"/>
      <c r="R171" s="338"/>
      <c r="S171" s="338"/>
      <c r="T171" s="338"/>
      <c r="U171" s="338"/>
      <c r="V171" s="338"/>
      <c r="W171" s="338"/>
      <c r="X171" s="338"/>
      <c r="Y171" s="338"/>
      <c r="Z171" s="338"/>
      <c r="AA171" s="338"/>
      <c r="AB171" s="338"/>
      <c r="AC171" s="338"/>
      <c r="AD171" s="338"/>
      <c r="AE171" s="338"/>
      <c r="AF171" s="338"/>
      <c r="AG171" s="338"/>
      <c r="AH171" s="338"/>
      <c r="AI171" s="338"/>
      <c r="AJ171" s="338"/>
      <c r="AK171" s="338"/>
      <c r="AL171" s="338"/>
      <c r="AM171" s="338"/>
      <c r="AN171" s="338"/>
      <c r="AO171" s="338"/>
      <c r="AP171" s="338"/>
      <c r="AQ171" s="338"/>
      <c r="AR171" s="338"/>
      <c r="AS171" s="338"/>
      <c r="AT171" s="338"/>
      <c r="AU171" s="338"/>
      <c r="AV171" s="338"/>
    </row>
    <row r="172" spans="2:48" x14ac:dyDescent="0.25">
      <c r="B172" s="338"/>
      <c r="C172" s="338"/>
      <c r="D172" s="338"/>
      <c r="E172" s="338"/>
      <c r="F172" s="338"/>
      <c r="G172" s="339"/>
      <c r="H172" s="342"/>
      <c r="I172" s="341"/>
      <c r="J172" s="339"/>
      <c r="K172" s="342"/>
      <c r="L172" s="341"/>
      <c r="M172" s="308"/>
      <c r="N172" s="292"/>
      <c r="O172" s="292"/>
      <c r="P172" s="292"/>
      <c r="Q172" s="338"/>
      <c r="R172" s="338"/>
      <c r="S172" s="338"/>
      <c r="T172" s="338"/>
      <c r="U172" s="338"/>
      <c r="V172" s="338"/>
      <c r="W172" s="338"/>
      <c r="X172" s="338"/>
      <c r="Y172" s="338"/>
      <c r="Z172" s="338"/>
      <c r="AA172" s="338"/>
      <c r="AB172" s="338"/>
      <c r="AC172" s="338"/>
      <c r="AD172" s="338"/>
      <c r="AE172" s="338"/>
      <c r="AF172" s="338"/>
      <c r="AG172" s="338"/>
      <c r="AH172" s="338"/>
      <c r="AI172" s="338"/>
      <c r="AJ172" s="338"/>
      <c r="AK172" s="338"/>
      <c r="AL172" s="338"/>
      <c r="AM172" s="338"/>
      <c r="AN172" s="338"/>
      <c r="AO172" s="338"/>
      <c r="AP172" s="338"/>
      <c r="AQ172" s="338"/>
      <c r="AR172" s="338"/>
      <c r="AS172" s="338"/>
      <c r="AT172" s="338"/>
      <c r="AU172" s="338"/>
      <c r="AV172" s="338"/>
    </row>
    <row r="173" spans="2:48" x14ac:dyDescent="0.25">
      <c r="B173" s="338"/>
      <c r="C173" s="338"/>
      <c r="D173" s="338"/>
      <c r="E173" s="338"/>
      <c r="F173" s="338"/>
      <c r="G173" s="339"/>
      <c r="H173" s="342"/>
      <c r="I173" s="341"/>
      <c r="J173" s="339"/>
      <c r="K173" s="342"/>
      <c r="L173" s="341"/>
      <c r="M173" s="308"/>
      <c r="N173" s="292"/>
      <c r="O173" s="292"/>
      <c r="P173" s="292"/>
      <c r="Q173" s="338"/>
      <c r="R173" s="338"/>
      <c r="S173" s="338"/>
      <c r="T173" s="338"/>
      <c r="U173" s="338"/>
      <c r="V173" s="338"/>
      <c r="W173" s="338"/>
      <c r="X173" s="338"/>
      <c r="Y173" s="338"/>
      <c r="Z173" s="338"/>
      <c r="AA173" s="338"/>
      <c r="AB173" s="338"/>
      <c r="AC173" s="338"/>
      <c r="AD173" s="338"/>
      <c r="AE173" s="338"/>
      <c r="AF173" s="338"/>
      <c r="AG173" s="338"/>
      <c r="AH173" s="338"/>
      <c r="AI173" s="338"/>
      <c r="AJ173" s="338"/>
      <c r="AK173" s="338"/>
      <c r="AL173" s="338"/>
      <c r="AM173" s="338"/>
      <c r="AN173" s="338"/>
      <c r="AO173" s="338"/>
      <c r="AP173" s="338"/>
      <c r="AQ173" s="338"/>
      <c r="AR173" s="338"/>
      <c r="AS173" s="338"/>
      <c r="AT173" s="338"/>
      <c r="AU173" s="338"/>
      <c r="AV173" s="338"/>
    </row>
    <row r="174" spans="2:48" x14ac:dyDescent="0.25">
      <c r="B174" s="338"/>
      <c r="C174" s="338"/>
      <c r="D174" s="338"/>
      <c r="E174" s="338"/>
      <c r="F174" s="338"/>
      <c r="G174" s="339"/>
      <c r="H174" s="342"/>
      <c r="I174" s="341"/>
      <c r="J174" s="339"/>
      <c r="K174" s="342"/>
      <c r="L174" s="341"/>
      <c r="M174" s="308"/>
      <c r="N174" s="292"/>
      <c r="O174" s="292"/>
      <c r="P174" s="292"/>
      <c r="Q174" s="338"/>
      <c r="R174" s="338"/>
      <c r="S174" s="338"/>
      <c r="T174" s="338"/>
      <c r="U174" s="338"/>
      <c r="V174" s="338"/>
      <c r="W174" s="338"/>
      <c r="X174" s="338"/>
      <c r="Y174" s="338"/>
      <c r="Z174" s="338"/>
      <c r="AA174" s="338"/>
      <c r="AB174" s="338"/>
      <c r="AC174" s="338"/>
      <c r="AD174" s="338"/>
      <c r="AE174" s="338"/>
      <c r="AF174" s="338"/>
      <c r="AG174" s="338"/>
      <c r="AH174" s="338"/>
      <c r="AI174" s="338"/>
      <c r="AJ174" s="338"/>
      <c r="AK174" s="338"/>
      <c r="AL174" s="338"/>
      <c r="AM174" s="338"/>
      <c r="AN174" s="338"/>
      <c r="AO174" s="338"/>
      <c r="AP174" s="338"/>
      <c r="AQ174" s="338"/>
      <c r="AR174" s="338"/>
      <c r="AS174" s="338"/>
      <c r="AT174" s="338"/>
      <c r="AU174" s="338"/>
      <c r="AV174" s="338"/>
    </row>
    <row r="175" spans="2:48" x14ac:dyDescent="0.25">
      <c r="B175" s="338"/>
      <c r="C175" s="338"/>
      <c r="D175" s="338"/>
      <c r="E175" s="338"/>
      <c r="F175" s="338"/>
      <c r="G175" s="339"/>
      <c r="H175" s="342"/>
      <c r="I175" s="341"/>
      <c r="J175" s="339"/>
      <c r="K175" s="342"/>
      <c r="L175" s="341"/>
      <c r="M175" s="308"/>
      <c r="N175" s="292"/>
      <c r="O175" s="292"/>
      <c r="P175" s="292"/>
      <c r="Q175" s="338"/>
      <c r="R175" s="338"/>
      <c r="S175" s="338"/>
      <c r="T175" s="338"/>
      <c r="U175" s="338"/>
      <c r="V175" s="338"/>
      <c r="W175" s="338"/>
      <c r="X175" s="338"/>
      <c r="Y175" s="338"/>
      <c r="Z175" s="338"/>
      <c r="AA175" s="338"/>
      <c r="AB175" s="338"/>
      <c r="AC175" s="338"/>
      <c r="AD175" s="338"/>
      <c r="AE175" s="338"/>
      <c r="AF175" s="338"/>
      <c r="AG175" s="338"/>
      <c r="AH175" s="338"/>
      <c r="AI175" s="338"/>
      <c r="AJ175" s="338"/>
      <c r="AK175" s="338"/>
      <c r="AL175" s="338"/>
      <c r="AM175" s="338"/>
      <c r="AN175" s="338"/>
      <c r="AO175" s="338"/>
      <c r="AP175" s="338"/>
      <c r="AQ175" s="338"/>
      <c r="AR175" s="338"/>
      <c r="AS175" s="338"/>
      <c r="AT175" s="338"/>
      <c r="AU175" s="338"/>
      <c r="AV175" s="338"/>
    </row>
    <row r="176" spans="2:48" x14ac:dyDescent="0.25">
      <c r="B176" s="338"/>
      <c r="C176" s="338"/>
      <c r="D176" s="338"/>
      <c r="E176" s="338"/>
      <c r="F176" s="338"/>
      <c r="G176" s="339"/>
      <c r="H176" s="342"/>
      <c r="I176" s="341"/>
      <c r="J176" s="339"/>
      <c r="K176" s="342"/>
      <c r="L176" s="341"/>
      <c r="M176" s="308"/>
      <c r="N176" s="292"/>
      <c r="O176" s="292"/>
      <c r="P176" s="292"/>
      <c r="Q176" s="338"/>
      <c r="R176" s="338"/>
      <c r="S176" s="338"/>
      <c r="T176" s="338"/>
      <c r="U176" s="338"/>
      <c r="V176" s="338"/>
      <c r="W176" s="338"/>
      <c r="X176" s="338"/>
      <c r="Y176" s="338"/>
      <c r="Z176" s="338"/>
      <c r="AA176" s="338"/>
      <c r="AB176" s="338"/>
      <c r="AC176" s="338"/>
      <c r="AD176" s="338"/>
      <c r="AE176" s="338"/>
      <c r="AF176" s="338"/>
      <c r="AG176" s="338"/>
      <c r="AH176" s="338"/>
      <c r="AI176" s="338"/>
      <c r="AJ176" s="338"/>
      <c r="AK176" s="338"/>
      <c r="AL176" s="338"/>
      <c r="AM176" s="338"/>
      <c r="AN176" s="338"/>
      <c r="AO176" s="338"/>
      <c r="AP176" s="338"/>
      <c r="AQ176" s="338"/>
      <c r="AR176" s="338"/>
      <c r="AS176" s="338"/>
      <c r="AT176" s="338"/>
      <c r="AU176" s="338"/>
      <c r="AV176" s="338"/>
    </row>
    <row r="177" spans="2:48" x14ac:dyDescent="0.25">
      <c r="B177" s="338"/>
      <c r="C177" s="338"/>
      <c r="D177" s="338"/>
      <c r="E177" s="338"/>
      <c r="F177" s="338"/>
      <c r="G177" s="339"/>
      <c r="H177" s="342"/>
      <c r="I177" s="341"/>
      <c r="J177" s="339"/>
      <c r="K177" s="342"/>
      <c r="L177" s="341"/>
      <c r="M177" s="308"/>
      <c r="N177" s="292"/>
      <c r="O177" s="292"/>
      <c r="P177" s="292"/>
      <c r="Q177" s="338"/>
      <c r="R177" s="338"/>
      <c r="S177" s="338"/>
      <c r="T177" s="338"/>
      <c r="U177" s="338"/>
      <c r="V177" s="338"/>
      <c r="W177" s="338"/>
      <c r="X177" s="338"/>
      <c r="Y177" s="338"/>
      <c r="Z177" s="338"/>
      <c r="AA177" s="338"/>
      <c r="AB177" s="338"/>
      <c r="AC177" s="338"/>
      <c r="AD177" s="338"/>
      <c r="AE177" s="338"/>
      <c r="AF177" s="338"/>
      <c r="AG177" s="338"/>
      <c r="AH177" s="338"/>
      <c r="AI177" s="338"/>
      <c r="AJ177" s="338"/>
      <c r="AK177" s="338"/>
      <c r="AL177" s="338"/>
      <c r="AM177" s="338"/>
      <c r="AN177" s="338"/>
      <c r="AO177" s="338"/>
      <c r="AP177" s="338"/>
      <c r="AQ177" s="338"/>
      <c r="AR177" s="338"/>
      <c r="AS177" s="338"/>
      <c r="AT177" s="338"/>
      <c r="AU177" s="338"/>
      <c r="AV177" s="338"/>
    </row>
    <row r="178" spans="2:48" x14ac:dyDescent="0.25">
      <c r="B178" s="338"/>
      <c r="C178" s="338"/>
      <c r="D178" s="338"/>
      <c r="E178" s="338"/>
      <c r="F178" s="338"/>
      <c r="G178" s="339"/>
      <c r="H178" s="342"/>
      <c r="I178" s="341"/>
      <c r="J178" s="339"/>
      <c r="K178" s="342"/>
      <c r="L178" s="341"/>
      <c r="M178" s="308"/>
      <c r="N178" s="292"/>
      <c r="O178" s="292"/>
      <c r="P178" s="292"/>
      <c r="Q178" s="338"/>
      <c r="R178" s="338"/>
      <c r="S178" s="338"/>
      <c r="T178" s="338"/>
      <c r="U178" s="338"/>
      <c r="V178" s="338"/>
      <c r="W178" s="338"/>
      <c r="X178" s="338"/>
      <c r="Y178" s="338"/>
      <c r="Z178" s="338"/>
      <c r="AA178" s="338"/>
      <c r="AB178" s="338"/>
      <c r="AC178" s="338"/>
      <c r="AD178" s="338"/>
      <c r="AE178" s="338"/>
      <c r="AF178" s="338"/>
      <c r="AG178" s="338"/>
      <c r="AH178" s="338"/>
      <c r="AI178" s="338"/>
      <c r="AJ178" s="338"/>
      <c r="AK178" s="338"/>
      <c r="AL178" s="338"/>
      <c r="AM178" s="338"/>
      <c r="AN178" s="338"/>
      <c r="AO178" s="338"/>
      <c r="AP178" s="338"/>
      <c r="AQ178" s="338"/>
      <c r="AR178" s="338"/>
      <c r="AS178" s="338"/>
      <c r="AT178" s="338"/>
      <c r="AU178" s="338"/>
      <c r="AV178" s="338"/>
    </row>
    <row r="179" spans="2:48" x14ac:dyDescent="0.25">
      <c r="B179" s="338"/>
      <c r="C179" s="338"/>
      <c r="D179" s="338"/>
      <c r="E179" s="338"/>
      <c r="F179" s="338"/>
      <c r="G179" s="339"/>
      <c r="H179" s="342"/>
      <c r="I179" s="341"/>
      <c r="J179" s="339"/>
      <c r="K179" s="342"/>
      <c r="L179" s="341"/>
      <c r="M179" s="308"/>
      <c r="N179" s="292"/>
      <c r="O179" s="292"/>
      <c r="P179" s="292"/>
      <c r="Q179" s="338"/>
      <c r="R179" s="338"/>
      <c r="S179" s="338"/>
      <c r="T179" s="338"/>
      <c r="U179" s="338"/>
      <c r="V179" s="338"/>
      <c r="W179" s="338"/>
      <c r="X179" s="338"/>
      <c r="Y179" s="338"/>
      <c r="Z179" s="338"/>
      <c r="AA179" s="338"/>
      <c r="AB179" s="338"/>
      <c r="AC179" s="338"/>
      <c r="AD179" s="338"/>
      <c r="AE179" s="338"/>
      <c r="AF179" s="338"/>
      <c r="AG179" s="338"/>
      <c r="AH179" s="338"/>
      <c r="AI179" s="338"/>
      <c r="AJ179" s="338"/>
      <c r="AK179" s="338"/>
      <c r="AL179" s="338"/>
      <c r="AM179" s="338"/>
      <c r="AN179" s="338"/>
      <c r="AO179" s="338"/>
      <c r="AP179" s="338"/>
      <c r="AQ179" s="338"/>
      <c r="AR179" s="338"/>
      <c r="AS179" s="338"/>
      <c r="AT179" s="338"/>
      <c r="AU179" s="338"/>
      <c r="AV179" s="338"/>
    </row>
    <row r="180" spans="2:48" x14ac:dyDescent="0.25">
      <c r="B180" s="338"/>
      <c r="C180" s="338"/>
      <c r="D180" s="338"/>
      <c r="E180" s="338"/>
      <c r="F180" s="338"/>
      <c r="G180" s="339"/>
      <c r="H180" s="342"/>
      <c r="I180" s="341"/>
      <c r="J180" s="339"/>
      <c r="K180" s="342"/>
      <c r="L180" s="341"/>
      <c r="M180" s="308"/>
      <c r="N180" s="292"/>
      <c r="O180" s="292"/>
      <c r="P180" s="292"/>
      <c r="Q180" s="338"/>
      <c r="R180" s="338"/>
      <c r="S180" s="338"/>
      <c r="T180" s="338"/>
      <c r="U180" s="338"/>
      <c r="V180" s="338"/>
      <c r="W180" s="338"/>
      <c r="X180" s="338"/>
      <c r="Y180" s="338"/>
      <c r="Z180" s="338"/>
      <c r="AA180" s="338"/>
      <c r="AB180" s="338"/>
      <c r="AC180" s="338"/>
      <c r="AD180" s="338"/>
      <c r="AE180" s="338"/>
      <c r="AF180" s="338"/>
      <c r="AG180" s="338"/>
      <c r="AH180" s="338"/>
      <c r="AI180" s="338"/>
      <c r="AJ180" s="338"/>
      <c r="AK180" s="338"/>
      <c r="AL180" s="338"/>
      <c r="AM180" s="338"/>
      <c r="AN180" s="338"/>
      <c r="AO180" s="338"/>
      <c r="AP180" s="338"/>
      <c r="AQ180" s="338"/>
      <c r="AR180" s="338"/>
      <c r="AS180" s="338"/>
      <c r="AT180" s="338"/>
      <c r="AU180" s="338"/>
      <c r="AV180" s="338"/>
    </row>
    <row r="181" spans="2:48" x14ac:dyDescent="0.25">
      <c r="B181" s="338"/>
      <c r="C181" s="338"/>
      <c r="D181" s="338"/>
      <c r="E181" s="338"/>
      <c r="F181" s="338"/>
      <c r="G181" s="339"/>
      <c r="H181" s="342"/>
      <c r="I181" s="341"/>
      <c r="J181" s="339"/>
      <c r="K181" s="342"/>
      <c r="L181" s="341"/>
      <c r="M181" s="308"/>
      <c r="N181" s="292"/>
      <c r="O181" s="292"/>
      <c r="P181" s="292"/>
      <c r="Q181" s="338"/>
      <c r="R181" s="338"/>
      <c r="S181" s="338"/>
      <c r="T181" s="338"/>
      <c r="U181" s="338"/>
      <c r="V181" s="338"/>
      <c r="W181" s="338"/>
      <c r="X181" s="338"/>
      <c r="Y181" s="338"/>
      <c r="Z181" s="338"/>
      <c r="AA181" s="338"/>
      <c r="AB181" s="338"/>
      <c r="AC181" s="338"/>
      <c r="AD181" s="338"/>
      <c r="AE181" s="338"/>
      <c r="AF181" s="338"/>
      <c r="AG181" s="338"/>
      <c r="AH181" s="338"/>
      <c r="AI181" s="338"/>
      <c r="AJ181" s="338"/>
      <c r="AK181" s="338"/>
      <c r="AL181" s="338"/>
      <c r="AM181" s="338"/>
      <c r="AN181" s="338"/>
      <c r="AO181" s="338"/>
      <c r="AP181" s="338"/>
      <c r="AQ181" s="338"/>
      <c r="AR181" s="338"/>
      <c r="AS181" s="338"/>
      <c r="AT181" s="338"/>
      <c r="AU181" s="338"/>
      <c r="AV181" s="338"/>
    </row>
    <row r="182" spans="2:48" x14ac:dyDescent="0.25">
      <c r="B182" s="338"/>
      <c r="C182" s="338"/>
      <c r="D182" s="338"/>
      <c r="E182" s="338"/>
      <c r="F182" s="338"/>
      <c r="G182" s="339"/>
      <c r="H182" s="342"/>
      <c r="I182" s="341"/>
      <c r="J182" s="339"/>
      <c r="K182" s="342"/>
      <c r="L182" s="341"/>
      <c r="M182" s="308"/>
      <c r="N182" s="292"/>
      <c r="O182" s="292"/>
      <c r="P182" s="292"/>
      <c r="Q182" s="338"/>
      <c r="R182" s="338"/>
      <c r="S182" s="338"/>
      <c r="T182" s="338"/>
      <c r="U182" s="338"/>
      <c r="V182" s="338"/>
      <c r="W182" s="338"/>
      <c r="X182" s="338"/>
      <c r="Y182" s="338"/>
      <c r="Z182" s="338"/>
      <c r="AA182" s="338"/>
      <c r="AB182" s="338"/>
      <c r="AC182" s="338"/>
      <c r="AD182" s="338"/>
      <c r="AE182" s="338"/>
      <c r="AF182" s="338"/>
      <c r="AG182" s="338"/>
      <c r="AH182" s="338"/>
      <c r="AI182" s="338"/>
      <c r="AJ182" s="338"/>
      <c r="AK182" s="338"/>
      <c r="AL182" s="338"/>
      <c r="AM182" s="338"/>
      <c r="AN182" s="338"/>
      <c r="AO182" s="338"/>
      <c r="AP182" s="338"/>
      <c r="AQ182" s="338"/>
      <c r="AR182" s="338"/>
      <c r="AS182" s="338"/>
      <c r="AT182" s="338"/>
      <c r="AU182" s="338"/>
      <c r="AV182" s="338"/>
    </row>
    <row r="183" spans="2:48" x14ac:dyDescent="0.25">
      <c r="B183" s="338"/>
      <c r="C183" s="338"/>
      <c r="D183" s="338"/>
      <c r="E183" s="338"/>
      <c r="F183" s="338"/>
      <c r="G183" s="339"/>
      <c r="H183" s="342"/>
      <c r="I183" s="341"/>
      <c r="J183" s="339"/>
      <c r="K183" s="342"/>
      <c r="L183" s="341"/>
      <c r="M183" s="308"/>
      <c r="N183" s="292"/>
      <c r="O183" s="292"/>
      <c r="P183" s="292"/>
      <c r="Q183" s="338"/>
      <c r="R183" s="338"/>
      <c r="S183" s="338"/>
      <c r="T183" s="338"/>
      <c r="U183" s="338"/>
      <c r="V183" s="338"/>
      <c r="W183" s="338"/>
      <c r="X183" s="338"/>
      <c r="Y183" s="338"/>
      <c r="Z183" s="338"/>
      <c r="AA183" s="338"/>
      <c r="AB183" s="338"/>
      <c r="AC183" s="338"/>
      <c r="AD183" s="338"/>
      <c r="AE183" s="338"/>
      <c r="AF183" s="338"/>
      <c r="AG183" s="338"/>
      <c r="AH183" s="338"/>
      <c r="AI183" s="338"/>
      <c r="AJ183" s="338"/>
      <c r="AK183" s="338"/>
      <c r="AL183" s="338"/>
      <c r="AM183" s="338"/>
      <c r="AN183" s="338"/>
      <c r="AO183" s="338"/>
      <c r="AP183" s="338"/>
      <c r="AQ183" s="338"/>
      <c r="AR183" s="338"/>
      <c r="AS183" s="338"/>
      <c r="AT183" s="338"/>
      <c r="AU183" s="338"/>
      <c r="AV183" s="338"/>
    </row>
    <row r="184" spans="2:48" x14ac:dyDescent="0.25">
      <c r="B184" s="338"/>
      <c r="C184" s="338"/>
      <c r="D184" s="338"/>
      <c r="E184" s="338"/>
      <c r="F184" s="338"/>
      <c r="G184" s="339"/>
      <c r="H184" s="342"/>
      <c r="I184" s="341"/>
      <c r="J184" s="339"/>
      <c r="K184" s="342"/>
      <c r="L184" s="341"/>
      <c r="M184" s="308"/>
      <c r="N184" s="292"/>
      <c r="O184" s="292"/>
      <c r="P184" s="292"/>
      <c r="Q184" s="338"/>
      <c r="R184" s="338"/>
      <c r="S184" s="338"/>
      <c r="T184" s="338"/>
      <c r="U184" s="338"/>
      <c r="V184" s="338"/>
      <c r="W184" s="338"/>
      <c r="X184" s="338"/>
      <c r="Y184" s="338"/>
      <c r="Z184" s="338"/>
      <c r="AA184" s="338"/>
      <c r="AB184" s="338"/>
      <c r="AC184" s="338"/>
      <c r="AD184" s="338"/>
      <c r="AE184" s="338"/>
      <c r="AF184" s="338"/>
      <c r="AG184" s="338"/>
      <c r="AH184" s="338"/>
      <c r="AI184" s="338"/>
      <c r="AJ184" s="338"/>
      <c r="AK184" s="338"/>
      <c r="AL184" s="338"/>
      <c r="AM184" s="338"/>
      <c r="AN184" s="338"/>
      <c r="AO184" s="338"/>
      <c r="AP184" s="338"/>
      <c r="AQ184" s="338"/>
      <c r="AR184" s="338"/>
      <c r="AS184" s="338"/>
      <c r="AT184" s="338"/>
      <c r="AU184" s="338"/>
      <c r="AV184" s="338"/>
    </row>
    <row r="185" spans="2:48" x14ac:dyDescent="0.25">
      <c r="B185" s="338"/>
      <c r="C185" s="338"/>
      <c r="D185" s="338"/>
      <c r="E185" s="338"/>
      <c r="F185" s="338"/>
      <c r="G185" s="339"/>
      <c r="H185" s="342"/>
      <c r="I185" s="341"/>
      <c r="J185" s="339"/>
      <c r="K185" s="342"/>
      <c r="L185" s="341"/>
      <c r="M185" s="308"/>
      <c r="N185" s="292"/>
      <c r="O185" s="292"/>
      <c r="P185" s="292"/>
      <c r="Q185" s="338"/>
      <c r="R185" s="338"/>
      <c r="S185" s="338"/>
      <c r="T185" s="338"/>
      <c r="U185" s="338"/>
      <c r="V185" s="338"/>
      <c r="W185" s="338"/>
      <c r="X185" s="338"/>
      <c r="Y185" s="338"/>
      <c r="Z185" s="338"/>
      <c r="AA185" s="338"/>
      <c r="AB185" s="338"/>
      <c r="AC185" s="338"/>
      <c r="AD185" s="338"/>
      <c r="AE185" s="338"/>
      <c r="AF185" s="338"/>
      <c r="AG185" s="338"/>
      <c r="AH185" s="338"/>
      <c r="AI185" s="338"/>
      <c r="AJ185" s="338"/>
      <c r="AK185" s="338"/>
      <c r="AL185" s="338"/>
      <c r="AM185" s="338"/>
      <c r="AN185" s="338"/>
      <c r="AO185" s="338"/>
      <c r="AP185" s="338"/>
      <c r="AQ185" s="338"/>
      <c r="AR185" s="338"/>
      <c r="AS185" s="338"/>
      <c r="AT185" s="338"/>
      <c r="AU185" s="338"/>
      <c r="AV185" s="338"/>
    </row>
    <row r="186" spans="2:48" x14ac:dyDescent="0.25">
      <c r="B186" s="338"/>
      <c r="C186" s="338"/>
      <c r="D186" s="338"/>
      <c r="E186" s="338"/>
      <c r="F186" s="338"/>
      <c r="G186" s="339"/>
      <c r="H186" s="342"/>
      <c r="I186" s="341"/>
      <c r="J186" s="339"/>
      <c r="K186" s="342"/>
      <c r="L186" s="341"/>
      <c r="M186" s="308"/>
      <c r="N186" s="292"/>
      <c r="O186" s="292"/>
      <c r="P186" s="292"/>
      <c r="Q186" s="338"/>
      <c r="R186" s="338"/>
      <c r="S186" s="338"/>
      <c r="T186" s="338"/>
      <c r="U186" s="338"/>
      <c r="V186" s="338"/>
      <c r="W186" s="338"/>
      <c r="X186" s="338"/>
      <c r="Y186" s="338"/>
      <c r="Z186" s="338"/>
      <c r="AA186" s="338"/>
      <c r="AB186" s="338"/>
      <c r="AC186" s="338"/>
      <c r="AD186" s="338"/>
      <c r="AE186" s="338"/>
      <c r="AF186" s="338"/>
      <c r="AG186" s="338"/>
      <c r="AH186" s="338"/>
      <c r="AI186" s="338"/>
      <c r="AJ186" s="338"/>
      <c r="AK186" s="338"/>
      <c r="AL186" s="338"/>
      <c r="AM186" s="338"/>
      <c r="AN186" s="338"/>
      <c r="AO186" s="338"/>
      <c r="AP186" s="338"/>
      <c r="AQ186" s="338"/>
      <c r="AR186" s="338"/>
      <c r="AS186" s="338"/>
      <c r="AT186" s="338"/>
      <c r="AU186" s="338"/>
      <c r="AV186" s="338"/>
    </row>
    <row r="187" spans="2:48" x14ac:dyDescent="0.25">
      <c r="B187" s="338"/>
      <c r="C187" s="338"/>
      <c r="D187" s="338"/>
      <c r="E187" s="338"/>
      <c r="F187" s="338"/>
      <c r="G187" s="339"/>
      <c r="H187" s="342"/>
      <c r="I187" s="341"/>
      <c r="J187" s="339"/>
      <c r="K187" s="342"/>
      <c r="L187" s="341"/>
      <c r="M187" s="308"/>
      <c r="N187" s="292"/>
      <c r="O187" s="292"/>
      <c r="P187" s="292"/>
      <c r="Q187" s="338"/>
      <c r="R187" s="338"/>
      <c r="S187" s="338"/>
      <c r="T187" s="338"/>
      <c r="U187" s="338"/>
      <c r="V187" s="338"/>
      <c r="W187" s="338"/>
      <c r="X187" s="338"/>
      <c r="Y187" s="338"/>
      <c r="Z187" s="338"/>
      <c r="AA187" s="338"/>
      <c r="AB187" s="338"/>
      <c r="AC187" s="338"/>
      <c r="AD187" s="338"/>
      <c r="AE187" s="338"/>
      <c r="AF187" s="338"/>
      <c r="AG187" s="338"/>
      <c r="AH187" s="338"/>
      <c r="AI187" s="338"/>
      <c r="AJ187" s="338"/>
      <c r="AK187" s="338"/>
      <c r="AL187" s="338"/>
      <c r="AM187" s="338"/>
      <c r="AN187" s="338"/>
      <c r="AO187" s="338"/>
      <c r="AP187" s="338"/>
      <c r="AQ187" s="338"/>
      <c r="AR187" s="338"/>
      <c r="AS187" s="338"/>
      <c r="AT187" s="338"/>
      <c r="AU187" s="338"/>
      <c r="AV187" s="338"/>
    </row>
    <row r="188" spans="2:48" x14ac:dyDescent="0.25">
      <c r="B188" s="338"/>
      <c r="C188" s="338"/>
      <c r="D188" s="338"/>
      <c r="E188" s="338"/>
      <c r="F188" s="338"/>
      <c r="G188" s="339"/>
      <c r="H188" s="342"/>
      <c r="I188" s="341"/>
      <c r="J188" s="339"/>
      <c r="K188" s="342"/>
      <c r="L188" s="341"/>
      <c r="M188" s="308"/>
      <c r="N188" s="292"/>
      <c r="O188" s="292"/>
      <c r="P188" s="292"/>
      <c r="Q188" s="338"/>
      <c r="R188" s="338"/>
      <c r="S188" s="338"/>
      <c r="T188" s="338"/>
      <c r="U188" s="338"/>
      <c r="V188" s="338"/>
      <c r="W188" s="338"/>
      <c r="X188" s="338"/>
      <c r="Y188" s="338"/>
      <c r="Z188" s="338"/>
      <c r="AA188" s="338"/>
      <c r="AB188" s="338"/>
      <c r="AC188" s="338"/>
      <c r="AD188" s="338"/>
      <c r="AE188" s="338"/>
      <c r="AF188" s="338"/>
      <c r="AG188" s="338"/>
      <c r="AH188" s="338"/>
      <c r="AI188" s="338"/>
      <c r="AJ188" s="338"/>
      <c r="AK188" s="338"/>
      <c r="AL188" s="338"/>
      <c r="AM188" s="338"/>
      <c r="AN188" s="338"/>
      <c r="AO188" s="338"/>
      <c r="AP188" s="338"/>
      <c r="AQ188" s="338"/>
      <c r="AR188" s="338"/>
      <c r="AS188" s="338"/>
      <c r="AT188" s="338"/>
      <c r="AU188" s="338"/>
      <c r="AV188" s="338"/>
    </row>
    <row r="189" spans="2:48" x14ac:dyDescent="0.25">
      <c r="B189" s="338"/>
      <c r="C189" s="338"/>
      <c r="D189" s="338"/>
      <c r="E189" s="338"/>
      <c r="F189" s="338"/>
      <c r="G189" s="339"/>
      <c r="H189" s="342"/>
      <c r="I189" s="341"/>
      <c r="J189" s="339"/>
      <c r="K189" s="342"/>
      <c r="L189" s="341"/>
      <c r="M189" s="308"/>
      <c r="N189" s="292"/>
      <c r="O189" s="292"/>
      <c r="P189" s="292"/>
      <c r="Q189" s="338"/>
      <c r="R189" s="338"/>
      <c r="S189" s="338"/>
      <c r="T189" s="338"/>
      <c r="U189" s="338"/>
      <c r="V189" s="338"/>
      <c r="W189" s="338"/>
      <c r="X189" s="338"/>
      <c r="Y189" s="338"/>
      <c r="Z189" s="338"/>
      <c r="AA189" s="338"/>
      <c r="AB189" s="338"/>
      <c r="AC189" s="338"/>
      <c r="AD189" s="338"/>
      <c r="AE189" s="338"/>
      <c r="AF189" s="338"/>
      <c r="AG189" s="338"/>
      <c r="AH189" s="338"/>
      <c r="AI189" s="338"/>
      <c r="AJ189" s="338"/>
      <c r="AK189" s="338"/>
      <c r="AL189" s="338"/>
      <c r="AM189" s="338"/>
      <c r="AN189" s="338"/>
      <c r="AO189" s="338"/>
      <c r="AP189" s="338"/>
      <c r="AQ189" s="338"/>
      <c r="AR189" s="338"/>
      <c r="AS189" s="338"/>
      <c r="AT189" s="338"/>
      <c r="AU189" s="338"/>
      <c r="AV189" s="338"/>
    </row>
    <row r="190" spans="2:48" x14ac:dyDescent="0.25">
      <c r="B190" s="338"/>
      <c r="C190" s="338"/>
      <c r="D190" s="338"/>
      <c r="E190" s="338"/>
      <c r="F190" s="338"/>
      <c r="G190" s="339"/>
      <c r="H190" s="342"/>
      <c r="I190" s="341"/>
      <c r="J190" s="339"/>
      <c r="K190" s="342"/>
      <c r="L190" s="341"/>
      <c r="M190" s="308"/>
      <c r="N190" s="292"/>
      <c r="O190" s="292"/>
      <c r="P190" s="292"/>
      <c r="Q190" s="338"/>
      <c r="R190" s="338"/>
      <c r="S190" s="338"/>
      <c r="T190" s="338"/>
      <c r="U190" s="338"/>
      <c r="V190" s="338"/>
      <c r="W190" s="338"/>
      <c r="X190" s="338"/>
      <c r="Y190" s="338"/>
      <c r="Z190" s="338"/>
      <c r="AA190" s="338"/>
      <c r="AB190" s="338"/>
      <c r="AC190" s="338"/>
      <c r="AD190" s="338"/>
      <c r="AE190" s="338"/>
      <c r="AF190" s="338"/>
      <c r="AG190" s="338"/>
      <c r="AH190" s="338"/>
      <c r="AI190" s="338"/>
      <c r="AJ190" s="338"/>
      <c r="AK190" s="338"/>
      <c r="AL190" s="338"/>
      <c r="AM190" s="338"/>
      <c r="AN190" s="338"/>
      <c r="AO190" s="338"/>
      <c r="AP190" s="338"/>
      <c r="AQ190" s="338"/>
      <c r="AR190" s="338"/>
      <c r="AS190" s="338"/>
      <c r="AT190" s="338"/>
      <c r="AU190" s="338"/>
      <c r="AV190" s="338"/>
    </row>
    <row r="191" spans="2:48" x14ac:dyDescent="0.25">
      <c r="B191" s="338"/>
      <c r="C191" s="338"/>
      <c r="D191" s="338"/>
      <c r="E191" s="338"/>
      <c r="F191" s="338"/>
      <c r="G191" s="339"/>
      <c r="H191" s="342"/>
      <c r="I191" s="341"/>
      <c r="J191" s="339"/>
      <c r="K191" s="342"/>
      <c r="L191" s="341"/>
      <c r="M191" s="308"/>
      <c r="N191" s="292"/>
      <c r="O191" s="292"/>
      <c r="P191" s="292"/>
      <c r="Q191" s="338"/>
      <c r="R191" s="338"/>
      <c r="S191" s="338"/>
      <c r="T191" s="338"/>
      <c r="U191" s="338"/>
      <c r="V191" s="338"/>
      <c r="W191" s="338"/>
      <c r="X191" s="338"/>
      <c r="Y191" s="338"/>
      <c r="Z191" s="338"/>
      <c r="AA191" s="338"/>
      <c r="AB191" s="338"/>
      <c r="AC191" s="338"/>
      <c r="AD191" s="338"/>
      <c r="AE191" s="338"/>
      <c r="AF191" s="338"/>
      <c r="AG191" s="338"/>
      <c r="AH191" s="338"/>
      <c r="AI191" s="338"/>
      <c r="AJ191" s="338"/>
      <c r="AK191" s="338"/>
      <c r="AL191" s="338"/>
      <c r="AM191" s="338"/>
      <c r="AN191" s="338"/>
      <c r="AO191" s="338"/>
      <c r="AP191" s="338"/>
      <c r="AQ191" s="338"/>
      <c r="AR191" s="338"/>
      <c r="AS191" s="338"/>
      <c r="AT191" s="338"/>
      <c r="AU191" s="338"/>
      <c r="AV191" s="338"/>
    </row>
    <row r="192" spans="2:48" x14ac:dyDescent="0.25">
      <c r="B192" s="338"/>
      <c r="C192" s="338"/>
      <c r="D192" s="338"/>
      <c r="E192" s="338"/>
      <c r="F192" s="338"/>
      <c r="G192" s="339"/>
      <c r="H192" s="342"/>
      <c r="I192" s="341"/>
      <c r="J192" s="339"/>
      <c r="K192" s="342"/>
      <c r="L192" s="341"/>
      <c r="M192" s="308"/>
      <c r="N192" s="292"/>
      <c r="O192" s="292"/>
      <c r="P192" s="292"/>
      <c r="Q192" s="338"/>
      <c r="R192" s="338"/>
      <c r="S192" s="338"/>
      <c r="T192" s="338"/>
      <c r="U192" s="338"/>
      <c r="V192" s="338"/>
      <c r="W192" s="338"/>
      <c r="X192" s="338"/>
      <c r="Y192" s="338"/>
      <c r="Z192" s="338"/>
      <c r="AA192" s="338"/>
      <c r="AB192" s="338"/>
      <c r="AC192" s="338"/>
      <c r="AD192" s="338"/>
      <c r="AE192" s="338"/>
      <c r="AF192" s="338"/>
      <c r="AG192" s="338"/>
      <c r="AH192" s="338"/>
      <c r="AI192" s="338"/>
      <c r="AJ192" s="338"/>
      <c r="AK192" s="338"/>
      <c r="AL192" s="338"/>
      <c r="AM192" s="338"/>
      <c r="AN192" s="338"/>
      <c r="AO192" s="338"/>
      <c r="AP192" s="338"/>
      <c r="AQ192" s="338"/>
      <c r="AR192" s="338"/>
      <c r="AS192" s="338"/>
      <c r="AT192" s="338"/>
      <c r="AU192" s="338"/>
      <c r="AV192" s="338"/>
    </row>
    <row r="193" spans="2:48" x14ac:dyDescent="0.25">
      <c r="B193" s="338"/>
      <c r="C193" s="338"/>
      <c r="D193" s="338"/>
      <c r="E193" s="338"/>
      <c r="F193" s="338"/>
      <c r="G193" s="339"/>
      <c r="H193" s="342"/>
      <c r="I193" s="341"/>
      <c r="J193" s="339"/>
      <c r="K193" s="342"/>
      <c r="L193" s="341"/>
      <c r="M193" s="308"/>
      <c r="N193" s="292"/>
      <c r="O193" s="292"/>
      <c r="P193" s="292"/>
      <c r="Q193" s="338"/>
      <c r="R193" s="338"/>
      <c r="S193" s="338"/>
      <c r="T193" s="338"/>
      <c r="U193" s="338"/>
      <c r="V193" s="338"/>
      <c r="W193" s="338"/>
      <c r="X193" s="338"/>
      <c r="Y193" s="338"/>
      <c r="Z193" s="338"/>
      <c r="AA193" s="338"/>
      <c r="AB193" s="338"/>
      <c r="AC193" s="338"/>
      <c r="AD193" s="338"/>
      <c r="AE193" s="338"/>
      <c r="AF193" s="338"/>
      <c r="AG193" s="338"/>
      <c r="AH193" s="338"/>
      <c r="AI193" s="338"/>
      <c r="AJ193" s="338"/>
      <c r="AK193" s="338"/>
      <c r="AL193" s="338"/>
      <c r="AM193" s="338"/>
      <c r="AN193" s="338"/>
      <c r="AO193" s="338"/>
      <c r="AP193" s="338"/>
      <c r="AQ193" s="338"/>
      <c r="AR193" s="338"/>
      <c r="AS193" s="338"/>
      <c r="AT193" s="338"/>
      <c r="AU193" s="338"/>
      <c r="AV193" s="338"/>
    </row>
    <row r="194" spans="2:48" x14ac:dyDescent="0.25">
      <c r="B194" s="338"/>
      <c r="C194" s="338"/>
      <c r="D194" s="338"/>
      <c r="E194" s="338"/>
      <c r="F194" s="338"/>
      <c r="G194" s="339"/>
      <c r="H194" s="342"/>
      <c r="I194" s="341"/>
      <c r="J194" s="339"/>
      <c r="K194" s="342"/>
      <c r="L194" s="341"/>
      <c r="M194" s="308"/>
      <c r="N194" s="292"/>
      <c r="O194" s="292"/>
      <c r="P194" s="292"/>
      <c r="Q194" s="338"/>
      <c r="R194" s="338"/>
      <c r="S194" s="338"/>
      <c r="T194" s="338"/>
      <c r="U194" s="338"/>
      <c r="V194" s="338"/>
      <c r="W194" s="338"/>
      <c r="X194" s="338"/>
      <c r="Y194" s="338"/>
      <c r="Z194" s="338"/>
      <c r="AA194" s="338"/>
      <c r="AB194" s="338"/>
      <c r="AC194" s="338"/>
      <c r="AD194" s="338"/>
      <c r="AE194" s="338"/>
      <c r="AF194" s="338"/>
      <c r="AG194" s="338"/>
      <c r="AH194" s="338"/>
      <c r="AI194" s="338"/>
      <c r="AJ194" s="338"/>
      <c r="AK194" s="338"/>
      <c r="AL194" s="338"/>
      <c r="AM194" s="338"/>
      <c r="AN194" s="338"/>
      <c r="AO194" s="338"/>
      <c r="AP194" s="338"/>
      <c r="AQ194" s="338"/>
      <c r="AR194" s="338"/>
      <c r="AS194" s="338"/>
      <c r="AT194" s="338"/>
      <c r="AU194" s="338"/>
      <c r="AV194" s="338"/>
    </row>
    <row r="195" spans="2:48" x14ac:dyDescent="0.25">
      <c r="B195" s="338"/>
      <c r="C195" s="338"/>
      <c r="D195" s="338"/>
      <c r="E195" s="338"/>
      <c r="F195" s="338"/>
      <c r="G195" s="339"/>
      <c r="H195" s="342"/>
      <c r="I195" s="341"/>
      <c r="J195" s="339"/>
      <c r="K195" s="342"/>
      <c r="L195" s="341"/>
      <c r="M195" s="308"/>
      <c r="N195" s="292"/>
      <c r="O195" s="292"/>
      <c r="P195" s="292"/>
      <c r="Q195" s="338"/>
      <c r="R195" s="338"/>
      <c r="S195" s="338"/>
      <c r="T195" s="338"/>
      <c r="U195" s="338"/>
      <c r="V195" s="338"/>
      <c r="W195" s="338"/>
      <c r="X195" s="338"/>
      <c r="Y195" s="338"/>
      <c r="Z195" s="338"/>
      <c r="AA195" s="338"/>
      <c r="AB195" s="338"/>
      <c r="AC195" s="338"/>
      <c r="AD195" s="338"/>
      <c r="AE195" s="338"/>
      <c r="AF195" s="338"/>
      <c r="AG195" s="338"/>
      <c r="AH195" s="338"/>
      <c r="AI195" s="338"/>
      <c r="AJ195" s="338"/>
      <c r="AK195" s="338"/>
      <c r="AL195" s="338"/>
      <c r="AM195" s="338"/>
      <c r="AN195" s="338"/>
      <c r="AO195" s="338"/>
      <c r="AP195" s="338"/>
      <c r="AQ195" s="338"/>
      <c r="AR195" s="338"/>
      <c r="AS195" s="338"/>
      <c r="AT195" s="338"/>
      <c r="AU195" s="338"/>
      <c r="AV195" s="338"/>
    </row>
    <row r="196" spans="2:48" x14ac:dyDescent="0.25">
      <c r="B196" s="338"/>
      <c r="C196" s="338"/>
      <c r="D196" s="338"/>
      <c r="E196" s="338"/>
      <c r="F196" s="338"/>
      <c r="G196" s="339"/>
      <c r="H196" s="342"/>
      <c r="I196" s="341"/>
      <c r="J196" s="339"/>
      <c r="K196" s="342"/>
      <c r="L196" s="341"/>
      <c r="M196" s="308"/>
      <c r="N196" s="292"/>
      <c r="O196" s="292"/>
      <c r="P196" s="292"/>
      <c r="Q196" s="338"/>
      <c r="R196" s="338"/>
      <c r="S196" s="338"/>
      <c r="T196" s="338"/>
      <c r="U196" s="338"/>
      <c r="V196" s="338"/>
      <c r="W196" s="338"/>
      <c r="X196" s="338"/>
      <c r="Y196" s="338"/>
      <c r="Z196" s="338"/>
      <c r="AA196" s="338"/>
      <c r="AB196" s="338"/>
      <c r="AC196" s="338"/>
      <c r="AD196" s="338"/>
      <c r="AE196" s="338"/>
      <c r="AF196" s="338"/>
      <c r="AG196" s="338"/>
      <c r="AH196" s="338"/>
      <c r="AI196" s="338"/>
      <c r="AJ196" s="338"/>
      <c r="AK196" s="338"/>
      <c r="AL196" s="338"/>
      <c r="AM196" s="338"/>
      <c r="AN196" s="338"/>
      <c r="AO196" s="338"/>
      <c r="AP196" s="338"/>
      <c r="AQ196" s="338"/>
      <c r="AR196" s="338"/>
      <c r="AS196" s="338"/>
      <c r="AT196" s="338"/>
      <c r="AU196" s="338"/>
      <c r="AV196" s="338"/>
    </row>
    <row r="197" spans="2:48" x14ac:dyDescent="0.25">
      <c r="B197" s="338"/>
      <c r="C197" s="338"/>
      <c r="D197" s="338"/>
      <c r="E197" s="338"/>
      <c r="F197" s="338"/>
      <c r="G197" s="339"/>
      <c r="H197" s="342"/>
      <c r="I197" s="341"/>
      <c r="J197" s="339"/>
      <c r="K197" s="342"/>
      <c r="L197" s="341"/>
      <c r="M197" s="308"/>
      <c r="N197" s="292"/>
      <c r="O197" s="292"/>
      <c r="P197" s="292"/>
      <c r="Q197" s="338"/>
      <c r="R197" s="338"/>
      <c r="S197" s="338"/>
      <c r="T197" s="338"/>
      <c r="U197" s="338"/>
      <c r="V197" s="338"/>
      <c r="W197" s="338"/>
      <c r="X197" s="338"/>
      <c r="Y197" s="338"/>
      <c r="Z197" s="338"/>
      <c r="AA197" s="338"/>
      <c r="AB197" s="338"/>
      <c r="AC197" s="338"/>
      <c r="AD197" s="338"/>
      <c r="AE197" s="338"/>
      <c r="AF197" s="338"/>
      <c r="AG197" s="338"/>
      <c r="AH197" s="338"/>
      <c r="AI197" s="338"/>
      <c r="AJ197" s="338"/>
      <c r="AK197" s="338"/>
      <c r="AL197" s="338"/>
      <c r="AM197" s="338"/>
      <c r="AN197" s="338"/>
      <c r="AO197" s="338"/>
      <c r="AP197" s="338"/>
      <c r="AQ197" s="338"/>
      <c r="AR197" s="338"/>
      <c r="AS197" s="338"/>
      <c r="AT197" s="338"/>
      <c r="AU197" s="338"/>
      <c r="AV197" s="338"/>
    </row>
    <row r="198" spans="2:48" x14ac:dyDescent="0.25">
      <c r="B198" s="338"/>
      <c r="C198" s="338"/>
      <c r="D198" s="338"/>
      <c r="E198" s="338"/>
      <c r="F198" s="338"/>
      <c r="G198" s="339"/>
      <c r="H198" s="342"/>
      <c r="I198" s="341"/>
      <c r="J198" s="339"/>
      <c r="K198" s="342"/>
      <c r="L198" s="341"/>
      <c r="M198" s="308"/>
      <c r="N198" s="292"/>
      <c r="O198" s="292"/>
      <c r="P198" s="292"/>
      <c r="Q198" s="338"/>
      <c r="R198" s="338"/>
      <c r="S198" s="338"/>
      <c r="T198" s="338"/>
      <c r="U198" s="338"/>
      <c r="V198" s="338"/>
      <c r="W198" s="338"/>
      <c r="X198" s="338"/>
      <c r="Y198" s="338"/>
      <c r="Z198" s="338"/>
      <c r="AA198" s="338"/>
      <c r="AB198" s="338"/>
      <c r="AC198" s="338"/>
      <c r="AD198" s="338"/>
      <c r="AE198" s="338"/>
      <c r="AF198" s="338"/>
      <c r="AG198" s="338"/>
      <c r="AH198" s="338"/>
      <c r="AI198" s="338"/>
      <c r="AJ198" s="338"/>
      <c r="AK198" s="338"/>
      <c r="AL198" s="338"/>
      <c r="AM198" s="338"/>
      <c r="AN198" s="338"/>
      <c r="AO198" s="338"/>
      <c r="AP198" s="338"/>
      <c r="AQ198" s="338"/>
      <c r="AR198" s="338"/>
      <c r="AS198" s="338"/>
      <c r="AT198" s="338"/>
      <c r="AU198" s="338"/>
      <c r="AV198" s="338"/>
    </row>
    <row r="199" spans="2:48" x14ac:dyDescent="0.25">
      <c r="B199" s="338"/>
      <c r="C199" s="338"/>
      <c r="D199" s="338"/>
      <c r="E199" s="338"/>
      <c r="F199" s="338"/>
      <c r="G199" s="339"/>
      <c r="H199" s="342"/>
      <c r="I199" s="341"/>
      <c r="J199" s="339"/>
      <c r="K199" s="342"/>
      <c r="L199" s="341"/>
      <c r="M199" s="308"/>
      <c r="N199" s="292"/>
      <c r="O199" s="292"/>
      <c r="P199" s="292"/>
      <c r="Q199" s="338"/>
      <c r="R199" s="338"/>
      <c r="S199" s="338"/>
      <c r="T199" s="338"/>
      <c r="U199" s="338"/>
      <c r="V199" s="338"/>
      <c r="W199" s="338"/>
      <c r="X199" s="338"/>
      <c r="Y199" s="338"/>
      <c r="Z199" s="338"/>
      <c r="AA199" s="338"/>
      <c r="AB199" s="338"/>
      <c r="AC199" s="338"/>
      <c r="AD199" s="338"/>
      <c r="AE199" s="338"/>
      <c r="AF199" s="338"/>
      <c r="AG199" s="338"/>
      <c r="AH199" s="338"/>
      <c r="AI199" s="338"/>
      <c r="AJ199" s="338"/>
      <c r="AK199" s="338"/>
      <c r="AL199" s="338"/>
      <c r="AM199" s="338"/>
      <c r="AN199" s="338"/>
      <c r="AO199" s="338"/>
      <c r="AP199" s="338"/>
      <c r="AQ199" s="338"/>
      <c r="AR199" s="338"/>
      <c r="AS199" s="338"/>
      <c r="AT199" s="338"/>
      <c r="AU199" s="338"/>
      <c r="AV199" s="338"/>
    </row>
    <row r="200" spans="2:48" x14ac:dyDescent="0.25">
      <c r="B200" s="338"/>
      <c r="C200" s="338"/>
      <c r="D200" s="338"/>
      <c r="E200" s="338"/>
      <c r="F200" s="338"/>
      <c r="G200" s="339"/>
      <c r="H200" s="342"/>
      <c r="I200" s="341"/>
      <c r="J200" s="339"/>
      <c r="K200" s="342"/>
      <c r="L200" s="341"/>
      <c r="M200" s="308"/>
      <c r="N200" s="292"/>
      <c r="O200" s="292"/>
      <c r="P200" s="292"/>
      <c r="Q200" s="338"/>
      <c r="R200" s="338"/>
      <c r="S200" s="338"/>
      <c r="T200" s="338"/>
      <c r="U200" s="338"/>
      <c r="V200" s="338"/>
      <c r="W200" s="338"/>
      <c r="X200" s="338"/>
      <c r="Y200" s="338"/>
      <c r="Z200" s="338"/>
      <c r="AA200" s="338"/>
      <c r="AB200" s="338"/>
      <c r="AC200" s="338"/>
      <c r="AD200" s="338"/>
      <c r="AE200" s="338"/>
      <c r="AF200" s="338"/>
      <c r="AG200" s="338"/>
      <c r="AH200" s="338"/>
      <c r="AI200" s="338"/>
      <c r="AJ200" s="338"/>
      <c r="AK200" s="338"/>
      <c r="AL200" s="338"/>
      <c r="AM200" s="338"/>
      <c r="AN200" s="338"/>
      <c r="AO200" s="338"/>
      <c r="AP200" s="338"/>
      <c r="AQ200" s="338"/>
      <c r="AR200" s="338"/>
      <c r="AS200" s="338"/>
      <c r="AT200" s="338"/>
      <c r="AU200" s="338"/>
      <c r="AV200" s="338"/>
    </row>
    <row r="201" spans="2:48" x14ac:dyDescent="0.25">
      <c r="B201" s="338"/>
      <c r="C201" s="338"/>
      <c r="D201" s="338"/>
      <c r="E201" s="338"/>
      <c r="F201" s="338"/>
      <c r="G201" s="339"/>
      <c r="H201" s="342"/>
      <c r="I201" s="341"/>
      <c r="J201" s="339"/>
      <c r="K201" s="342"/>
      <c r="L201" s="341"/>
      <c r="M201" s="308"/>
      <c r="N201" s="292"/>
      <c r="O201" s="292"/>
      <c r="P201" s="292"/>
      <c r="Q201" s="338"/>
      <c r="R201" s="338"/>
      <c r="S201" s="338"/>
      <c r="T201" s="338"/>
      <c r="U201" s="338"/>
      <c r="V201" s="338"/>
      <c r="W201" s="338"/>
      <c r="X201" s="338"/>
      <c r="Y201" s="338"/>
      <c r="Z201" s="338"/>
      <c r="AA201" s="338"/>
      <c r="AB201" s="338"/>
      <c r="AC201" s="338"/>
      <c r="AD201" s="338"/>
      <c r="AE201" s="338"/>
      <c r="AF201" s="338"/>
      <c r="AG201" s="338"/>
      <c r="AH201" s="338"/>
      <c r="AI201" s="338"/>
      <c r="AJ201" s="338"/>
      <c r="AK201" s="338"/>
      <c r="AL201" s="338"/>
      <c r="AM201" s="338"/>
      <c r="AN201" s="338"/>
      <c r="AO201" s="338"/>
      <c r="AP201" s="338"/>
      <c r="AQ201" s="338"/>
      <c r="AR201" s="338"/>
      <c r="AS201" s="338"/>
      <c r="AT201" s="338"/>
      <c r="AU201" s="338"/>
      <c r="AV201" s="338"/>
    </row>
    <row r="202" spans="2:48" x14ac:dyDescent="0.25">
      <c r="B202" s="338"/>
      <c r="C202" s="338"/>
      <c r="D202" s="338"/>
      <c r="E202" s="338"/>
      <c r="F202" s="338"/>
      <c r="G202" s="339"/>
      <c r="H202" s="342"/>
      <c r="I202" s="341"/>
      <c r="J202" s="339"/>
      <c r="K202" s="342"/>
      <c r="L202" s="341"/>
      <c r="M202" s="308"/>
      <c r="N202" s="292"/>
      <c r="O202" s="292"/>
      <c r="P202" s="292"/>
      <c r="Q202" s="338"/>
      <c r="R202" s="338"/>
      <c r="S202" s="338"/>
      <c r="T202" s="338"/>
      <c r="U202" s="338"/>
      <c r="V202" s="338"/>
      <c r="W202" s="338"/>
      <c r="X202" s="338"/>
      <c r="Y202" s="338"/>
      <c r="Z202" s="338"/>
      <c r="AA202" s="338"/>
      <c r="AB202" s="338"/>
      <c r="AC202" s="338"/>
      <c r="AD202" s="338"/>
      <c r="AE202" s="338"/>
      <c r="AF202" s="338"/>
      <c r="AG202" s="338"/>
      <c r="AH202" s="338"/>
      <c r="AI202" s="338"/>
      <c r="AJ202" s="338"/>
      <c r="AK202" s="338"/>
      <c r="AL202" s="338"/>
      <c r="AM202" s="338"/>
      <c r="AN202" s="338"/>
      <c r="AO202" s="338"/>
      <c r="AP202" s="338"/>
      <c r="AQ202" s="338"/>
      <c r="AR202" s="338"/>
      <c r="AS202" s="338"/>
      <c r="AT202" s="338"/>
      <c r="AU202" s="338"/>
      <c r="AV202" s="338"/>
    </row>
    <row r="203" spans="2:48" x14ac:dyDescent="0.25">
      <c r="B203" s="338"/>
      <c r="C203" s="338"/>
      <c r="D203" s="338"/>
      <c r="E203" s="338"/>
      <c r="F203" s="338"/>
      <c r="G203" s="339"/>
      <c r="H203" s="342"/>
      <c r="I203" s="341"/>
      <c r="J203" s="339"/>
      <c r="K203" s="342"/>
      <c r="L203" s="341"/>
      <c r="M203" s="308"/>
      <c r="N203" s="292"/>
      <c r="O203" s="292"/>
      <c r="P203" s="292"/>
      <c r="Q203" s="338"/>
      <c r="R203" s="338"/>
      <c r="S203" s="338"/>
      <c r="T203" s="338"/>
      <c r="U203" s="338"/>
      <c r="V203" s="338"/>
      <c r="W203" s="338"/>
      <c r="X203" s="338"/>
      <c r="Y203" s="338"/>
      <c r="Z203" s="338"/>
      <c r="AA203" s="338"/>
      <c r="AB203" s="338"/>
      <c r="AC203" s="338"/>
      <c r="AD203" s="338"/>
      <c r="AE203" s="338"/>
      <c r="AF203" s="338"/>
      <c r="AG203" s="338"/>
      <c r="AH203" s="338"/>
      <c r="AI203" s="338"/>
      <c r="AJ203" s="338"/>
      <c r="AK203" s="338"/>
      <c r="AL203" s="338"/>
      <c r="AM203" s="338"/>
      <c r="AN203" s="338"/>
      <c r="AO203" s="338"/>
      <c r="AP203" s="338"/>
      <c r="AQ203" s="338"/>
      <c r="AR203" s="338"/>
      <c r="AS203" s="338"/>
      <c r="AT203" s="338"/>
      <c r="AU203" s="338"/>
      <c r="AV203" s="338"/>
    </row>
    <row r="204" spans="2:48" x14ac:dyDescent="0.25">
      <c r="B204" s="338"/>
      <c r="C204" s="338"/>
      <c r="D204" s="338"/>
      <c r="E204" s="338"/>
      <c r="F204" s="338"/>
      <c r="G204" s="339"/>
      <c r="H204" s="342"/>
      <c r="I204" s="341"/>
      <c r="J204" s="339"/>
      <c r="K204" s="342"/>
      <c r="L204" s="341"/>
      <c r="M204" s="308"/>
      <c r="N204" s="292"/>
      <c r="O204" s="292"/>
      <c r="P204" s="292"/>
      <c r="Q204" s="338"/>
      <c r="R204" s="338"/>
      <c r="S204" s="338"/>
      <c r="T204" s="338"/>
      <c r="U204" s="338"/>
      <c r="V204" s="338"/>
      <c r="W204" s="338"/>
      <c r="X204" s="338"/>
      <c r="Y204" s="338"/>
      <c r="Z204" s="338"/>
      <c r="AA204" s="338"/>
      <c r="AB204" s="338"/>
      <c r="AC204" s="338"/>
      <c r="AD204" s="338"/>
      <c r="AE204" s="338"/>
      <c r="AF204" s="338"/>
      <c r="AG204" s="338"/>
      <c r="AH204" s="338"/>
      <c r="AI204" s="338"/>
      <c r="AJ204" s="338"/>
      <c r="AK204" s="338"/>
      <c r="AL204" s="338"/>
      <c r="AM204" s="338"/>
      <c r="AN204" s="338"/>
      <c r="AO204" s="338"/>
      <c r="AP204" s="338"/>
      <c r="AQ204" s="338"/>
      <c r="AR204" s="338"/>
      <c r="AS204" s="338"/>
      <c r="AT204" s="338"/>
      <c r="AU204" s="338"/>
      <c r="AV204" s="338"/>
    </row>
    <row r="205" spans="2:48" x14ac:dyDescent="0.25">
      <c r="B205" s="338"/>
      <c r="C205" s="338"/>
      <c r="D205" s="338"/>
      <c r="E205" s="338"/>
      <c r="F205" s="338"/>
      <c r="G205" s="339"/>
      <c r="H205" s="342"/>
      <c r="I205" s="341"/>
      <c r="J205" s="339"/>
      <c r="K205" s="342"/>
      <c r="L205" s="341"/>
      <c r="M205" s="308"/>
      <c r="N205" s="292"/>
      <c r="O205" s="292"/>
      <c r="P205" s="292"/>
      <c r="Q205" s="338"/>
      <c r="R205" s="338"/>
      <c r="S205" s="338"/>
      <c r="T205" s="338"/>
      <c r="U205" s="338"/>
      <c r="V205" s="338"/>
      <c r="W205" s="338"/>
      <c r="X205" s="338"/>
      <c r="Y205" s="338"/>
      <c r="Z205" s="338"/>
      <c r="AA205" s="338"/>
      <c r="AB205" s="338"/>
      <c r="AC205" s="338"/>
      <c r="AD205" s="338"/>
      <c r="AE205" s="338"/>
      <c r="AF205" s="338"/>
      <c r="AG205" s="338"/>
      <c r="AH205" s="338"/>
      <c r="AI205" s="338"/>
      <c r="AJ205" s="338"/>
      <c r="AK205" s="338"/>
      <c r="AL205" s="338"/>
      <c r="AM205" s="338"/>
      <c r="AN205" s="338"/>
      <c r="AO205" s="338"/>
      <c r="AP205" s="338"/>
      <c r="AQ205" s="338"/>
      <c r="AR205" s="338"/>
      <c r="AS205" s="338"/>
      <c r="AT205" s="338"/>
      <c r="AU205" s="338"/>
      <c r="AV205" s="338"/>
    </row>
    <row r="206" spans="2:48" x14ac:dyDescent="0.25">
      <c r="B206" s="338"/>
      <c r="C206" s="338"/>
      <c r="D206" s="338"/>
      <c r="E206" s="338"/>
      <c r="F206" s="338"/>
      <c r="G206" s="339"/>
      <c r="H206" s="342"/>
      <c r="I206" s="341"/>
      <c r="J206" s="339"/>
      <c r="K206" s="342"/>
      <c r="L206" s="341"/>
      <c r="M206" s="308"/>
      <c r="N206" s="292"/>
      <c r="O206" s="292"/>
      <c r="P206" s="292"/>
      <c r="Q206" s="338"/>
      <c r="R206" s="338"/>
      <c r="S206" s="338"/>
      <c r="T206" s="338"/>
      <c r="U206" s="338"/>
      <c r="V206" s="338"/>
      <c r="W206" s="338"/>
      <c r="X206" s="338"/>
      <c r="Y206" s="338"/>
      <c r="Z206" s="338"/>
      <c r="AA206" s="338"/>
      <c r="AB206" s="338"/>
      <c r="AC206" s="338"/>
      <c r="AD206" s="338"/>
      <c r="AE206" s="338"/>
      <c r="AF206" s="338"/>
      <c r="AG206" s="338"/>
      <c r="AH206" s="338"/>
      <c r="AI206" s="338"/>
      <c r="AJ206" s="338"/>
      <c r="AK206" s="338"/>
      <c r="AL206" s="338"/>
      <c r="AM206" s="338"/>
      <c r="AN206" s="338"/>
      <c r="AO206" s="338"/>
      <c r="AP206" s="338"/>
      <c r="AQ206" s="338"/>
      <c r="AR206" s="338"/>
      <c r="AS206" s="338"/>
      <c r="AT206" s="338"/>
      <c r="AU206" s="338"/>
      <c r="AV206" s="338"/>
    </row>
    <row r="207" spans="2:48" x14ac:dyDescent="0.25">
      <c r="B207" s="338"/>
      <c r="C207" s="338"/>
      <c r="D207" s="338"/>
      <c r="E207" s="338"/>
      <c r="F207" s="338"/>
      <c r="G207" s="339"/>
      <c r="H207" s="342"/>
      <c r="I207" s="341"/>
      <c r="J207" s="339"/>
      <c r="K207" s="342"/>
      <c r="L207" s="341"/>
      <c r="M207" s="308"/>
      <c r="N207" s="292"/>
      <c r="O207" s="292"/>
      <c r="P207" s="292"/>
      <c r="Q207" s="338"/>
      <c r="R207" s="338"/>
      <c r="S207" s="338"/>
      <c r="T207" s="338"/>
      <c r="U207" s="338"/>
      <c r="V207" s="338"/>
      <c r="W207" s="338"/>
      <c r="X207" s="338"/>
      <c r="Y207" s="338"/>
      <c r="Z207" s="338"/>
      <c r="AA207" s="338"/>
      <c r="AB207" s="338"/>
      <c r="AC207" s="338"/>
      <c r="AD207" s="338"/>
      <c r="AE207" s="338"/>
      <c r="AF207" s="338"/>
      <c r="AG207" s="338"/>
      <c r="AH207" s="338"/>
      <c r="AI207" s="338"/>
      <c r="AJ207" s="338"/>
      <c r="AK207" s="338"/>
      <c r="AL207" s="338"/>
      <c r="AM207" s="338"/>
      <c r="AN207" s="338"/>
      <c r="AO207" s="338"/>
      <c r="AP207" s="338"/>
      <c r="AQ207" s="338"/>
      <c r="AR207" s="338"/>
      <c r="AS207" s="338"/>
      <c r="AT207" s="338"/>
      <c r="AU207" s="338"/>
      <c r="AV207" s="338"/>
    </row>
    <row r="208" spans="2:48" x14ac:dyDescent="0.25">
      <c r="B208" s="338"/>
      <c r="C208" s="338"/>
      <c r="D208" s="338"/>
      <c r="E208" s="338"/>
      <c r="F208" s="338"/>
      <c r="G208" s="339"/>
      <c r="H208" s="342"/>
      <c r="I208" s="341"/>
      <c r="J208" s="339"/>
      <c r="K208" s="342"/>
      <c r="L208" s="341"/>
      <c r="M208" s="308"/>
      <c r="N208" s="292"/>
      <c r="O208" s="292"/>
      <c r="P208" s="292"/>
      <c r="Q208" s="338"/>
      <c r="R208" s="338"/>
      <c r="S208" s="338"/>
      <c r="T208" s="338"/>
      <c r="U208" s="338"/>
      <c r="V208" s="338"/>
      <c r="W208" s="338"/>
      <c r="X208" s="338"/>
      <c r="Y208" s="338"/>
      <c r="Z208" s="338"/>
      <c r="AA208" s="338"/>
      <c r="AB208" s="338"/>
      <c r="AC208" s="338"/>
      <c r="AD208" s="338"/>
      <c r="AE208" s="338"/>
      <c r="AF208" s="338"/>
      <c r="AG208" s="338"/>
      <c r="AH208" s="338"/>
      <c r="AI208" s="338"/>
      <c r="AJ208" s="338"/>
      <c r="AK208" s="338"/>
      <c r="AL208" s="338"/>
      <c r="AM208" s="338"/>
      <c r="AN208" s="338"/>
      <c r="AO208" s="338"/>
      <c r="AP208" s="338"/>
      <c r="AQ208" s="338"/>
      <c r="AR208" s="338"/>
      <c r="AS208" s="338"/>
      <c r="AT208" s="338"/>
      <c r="AU208" s="338"/>
      <c r="AV208" s="338"/>
    </row>
    <row r="209" spans="2:48" x14ac:dyDescent="0.25">
      <c r="B209" s="338"/>
      <c r="C209" s="338"/>
      <c r="D209" s="338"/>
      <c r="E209" s="338"/>
      <c r="F209" s="338"/>
      <c r="G209" s="339"/>
      <c r="H209" s="342"/>
      <c r="I209" s="341"/>
      <c r="J209" s="339"/>
      <c r="K209" s="342"/>
      <c r="L209" s="341"/>
      <c r="M209" s="308"/>
      <c r="N209" s="292"/>
      <c r="O209" s="292"/>
      <c r="P209" s="292"/>
      <c r="Q209" s="338"/>
      <c r="R209" s="338"/>
      <c r="S209" s="338"/>
      <c r="T209" s="338"/>
      <c r="U209" s="338"/>
      <c r="V209" s="338"/>
      <c r="W209" s="338"/>
      <c r="X209" s="338"/>
      <c r="Y209" s="338"/>
      <c r="Z209" s="338"/>
      <c r="AA209" s="338"/>
      <c r="AB209" s="338"/>
      <c r="AC209" s="338"/>
      <c r="AD209" s="338"/>
      <c r="AE209" s="338"/>
      <c r="AF209" s="338"/>
      <c r="AG209" s="338"/>
      <c r="AH209" s="338"/>
      <c r="AI209" s="338"/>
      <c r="AJ209" s="338"/>
      <c r="AK209" s="338"/>
      <c r="AL209" s="338"/>
      <c r="AM209" s="338"/>
      <c r="AN209" s="338"/>
      <c r="AO209" s="338"/>
      <c r="AP209" s="338"/>
      <c r="AQ209" s="338"/>
      <c r="AR209" s="338"/>
      <c r="AS209" s="338"/>
      <c r="AT209" s="338"/>
      <c r="AU209" s="338"/>
      <c r="AV209" s="338"/>
    </row>
    <row r="210" spans="2:48" x14ac:dyDescent="0.25">
      <c r="B210" s="338"/>
      <c r="C210" s="338"/>
      <c r="D210" s="338"/>
      <c r="E210" s="338"/>
      <c r="F210" s="338"/>
      <c r="G210" s="339"/>
      <c r="H210" s="342"/>
      <c r="I210" s="341"/>
      <c r="J210" s="339"/>
      <c r="K210" s="342"/>
      <c r="L210" s="341"/>
      <c r="M210" s="308"/>
      <c r="N210" s="292"/>
      <c r="O210" s="292"/>
      <c r="P210" s="292"/>
      <c r="Q210" s="338"/>
      <c r="R210" s="338"/>
      <c r="S210" s="338"/>
      <c r="T210" s="338"/>
      <c r="U210" s="338"/>
      <c r="V210" s="338"/>
      <c r="W210" s="338"/>
      <c r="X210" s="338"/>
      <c r="Y210" s="338"/>
      <c r="Z210" s="338"/>
      <c r="AA210" s="338"/>
      <c r="AB210" s="338"/>
      <c r="AC210" s="338"/>
      <c r="AD210" s="338"/>
      <c r="AE210" s="338"/>
      <c r="AF210" s="338"/>
      <c r="AG210" s="338"/>
      <c r="AH210" s="338"/>
      <c r="AI210" s="338"/>
      <c r="AJ210" s="338"/>
      <c r="AK210" s="338"/>
      <c r="AL210" s="338"/>
      <c r="AM210" s="338"/>
      <c r="AN210" s="338"/>
      <c r="AO210" s="338"/>
      <c r="AP210" s="338"/>
      <c r="AQ210" s="338"/>
      <c r="AR210" s="338"/>
      <c r="AS210" s="338"/>
      <c r="AT210" s="338"/>
      <c r="AU210" s="338"/>
      <c r="AV210" s="338"/>
    </row>
    <row r="211" spans="2:48" x14ac:dyDescent="0.25">
      <c r="B211" s="338"/>
      <c r="C211" s="338"/>
      <c r="D211" s="338"/>
      <c r="E211" s="338"/>
      <c r="F211" s="338"/>
      <c r="G211" s="339"/>
      <c r="H211" s="342"/>
      <c r="I211" s="341"/>
      <c r="J211" s="339"/>
      <c r="K211" s="342"/>
      <c r="L211" s="341"/>
      <c r="M211" s="308"/>
      <c r="N211" s="292"/>
      <c r="O211" s="292"/>
      <c r="P211" s="292"/>
      <c r="Q211" s="338"/>
      <c r="R211" s="338"/>
      <c r="S211" s="338"/>
      <c r="T211" s="338"/>
      <c r="U211" s="338"/>
      <c r="V211" s="338"/>
      <c r="W211" s="338"/>
      <c r="X211" s="338"/>
      <c r="Y211" s="338"/>
      <c r="Z211" s="338"/>
      <c r="AA211" s="338"/>
      <c r="AB211" s="338"/>
      <c r="AC211" s="338"/>
      <c r="AD211" s="338"/>
      <c r="AE211" s="338"/>
      <c r="AF211" s="338"/>
      <c r="AG211" s="338"/>
      <c r="AH211" s="338"/>
      <c r="AI211" s="338"/>
      <c r="AJ211" s="338"/>
      <c r="AK211" s="338"/>
      <c r="AL211" s="338"/>
      <c r="AM211" s="338"/>
      <c r="AN211" s="338"/>
      <c r="AO211" s="338"/>
      <c r="AP211" s="338"/>
      <c r="AQ211" s="338"/>
      <c r="AR211" s="338"/>
      <c r="AS211" s="338"/>
      <c r="AT211" s="338"/>
      <c r="AU211" s="338"/>
      <c r="AV211" s="338"/>
    </row>
    <row r="212" spans="2:48" x14ac:dyDescent="0.25">
      <c r="B212" s="338"/>
      <c r="C212" s="338"/>
      <c r="D212" s="338"/>
      <c r="E212" s="338"/>
      <c r="F212" s="338"/>
      <c r="G212" s="339"/>
      <c r="H212" s="342"/>
      <c r="I212" s="341"/>
      <c r="J212" s="339"/>
      <c r="K212" s="342"/>
      <c r="L212" s="341"/>
      <c r="M212" s="308"/>
      <c r="N212" s="292"/>
      <c r="O212" s="292"/>
      <c r="P212" s="292"/>
      <c r="Q212" s="338"/>
      <c r="R212" s="338"/>
      <c r="S212" s="338"/>
      <c r="T212" s="338"/>
      <c r="U212" s="338"/>
      <c r="V212" s="338"/>
      <c r="W212" s="338"/>
      <c r="X212" s="338"/>
      <c r="Y212" s="338"/>
      <c r="Z212" s="338"/>
      <c r="AA212" s="338"/>
      <c r="AB212" s="338"/>
      <c r="AC212" s="338"/>
      <c r="AD212" s="338"/>
      <c r="AE212" s="338"/>
      <c r="AF212" s="338"/>
      <c r="AG212" s="338"/>
      <c r="AH212" s="338"/>
      <c r="AI212" s="338"/>
      <c r="AJ212" s="338"/>
      <c r="AK212" s="338"/>
      <c r="AL212" s="338"/>
      <c r="AM212" s="338"/>
      <c r="AN212" s="338"/>
      <c r="AO212" s="338"/>
      <c r="AP212" s="338"/>
      <c r="AQ212" s="338"/>
      <c r="AR212" s="338"/>
      <c r="AS212" s="338"/>
      <c r="AT212" s="338"/>
      <c r="AU212" s="338"/>
      <c r="AV212" s="338"/>
    </row>
    <row r="213" spans="2:48" x14ac:dyDescent="0.25">
      <c r="B213" s="338"/>
      <c r="C213" s="338"/>
      <c r="D213" s="338"/>
      <c r="E213" s="338"/>
      <c r="F213" s="338"/>
      <c r="G213" s="339"/>
      <c r="H213" s="342"/>
      <c r="I213" s="341"/>
      <c r="J213" s="339"/>
      <c r="K213" s="342"/>
      <c r="L213" s="341"/>
      <c r="M213" s="308"/>
      <c r="N213" s="292"/>
      <c r="O213" s="292"/>
      <c r="P213" s="292"/>
      <c r="Q213" s="338"/>
      <c r="R213" s="338"/>
      <c r="S213" s="338"/>
      <c r="T213" s="338"/>
      <c r="U213" s="338"/>
      <c r="V213" s="338"/>
      <c r="W213" s="338"/>
      <c r="X213" s="338"/>
      <c r="Y213" s="338"/>
      <c r="Z213" s="338"/>
      <c r="AA213" s="338"/>
      <c r="AB213" s="338"/>
      <c r="AC213" s="338"/>
      <c r="AD213" s="338"/>
      <c r="AE213" s="338"/>
      <c r="AF213" s="338"/>
      <c r="AG213" s="338"/>
      <c r="AH213" s="338"/>
      <c r="AI213" s="338"/>
      <c r="AJ213" s="338"/>
      <c r="AK213" s="338"/>
      <c r="AL213" s="338"/>
      <c r="AM213" s="338"/>
      <c r="AN213" s="338"/>
      <c r="AO213" s="338"/>
      <c r="AP213" s="338"/>
      <c r="AQ213" s="338"/>
      <c r="AR213" s="338"/>
      <c r="AS213" s="338"/>
      <c r="AT213" s="338"/>
      <c r="AU213" s="338"/>
      <c r="AV213" s="338"/>
    </row>
    <row r="214" spans="2:48" x14ac:dyDescent="0.25">
      <c r="B214" s="338"/>
      <c r="C214" s="338"/>
      <c r="D214" s="338"/>
      <c r="E214" s="338"/>
      <c r="F214" s="338"/>
      <c r="G214" s="339"/>
      <c r="H214" s="342"/>
      <c r="I214" s="341"/>
      <c r="J214" s="339"/>
      <c r="K214" s="342"/>
      <c r="L214" s="341"/>
      <c r="M214" s="308"/>
      <c r="N214" s="292"/>
      <c r="O214" s="292"/>
      <c r="P214" s="292"/>
      <c r="Q214" s="338"/>
      <c r="R214" s="338"/>
      <c r="S214" s="338"/>
      <c r="T214" s="338"/>
      <c r="U214" s="338"/>
      <c r="V214" s="338"/>
      <c r="W214" s="338"/>
      <c r="X214" s="338"/>
      <c r="Y214" s="338"/>
      <c r="Z214" s="338"/>
      <c r="AA214" s="338"/>
      <c r="AB214" s="338"/>
      <c r="AC214" s="338"/>
      <c r="AD214" s="338"/>
      <c r="AE214" s="338"/>
      <c r="AF214" s="338"/>
      <c r="AG214" s="338"/>
      <c r="AH214" s="338"/>
      <c r="AI214" s="338"/>
      <c r="AJ214" s="338"/>
      <c r="AK214" s="338"/>
      <c r="AL214" s="338"/>
      <c r="AM214" s="338"/>
      <c r="AN214" s="338"/>
      <c r="AO214" s="338"/>
      <c r="AP214" s="338"/>
      <c r="AQ214" s="338"/>
      <c r="AR214" s="338"/>
      <c r="AS214" s="338"/>
      <c r="AT214" s="338"/>
      <c r="AU214" s="338"/>
      <c r="AV214" s="338"/>
    </row>
    <row r="215" spans="2:48" x14ac:dyDescent="0.25">
      <c r="B215" s="338"/>
      <c r="C215" s="338"/>
      <c r="D215" s="338"/>
      <c r="E215" s="338"/>
      <c r="F215" s="338"/>
      <c r="G215" s="339"/>
      <c r="H215" s="342"/>
      <c r="I215" s="341"/>
      <c r="J215" s="339"/>
      <c r="K215" s="342"/>
      <c r="L215" s="341"/>
      <c r="M215" s="308"/>
      <c r="N215" s="292"/>
      <c r="O215" s="292"/>
      <c r="P215" s="292"/>
      <c r="Q215" s="338"/>
      <c r="R215" s="338"/>
      <c r="S215" s="338"/>
      <c r="T215" s="338"/>
      <c r="U215" s="338"/>
      <c r="V215" s="338"/>
      <c r="W215" s="338"/>
      <c r="X215" s="338"/>
      <c r="Y215" s="338"/>
      <c r="Z215" s="338"/>
      <c r="AA215" s="338"/>
      <c r="AB215" s="338"/>
      <c r="AC215" s="338"/>
      <c r="AD215" s="338"/>
      <c r="AE215" s="338"/>
      <c r="AF215" s="338"/>
      <c r="AG215" s="338"/>
      <c r="AH215" s="338"/>
      <c r="AI215" s="338"/>
      <c r="AJ215" s="338"/>
      <c r="AK215" s="338"/>
      <c r="AL215" s="338"/>
      <c r="AM215" s="338"/>
      <c r="AN215" s="338"/>
      <c r="AO215" s="338"/>
      <c r="AP215" s="338"/>
      <c r="AQ215" s="338"/>
      <c r="AR215" s="338"/>
      <c r="AS215" s="338"/>
      <c r="AT215" s="338"/>
      <c r="AU215" s="338"/>
      <c r="AV215" s="338"/>
    </row>
    <row r="216" spans="2:48" x14ac:dyDescent="0.25">
      <c r="B216" s="338"/>
      <c r="C216" s="338"/>
      <c r="D216" s="338"/>
      <c r="E216" s="338"/>
      <c r="F216" s="338"/>
      <c r="G216" s="339"/>
      <c r="H216" s="342"/>
      <c r="I216" s="341"/>
      <c r="J216" s="339"/>
      <c r="K216" s="342"/>
      <c r="L216" s="341"/>
      <c r="M216" s="308"/>
      <c r="N216" s="292"/>
      <c r="O216" s="292"/>
      <c r="P216" s="292"/>
      <c r="Q216" s="338"/>
      <c r="R216" s="338"/>
      <c r="S216" s="338"/>
      <c r="T216" s="338"/>
      <c r="U216" s="338"/>
      <c r="V216" s="338"/>
      <c r="W216" s="338"/>
      <c r="X216" s="338"/>
      <c r="Y216" s="338"/>
      <c r="Z216" s="338"/>
      <c r="AA216" s="338"/>
      <c r="AB216" s="338"/>
      <c r="AC216" s="338"/>
      <c r="AD216" s="338"/>
      <c r="AE216" s="338"/>
      <c r="AF216" s="338"/>
      <c r="AG216" s="338"/>
      <c r="AH216" s="338"/>
      <c r="AI216" s="338"/>
      <c r="AJ216" s="338"/>
      <c r="AK216" s="338"/>
      <c r="AL216" s="338"/>
      <c r="AM216" s="338"/>
      <c r="AN216" s="338"/>
      <c r="AO216" s="338"/>
      <c r="AP216" s="338"/>
      <c r="AQ216" s="338"/>
      <c r="AR216" s="338"/>
      <c r="AS216" s="338"/>
      <c r="AT216" s="338"/>
      <c r="AU216" s="338"/>
      <c r="AV216" s="338"/>
    </row>
    <row r="217" spans="2:48" x14ac:dyDescent="0.25">
      <c r="B217" s="338"/>
      <c r="C217" s="338"/>
      <c r="D217" s="338"/>
      <c r="E217" s="338"/>
      <c r="F217" s="338"/>
      <c r="G217" s="339"/>
      <c r="H217" s="342"/>
      <c r="I217" s="341"/>
      <c r="J217" s="339"/>
      <c r="K217" s="342"/>
      <c r="L217" s="341"/>
      <c r="M217" s="308"/>
      <c r="N217" s="292"/>
      <c r="O217" s="292"/>
      <c r="P217" s="292"/>
      <c r="Q217" s="338"/>
      <c r="R217" s="338"/>
      <c r="S217" s="338"/>
      <c r="T217" s="338"/>
      <c r="U217" s="338"/>
      <c r="V217" s="338"/>
      <c r="W217" s="338"/>
      <c r="X217" s="338"/>
      <c r="Y217" s="338"/>
      <c r="Z217" s="338"/>
      <c r="AA217" s="338"/>
      <c r="AB217" s="338"/>
      <c r="AC217" s="338"/>
      <c r="AD217" s="338"/>
      <c r="AE217" s="338"/>
      <c r="AF217" s="338"/>
      <c r="AG217" s="338"/>
      <c r="AH217" s="338"/>
      <c r="AI217" s="338"/>
      <c r="AJ217" s="338"/>
      <c r="AK217" s="338"/>
      <c r="AL217" s="338"/>
      <c r="AM217" s="338"/>
      <c r="AN217" s="338"/>
      <c r="AO217" s="338"/>
      <c r="AP217" s="338"/>
      <c r="AQ217" s="338"/>
      <c r="AR217" s="338"/>
      <c r="AS217" s="338"/>
      <c r="AT217" s="338"/>
      <c r="AU217" s="338"/>
      <c r="AV217" s="338"/>
    </row>
    <row r="218" spans="2:48" x14ac:dyDescent="0.25">
      <c r="B218" s="338"/>
      <c r="C218" s="338"/>
      <c r="D218" s="338"/>
      <c r="E218" s="338"/>
      <c r="F218" s="338"/>
      <c r="G218" s="339"/>
      <c r="H218" s="342"/>
      <c r="I218" s="341"/>
      <c r="J218" s="339"/>
      <c r="K218" s="342"/>
      <c r="L218" s="341"/>
      <c r="M218" s="308"/>
      <c r="N218" s="292"/>
      <c r="O218" s="292"/>
      <c r="P218" s="292"/>
      <c r="Q218" s="338"/>
      <c r="R218" s="338"/>
      <c r="S218" s="338"/>
      <c r="T218" s="338"/>
      <c r="U218" s="338"/>
      <c r="V218" s="338"/>
      <c r="W218" s="338"/>
      <c r="X218" s="338"/>
      <c r="Y218" s="338"/>
      <c r="Z218" s="338"/>
      <c r="AA218" s="338"/>
      <c r="AB218" s="338"/>
      <c r="AC218" s="338"/>
      <c r="AD218" s="338"/>
      <c r="AE218" s="338"/>
      <c r="AF218" s="338"/>
      <c r="AG218" s="338"/>
      <c r="AH218" s="338"/>
      <c r="AI218" s="338"/>
      <c r="AJ218" s="338"/>
      <c r="AK218" s="338"/>
      <c r="AL218" s="338"/>
      <c r="AM218" s="338"/>
      <c r="AN218" s="338"/>
      <c r="AO218" s="338"/>
      <c r="AP218" s="338"/>
      <c r="AQ218" s="338"/>
      <c r="AR218" s="338"/>
      <c r="AS218" s="338"/>
      <c r="AT218" s="338"/>
      <c r="AU218" s="338"/>
      <c r="AV218" s="338"/>
    </row>
    <row r="219" spans="2:48" x14ac:dyDescent="0.25">
      <c r="B219" s="338"/>
      <c r="C219" s="338"/>
      <c r="D219" s="338"/>
      <c r="E219" s="338"/>
      <c r="F219" s="338"/>
      <c r="G219" s="339"/>
      <c r="H219" s="342"/>
      <c r="I219" s="341"/>
      <c r="J219" s="339"/>
      <c r="K219" s="342"/>
      <c r="L219" s="341"/>
      <c r="M219" s="308"/>
      <c r="N219" s="292"/>
      <c r="O219" s="292"/>
      <c r="P219" s="292"/>
      <c r="Q219" s="338"/>
      <c r="R219" s="338"/>
      <c r="S219" s="338"/>
      <c r="T219" s="338"/>
      <c r="U219" s="338"/>
      <c r="V219" s="338"/>
      <c r="W219" s="338"/>
      <c r="X219" s="338"/>
      <c r="Y219" s="338"/>
      <c r="Z219" s="338"/>
      <c r="AA219" s="338"/>
      <c r="AB219" s="338"/>
      <c r="AC219" s="338"/>
      <c r="AD219" s="338"/>
      <c r="AE219" s="338"/>
      <c r="AF219" s="338"/>
      <c r="AG219" s="338"/>
      <c r="AH219" s="338"/>
      <c r="AI219" s="338"/>
      <c r="AJ219" s="338"/>
      <c r="AK219" s="338"/>
      <c r="AL219" s="338"/>
      <c r="AM219" s="338"/>
      <c r="AN219" s="338"/>
      <c r="AO219" s="338"/>
      <c r="AP219" s="338"/>
      <c r="AQ219" s="338"/>
      <c r="AR219" s="338"/>
      <c r="AS219" s="338"/>
      <c r="AT219" s="338"/>
      <c r="AU219" s="338"/>
      <c r="AV219" s="338"/>
    </row>
    <row r="220" spans="2:48" x14ac:dyDescent="0.25">
      <c r="B220" s="338"/>
      <c r="C220" s="338"/>
      <c r="D220" s="338"/>
      <c r="E220" s="338"/>
      <c r="F220" s="338"/>
      <c r="G220" s="339"/>
      <c r="H220" s="342"/>
      <c r="I220" s="341"/>
      <c r="J220" s="339"/>
      <c r="K220" s="342"/>
      <c r="L220" s="341"/>
      <c r="M220" s="308"/>
      <c r="N220" s="292"/>
      <c r="O220" s="292"/>
      <c r="P220" s="292"/>
      <c r="Q220" s="338"/>
      <c r="R220" s="338"/>
      <c r="S220" s="338"/>
      <c r="T220" s="338"/>
      <c r="U220" s="338"/>
      <c r="V220" s="338"/>
      <c r="W220" s="338"/>
      <c r="X220" s="338"/>
      <c r="Y220" s="338"/>
      <c r="Z220" s="338"/>
      <c r="AA220" s="338"/>
      <c r="AB220" s="338"/>
      <c r="AC220" s="338"/>
      <c r="AD220" s="338"/>
      <c r="AE220" s="338"/>
      <c r="AF220" s="338"/>
      <c r="AG220" s="338"/>
      <c r="AH220" s="338"/>
      <c r="AI220" s="338"/>
      <c r="AJ220" s="338"/>
      <c r="AK220" s="338"/>
      <c r="AL220" s="338"/>
      <c r="AM220" s="338"/>
      <c r="AN220" s="338"/>
      <c r="AO220" s="338"/>
      <c r="AP220" s="338"/>
      <c r="AQ220" s="338"/>
      <c r="AR220" s="338"/>
      <c r="AS220" s="338"/>
      <c r="AT220" s="338"/>
      <c r="AU220" s="338"/>
      <c r="AV220" s="338"/>
    </row>
    <row r="221" spans="2:48" x14ac:dyDescent="0.25">
      <c r="B221" s="338"/>
      <c r="C221" s="338"/>
      <c r="D221" s="338"/>
      <c r="E221" s="338"/>
      <c r="F221" s="338"/>
      <c r="G221" s="339"/>
      <c r="H221" s="342"/>
      <c r="I221" s="341"/>
      <c r="J221" s="339"/>
      <c r="K221" s="342"/>
      <c r="L221" s="341"/>
      <c r="M221" s="308"/>
      <c r="N221" s="292"/>
      <c r="O221" s="292"/>
      <c r="P221" s="292"/>
      <c r="Q221" s="338"/>
      <c r="R221" s="338"/>
      <c r="S221" s="338"/>
      <c r="T221" s="338"/>
      <c r="U221" s="338"/>
      <c r="V221" s="338"/>
      <c r="W221" s="338"/>
      <c r="X221" s="338"/>
      <c r="Y221" s="338"/>
      <c r="Z221" s="338"/>
      <c r="AA221" s="338"/>
      <c r="AB221" s="338"/>
      <c r="AC221" s="338"/>
      <c r="AD221" s="338"/>
      <c r="AE221" s="338"/>
      <c r="AF221" s="338"/>
      <c r="AG221" s="338"/>
      <c r="AH221" s="338"/>
      <c r="AI221" s="338"/>
      <c r="AJ221" s="338"/>
      <c r="AK221" s="338"/>
      <c r="AL221" s="338"/>
      <c r="AM221" s="338"/>
      <c r="AN221" s="338"/>
      <c r="AO221" s="338"/>
      <c r="AP221" s="338"/>
      <c r="AQ221" s="338"/>
      <c r="AR221" s="338"/>
      <c r="AS221" s="338"/>
      <c r="AT221" s="338"/>
      <c r="AU221" s="338"/>
      <c r="AV221" s="338"/>
    </row>
    <row r="222" spans="2:48" x14ac:dyDescent="0.25">
      <c r="B222" s="338"/>
      <c r="C222" s="338"/>
      <c r="D222" s="338"/>
      <c r="E222" s="338"/>
      <c r="F222" s="338"/>
      <c r="G222" s="339"/>
      <c r="H222" s="342"/>
      <c r="I222" s="341"/>
      <c r="J222" s="339"/>
      <c r="K222" s="342"/>
      <c r="L222" s="341"/>
      <c r="M222" s="308"/>
      <c r="N222" s="292"/>
      <c r="O222" s="292"/>
      <c r="P222" s="292"/>
      <c r="Q222" s="338"/>
      <c r="R222" s="338"/>
      <c r="S222" s="338"/>
      <c r="T222" s="338"/>
      <c r="U222" s="338"/>
      <c r="V222" s="338"/>
      <c r="W222" s="338"/>
      <c r="X222" s="338"/>
      <c r="Y222" s="338"/>
      <c r="Z222" s="338"/>
      <c r="AA222" s="338"/>
      <c r="AB222" s="338"/>
      <c r="AC222" s="338"/>
      <c r="AD222" s="338"/>
      <c r="AE222" s="338"/>
      <c r="AF222" s="338"/>
      <c r="AG222" s="338"/>
      <c r="AH222" s="338"/>
      <c r="AI222" s="338"/>
      <c r="AJ222" s="338"/>
      <c r="AK222" s="338"/>
      <c r="AL222" s="338"/>
      <c r="AM222" s="338"/>
      <c r="AN222" s="338"/>
      <c r="AO222" s="338"/>
      <c r="AP222" s="338"/>
      <c r="AQ222" s="338"/>
      <c r="AR222" s="338"/>
      <c r="AS222" s="338"/>
      <c r="AT222" s="338"/>
      <c r="AU222" s="338"/>
      <c r="AV222" s="338"/>
    </row>
    <row r="223" spans="2:48" x14ac:dyDescent="0.25">
      <c r="B223" s="338"/>
      <c r="C223" s="338"/>
      <c r="D223" s="338"/>
      <c r="E223" s="338"/>
      <c r="F223" s="338"/>
      <c r="G223" s="339"/>
      <c r="H223" s="342"/>
      <c r="I223" s="341"/>
      <c r="J223" s="339"/>
      <c r="K223" s="342"/>
      <c r="L223" s="341"/>
      <c r="M223" s="308"/>
      <c r="N223" s="292"/>
      <c r="O223" s="292"/>
      <c r="P223" s="292"/>
      <c r="Q223" s="338"/>
      <c r="R223" s="338"/>
      <c r="S223" s="338"/>
      <c r="T223" s="338"/>
      <c r="U223" s="338"/>
      <c r="V223" s="338"/>
      <c r="W223" s="338"/>
      <c r="X223" s="338"/>
      <c r="Y223" s="338"/>
      <c r="Z223" s="338"/>
      <c r="AA223" s="338"/>
      <c r="AB223" s="338"/>
      <c r="AC223" s="338"/>
      <c r="AD223" s="338"/>
      <c r="AE223" s="338"/>
      <c r="AF223" s="338"/>
      <c r="AG223" s="338"/>
      <c r="AH223" s="338"/>
      <c r="AI223" s="338"/>
      <c r="AJ223" s="338"/>
      <c r="AK223" s="338"/>
      <c r="AL223" s="338"/>
      <c r="AM223" s="338"/>
      <c r="AN223" s="338"/>
      <c r="AO223" s="338"/>
      <c r="AP223" s="338"/>
      <c r="AQ223" s="338"/>
      <c r="AR223" s="338"/>
      <c r="AS223" s="338"/>
      <c r="AT223" s="338"/>
      <c r="AU223" s="338"/>
      <c r="AV223" s="338"/>
    </row>
    <row r="224" spans="2:48" x14ac:dyDescent="0.25">
      <c r="B224" s="338"/>
      <c r="C224" s="338"/>
      <c r="D224" s="338"/>
      <c r="E224" s="338"/>
      <c r="F224" s="338"/>
      <c r="G224" s="339"/>
      <c r="H224" s="342"/>
      <c r="I224" s="341"/>
      <c r="J224" s="339"/>
      <c r="K224" s="342"/>
      <c r="L224" s="341"/>
      <c r="M224" s="308"/>
      <c r="N224" s="292"/>
      <c r="O224" s="292"/>
      <c r="P224" s="292"/>
      <c r="Q224" s="338"/>
      <c r="R224" s="338"/>
      <c r="S224" s="338"/>
      <c r="T224" s="338"/>
      <c r="U224" s="338"/>
      <c r="V224" s="338"/>
      <c r="W224" s="338"/>
      <c r="X224" s="338"/>
      <c r="Y224" s="338"/>
      <c r="Z224" s="338"/>
      <c r="AA224" s="338"/>
      <c r="AB224" s="338"/>
      <c r="AC224" s="338"/>
      <c r="AD224" s="338"/>
      <c r="AE224" s="338"/>
      <c r="AF224" s="338"/>
      <c r="AG224" s="338"/>
      <c r="AH224" s="338"/>
      <c r="AI224" s="338"/>
      <c r="AJ224" s="338"/>
      <c r="AK224" s="338"/>
      <c r="AL224" s="338"/>
      <c r="AM224" s="338"/>
      <c r="AN224" s="338"/>
      <c r="AO224" s="338"/>
      <c r="AP224" s="338"/>
      <c r="AQ224" s="338"/>
      <c r="AR224" s="338"/>
      <c r="AS224" s="338"/>
      <c r="AT224" s="338"/>
      <c r="AU224" s="338"/>
      <c r="AV224" s="338"/>
    </row>
    <row r="225" spans="2:48" x14ac:dyDescent="0.25">
      <c r="B225" s="338"/>
      <c r="C225" s="338"/>
      <c r="D225" s="338"/>
      <c r="E225" s="338"/>
      <c r="F225" s="338"/>
      <c r="G225" s="339"/>
      <c r="H225" s="342"/>
      <c r="I225" s="341"/>
      <c r="J225" s="339"/>
      <c r="K225" s="342"/>
      <c r="L225" s="341"/>
      <c r="M225" s="308"/>
      <c r="N225" s="292"/>
      <c r="O225" s="292"/>
      <c r="P225" s="292"/>
      <c r="Q225" s="338"/>
      <c r="R225" s="338"/>
      <c r="S225" s="338"/>
      <c r="T225" s="338"/>
      <c r="U225" s="338"/>
      <c r="V225" s="338"/>
      <c r="W225" s="338"/>
      <c r="X225" s="338"/>
      <c r="Y225" s="338"/>
      <c r="Z225" s="338"/>
      <c r="AA225" s="338"/>
      <c r="AB225" s="338"/>
      <c r="AC225" s="338"/>
      <c r="AD225" s="338"/>
      <c r="AE225" s="338"/>
      <c r="AF225" s="338"/>
      <c r="AG225" s="338"/>
      <c r="AH225" s="338"/>
      <c r="AI225" s="338"/>
      <c r="AJ225" s="338"/>
      <c r="AK225" s="338"/>
      <c r="AL225" s="338"/>
      <c r="AM225" s="338"/>
      <c r="AN225" s="338"/>
      <c r="AO225" s="338"/>
      <c r="AP225" s="338"/>
      <c r="AQ225" s="338"/>
      <c r="AR225" s="338"/>
      <c r="AS225" s="338"/>
      <c r="AT225" s="338"/>
      <c r="AU225" s="338"/>
      <c r="AV225" s="338"/>
    </row>
    <row r="226" spans="2:48" x14ac:dyDescent="0.25">
      <c r="B226" s="338"/>
      <c r="C226" s="338"/>
      <c r="D226" s="338"/>
      <c r="E226" s="338"/>
      <c r="F226" s="338"/>
      <c r="G226" s="339"/>
      <c r="H226" s="342"/>
      <c r="I226" s="341"/>
      <c r="J226" s="339"/>
      <c r="K226" s="342"/>
      <c r="L226" s="341"/>
      <c r="M226" s="308"/>
      <c r="N226" s="292"/>
      <c r="O226" s="292"/>
      <c r="P226" s="292"/>
      <c r="Q226" s="338"/>
      <c r="R226" s="338"/>
      <c r="S226" s="338"/>
      <c r="T226" s="338"/>
      <c r="U226" s="338"/>
      <c r="V226" s="338"/>
      <c r="W226" s="338"/>
      <c r="X226" s="338"/>
      <c r="Y226" s="338"/>
      <c r="Z226" s="338"/>
      <c r="AA226" s="338"/>
      <c r="AB226" s="338"/>
      <c r="AC226" s="338"/>
      <c r="AD226" s="338"/>
      <c r="AE226" s="338"/>
      <c r="AF226" s="338"/>
      <c r="AG226" s="338"/>
      <c r="AH226" s="338"/>
      <c r="AI226" s="338"/>
      <c r="AJ226" s="338"/>
      <c r="AK226" s="338"/>
      <c r="AL226" s="338"/>
      <c r="AM226" s="338"/>
      <c r="AN226" s="338"/>
      <c r="AO226" s="338"/>
      <c r="AP226" s="338"/>
      <c r="AQ226" s="338"/>
      <c r="AR226" s="338"/>
      <c r="AS226" s="338"/>
      <c r="AT226" s="338"/>
      <c r="AU226" s="338"/>
      <c r="AV226" s="338"/>
    </row>
    <row r="227" spans="2:48" x14ac:dyDescent="0.25">
      <c r="B227" s="338"/>
      <c r="C227" s="338"/>
      <c r="D227" s="338"/>
      <c r="E227" s="338"/>
      <c r="F227" s="338"/>
      <c r="G227" s="339"/>
      <c r="H227" s="342"/>
      <c r="I227" s="341"/>
      <c r="J227" s="339"/>
      <c r="K227" s="342"/>
      <c r="L227" s="341"/>
      <c r="M227" s="308"/>
      <c r="N227" s="292"/>
      <c r="O227" s="292"/>
      <c r="P227" s="292"/>
      <c r="Q227" s="338"/>
      <c r="R227" s="338"/>
      <c r="S227" s="338"/>
      <c r="T227" s="338"/>
      <c r="U227" s="338"/>
      <c r="V227" s="338"/>
      <c r="W227" s="338"/>
      <c r="X227" s="338"/>
      <c r="Y227" s="338"/>
      <c r="Z227" s="338"/>
      <c r="AA227" s="338"/>
      <c r="AB227" s="338"/>
      <c r="AC227" s="338"/>
      <c r="AD227" s="338"/>
      <c r="AE227" s="338"/>
      <c r="AF227" s="338"/>
      <c r="AG227" s="338"/>
      <c r="AH227" s="338"/>
      <c r="AI227" s="338"/>
      <c r="AJ227" s="338"/>
      <c r="AK227" s="338"/>
      <c r="AL227" s="338"/>
      <c r="AM227" s="338"/>
      <c r="AN227" s="338"/>
      <c r="AO227" s="338"/>
      <c r="AP227" s="338"/>
      <c r="AQ227" s="338"/>
      <c r="AR227" s="338"/>
      <c r="AS227" s="338"/>
      <c r="AT227" s="338"/>
      <c r="AU227" s="338"/>
      <c r="AV227" s="338"/>
    </row>
    <row r="228" spans="2:48" x14ac:dyDescent="0.25">
      <c r="B228" s="338"/>
      <c r="C228" s="338"/>
      <c r="D228" s="338"/>
      <c r="E228" s="338"/>
      <c r="F228" s="338"/>
      <c r="G228" s="339"/>
      <c r="H228" s="342"/>
      <c r="I228" s="341"/>
      <c r="J228" s="339"/>
      <c r="K228" s="342"/>
      <c r="L228" s="341"/>
      <c r="M228" s="308"/>
      <c r="N228" s="292"/>
      <c r="O228" s="292"/>
      <c r="P228" s="292"/>
      <c r="Q228" s="338"/>
      <c r="R228" s="338"/>
      <c r="S228" s="338"/>
      <c r="T228" s="338"/>
      <c r="U228" s="338"/>
      <c r="V228" s="338"/>
      <c r="W228" s="338"/>
      <c r="X228" s="338"/>
      <c r="Y228" s="338"/>
      <c r="Z228" s="338"/>
      <c r="AA228" s="338"/>
      <c r="AB228" s="338"/>
      <c r="AC228" s="338"/>
      <c r="AD228" s="338"/>
      <c r="AE228" s="338"/>
      <c r="AF228" s="338"/>
      <c r="AG228" s="338"/>
      <c r="AH228" s="338"/>
      <c r="AI228" s="338"/>
      <c r="AJ228" s="338"/>
      <c r="AK228" s="338"/>
      <c r="AL228" s="338"/>
      <c r="AM228" s="338"/>
      <c r="AN228" s="338"/>
      <c r="AO228" s="338"/>
      <c r="AP228" s="338"/>
      <c r="AQ228" s="338"/>
      <c r="AR228" s="338"/>
      <c r="AS228" s="338"/>
      <c r="AT228" s="338"/>
      <c r="AU228" s="338"/>
      <c r="AV228" s="338"/>
    </row>
    <row r="229" spans="2:48" x14ac:dyDescent="0.25">
      <c r="B229" s="338"/>
      <c r="C229" s="338"/>
      <c r="D229" s="338"/>
      <c r="E229" s="338"/>
      <c r="F229" s="338"/>
      <c r="G229" s="339"/>
      <c r="H229" s="342"/>
      <c r="I229" s="341"/>
      <c r="J229" s="339"/>
      <c r="K229" s="342"/>
      <c r="L229" s="341"/>
      <c r="M229" s="308"/>
      <c r="N229" s="292"/>
      <c r="O229" s="292"/>
      <c r="P229" s="292"/>
      <c r="Q229" s="338"/>
      <c r="R229" s="338"/>
      <c r="S229" s="338"/>
      <c r="T229" s="338"/>
      <c r="U229" s="338"/>
      <c r="V229" s="338"/>
      <c r="W229" s="338"/>
      <c r="X229" s="338"/>
      <c r="Y229" s="338"/>
      <c r="Z229" s="338"/>
      <c r="AA229" s="338"/>
      <c r="AB229" s="338"/>
      <c r="AC229" s="338"/>
      <c r="AD229" s="338"/>
      <c r="AE229" s="338"/>
      <c r="AF229" s="338"/>
      <c r="AG229" s="338"/>
      <c r="AH229" s="338"/>
      <c r="AI229" s="338"/>
      <c r="AJ229" s="338"/>
      <c r="AK229" s="338"/>
      <c r="AL229" s="338"/>
      <c r="AM229" s="338"/>
      <c r="AN229" s="338"/>
      <c r="AO229" s="338"/>
      <c r="AP229" s="338"/>
      <c r="AQ229" s="338"/>
      <c r="AR229" s="338"/>
      <c r="AS229" s="338"/>
      <c r="AT229" s="338"/>
      <c r="AU229" s="338"/>
      <c r="AV229" s="338"/>
    </row>
    <row r="230" spans="2:48" x14ac:dyDescent="0.25">
      <c r="B230" s="338"/>
      <c r="C230" s="338"/>
      <c r="D230" s="338"/>
      <c r="E230" s="338"/>
      <c r="F230" s="338"/>
      <c r="G230" s="339"/>
      <c r="H230" s="342"/>
      <c r="I230" s="341"/>
      <c r="J230" s="339"/>
      <c r="K230" s="342"/>
      <c r="L230" s="341"/>
      <c r="M230" s="308"/>
      <c r="N230" s="292"/>
      <c r="O230" s="292"/>
      <c r="P230" s="292"/>
      <c r="Q230" s="338"/>
      <c r="R230" s="338"/>
      <c r="S230" s="338"/>
      <c r="T230" s="338"/>
      <c r="U230" s="338"/>
      <c r="V230" s="338"/>
      <c r="W230" s="338"/>
      <c r="X230" s="338"/>
      <c r="Y230" s="338"/>
      <c r="Z230" s="338"/>
      <c r="AA230" s="338"/>
      <c r="AB230" s="338"/>
      <c r="AC230" s="338"/>
      <c r="AD230" s="338"/>
      <c r="AE230" s="338"/>
      <c r="AF230" s="338"/>
      <c r="AG230" s="338"/>
      <c r="AH230" s="338"/>
      <c r="AI230" s="338"/>
      <c r="AJ230" s="338"/>
      <c r="AK230" s="338"/>
      <c r="AL230" s="338"/>
      <c r="AM230" s="338"/>
      <c r="AN230" s="338"/>
      <c r="AO230" s="338"/>
      <c r="AP230" s="338"/>
      <c r="AQ230" s="338"/>
      <c r="AR230" s="338"/>
      <c r="AS230" s="338"/>
      <c r="AT230" s="338"/>
      <c r="AU230" s="338"/>
      <c r="AV230" s="338"/>
    </row>
    <row r="231" spans="2:48" x14ac:dyDescent="0.25">
      <c r="B231" s="338"/>
      <c r="C231" s="338"/>
      <c r="D231" s="338"/>
      <c r="E231" s="338"/>
      <c r="F231" s="338"/>
      <c r="G231" s="339"/>
      <c r="H231" s="342"/>
      <c r="I231" s="341"/>
      <c r="J231" s="339"/>
      <c r="K231" s="342"/>
      <c r="L231" s="341"/>
      <c r="M231" s="308"/>
      <c r="N231" s="292"/>
      <c r="O231" s="292"/>
      <c r="P231" s="292"/>
      <c r="Q231" s="338"/>
      <c r="R231" s="338"/>
      <c r="S231" s="338"/>
      <c r="T231" s="338"/>
      <c r="U231" s="338"/>
      <c r="V231" s="338"/>
      <c r="W231" s="338"/>
      <c r="X231" s="338"/>
      <c r="Y231" s="338"/>
      <c r="Z231" s="338"/>
      <c r="AA231" s="338"/>
      <c r="AB231" s="338"/>
      <c r="AC231" s="338"/>
      <c r="AD231" s="338"/>
      <c r="AE231" s="338"/>
      <c r="AF231" s="338"/>
      <c r="AG231" s="338"/>
      <c r="AH231" s="338"/>
      <c r="AI231" s="338"/>
      <c r="AJ231" s="338"/>
      <c r="AK231" s="338"/>
      <c r="AL231" s="338"/>
      <c r="AM231" s="338"/>
      <c r="AN231" s="338"/>
      <c r="AO231" s="338"/>
      <c r="AP231" s="338"/>
      <c r="AQ231" s="338"/>
      <c r="AR231" s="338"/>
      <c r="AS231" s="338"/>
      <c r="AT231" s="338"/>
      <c r="AU231" s="338"/>
      <c r="AV231" s="338"/>
    </row>
    <row r="232" spans="2:48" x14ac:dyDescent="0.25">
      <c r="B232" s="338"/>
      <c r="C232" s="338"/>
      <c r="D232" s="338"/>
      <c r="E232" s="338"/>
      <c r="F232" s="338"/>
      <c r="G232" s="339"/>
      <c r="H232" s="342"/>
      <c r="I232" s="341"/>
      <c r="J232" s="339"/>
      <c r="K232" s="342"/>
      <c r="L232" s="341"/>
      <c r="M232" s="308"/>
      <c r="N232" s="292"/>
      <c r="O232" s="292"/>
      <c r="P232" s="292"/>
      <c r="Q232" s="338"/>
      <c r="R232" s="338"/>
      <c r="S232" s="338"/>
      <c r="T232" s="338"/>
      <c r="U232" s="338"/>
      <c r="V232" s="338"/>
      <c r="W232" s="338"/>
      <c r="X232" s="338"/>
      <c r="Y232" s="338"/>
      <c r="Z232" s="338"/>
      <c r="AA232" s="338"/>
      <c r="AB232" s="338"/>
      <c r="AC232" s="338"/>
      <c r="AD232" s="338"/>
      <c r="AE232" s="338"/>
      <c r="AF232" s="338"/>
      <c r="AG232" s="338"/>
      <c r="AH232" s="338"/>
      <c r="AI232" s="338"/>
      <c r="AJ232" s="338"/>
      <c r="AK232" s="338"/>
      <c r="AL232" s="338"/>
      <c r="AM232" s="338"/>
      <c r="AN232" s="338"/>
      <c r="AO232" s="338"/>
      <c r="AP232" s="338"/>
      <c r="AQ232" s="338"/>
      <c r="AR232" s="338"/>
      <c r="AS232" s="338"/>
      <c r="AT232" s="338"/>
      <c r="AU232" s="338"/>
      <c r="AV232" s="338"/>
    </row>
    <row r="233" spans="2:48" x14ac:dyDescent="0.25">
      <c r="B233" s="338"/>
      <c r="C233" s="338"/>
      <c r="D233" s="338"/>
      <c r="E233" s="338"/>
      <c r="F233" s="338"/>
      <c r="G233" s="339"/>
      <c r="H233" s="342"/>
      <c r="I233" s="341"/>
      <c r="J233" s="339"/>
      <c r="K233" s="342"/>
      <c r="L233" s="341"/>
      <c r="M233" s="308"/>
      <c r="N233" s="292"/>
      <c r="O233" s="292"/>
      <c r="P233" s="292"/>
      <c r="Q233" s="338"/>
      <c r="R233" s="338"/>
      <c r="S233" s="338"/>
      <c r="T233" s="338"/>
      <c r="U233" s="338"/>
      <c r="V233" s="338"/>
      <c r="W233" s="338"/>
      <c r="X233" s="338"/>
      <c r="Y233" s="338"/>
      <c r="Z233" s="338"/>
      <c r="AA233" s="338"/>
      <c r="AB233" s="338"/>
      <c r="AC233" s="338"/>
      <c r="AD233" s="338"/>
      <c r="AE233" s="338"/>
      <c r="AF233" s="338"/>
      <c r="AG233" s="338"/>
      <c r="AH233" s="338"/>
      <c r="AI233" s="338"/>
      <c r="AJ233" s="338"/>
      <c r="AK233" s="338"/>
      <c r="AL233" s="338"/>
      <c r="AM233" s="338"/>
      <c r="AN233" s="338"/>
      <c r="AO233" s="338"/>
      <c r="AP233" s="338"/>
      <c r="AQ233" s="338"/>
      <c r="AR233" s="338"/>
      <c r="AS233" s="338"/>
      <c r="AT233" s="338"/>
      <c r="AU233" s="338"/>
      <c r="AV233" s="338"/>
    </row>
    <row r="234" spans="2:48" x14ac:dyDescent="0.25">
      <c r="B234" s="338"/>
      <c r="C234" s="338"/>
      <c r="D234" s="338"/>
      <c r="E234" s="338"/>
      <c r="F234" s="338"/>
      <c r="G234" s="339"/>
      <c r="H234" s="342"/>
      <c r="I234" s="341"/>
      <c r="J234" s="339"/>
      <c r="K234" s="342"/>
      <c r="L234" s="341"/>
      <c r="M234" s="308"/>
      <c r="N234" s="292"/>
      <c r="O234" s="292"/>
      <c r="P234" s="292"/>
      <c r="Q234" s="338"/>
      <c r="R234" s="338"/>
      <c r="S234" s="338"/>
      <c r="T234" s="338"/>
      <c r="U234" s="338"/>
      <c r="V234" s="338"/>
      <c r="W234" s="338"/>
      <c r="X234" s="338"/>
      <c r="Y234" s="338"/>
      <c r="Z234" s="338"/>
      <c r="AA234" s="338"/>
      <c r="AB234" s="338"/>
      <c r="AC234" s="338"/>
      <c r="AD234" s="338"/>
      <c r="AE234" s="338"/>
      <c r="AF234" s="338"/>
      <c r="AG234" s="338"/>
      <c r="AH234" s="338"/>
      <c r="AI234" s="338"/>
      <c r="AJ234" s="338"/>
      <c r="AK234" s="338"/>
      <c r="AL234" s="338"/>
      <c r="AM234" s="338"/>
      <c r="AN234" s="338"/>
      <c r="AO234" s="338"/>
      <c r="AP234" s="338"/>
      <c r="AQ234" s="338"/>
      <c r="AR234" s="338"/>
      <c r="AS234" s="338"/>
      <c r="AT234" s="338"/>
      <c r="AU234" s="338"/>
      <c r="AV234" s="338"/>
    </row>
    <row r="235" spans="2:48" x14ac:dyDescent="0.25">
      <c r="B235" s="338"/>
      <c r="C235" s="338"/>
      <c r="D235" s="338"/>
      <c r="E235" s="338"/>
      <c r="F235" s="338"/>
      <c r="G235" s="339"/>
      <c r="H235" s="342"/>
      <c r="I235" s="341"/>
      <c r="J235" s="339"/>
      <c r="K235" s="342"/>
      <c r="L235" s="341"/>
      <c r="M235" s="308"/>
      <c r="N235" s="292"/>
      <c r="O235" s="292"/>
      <c r="P235" s="292"/>
      <c r="Q235" s="338"/>
      <c r="R235" s="338"/>
      <c r="S235" s="338"/>
      <c r="T235" s="338"/>
      <c r="U235" s="338"/>
      <c r="V235" s="338"/>
      <c r="W235" s="338"/>
      <c r="X235" s="338"/>
      <c r="Y235" s="338"/>
      <c r="Z235" s="338"/>
      <c r="AA235" s="338"/>
      <c r="AB235" s="338"/>
      <c r="AC235" s="338"/>
      <c r="AD235" s="338"/>
      <c r="AE235" s="338"/>
      <c r="AF235" s="338"/>
      <c r="AG235" s="338"/>
      <c r="AH235" s="338"/>
      <c r="AI235" s="338"/>
      <c r="AJ235" s="338"/>
      <c r="AK235" s="338"/>
      <c r="AL235" s="338"/>
      <c r="AM235" s="338"/>
      <c r="AN235" s="338"/>
      <c r="AO235" s="338"/>
      <c r="AP235" s="338"/>
      <c r="AQ235" s="338"/>
      <c r="AR235" s="338"/>
      <c r="AS235" s="338"/>
      <c r="AT235" s="338"/>
      <c r="AU235" s="338"/>
      <c r="AV235" s="338"/>
    </row>
    <row r="236" spans="2:48" x14ac:dyDescent="0.25">
      <c r="B236" s="338"/>
      <c r="C236" s="338"/>
      <c r="D236" s="338"/>
      <c r="E236" s="338"/>
      <c r="F236" s="338"/>
      <c r="G236" s="339"/>
      <c r="H236" s="342"/>
      <c r="I236" s="341"/>
      <c r="J236" s="339"/>
      <c r="K236" s="342"/>
      <c r="L236" s="341"/>
      <c r="M236" s="308"/>
      <c r="N236" s="292"/>
      <c r="O236" s="292"/>
      <c r="P236" s="292"/>
      <c r="Q236" s="338"/>
      <c r="R236" s="338"/>
      <c r="S236" s="338"/>
      <c r="T236" s="338"/>
      <c r="U236" s="338"/>
      <c r="V236" s="338"/>
      <c r="W236" s="338"/>
      <c r="X236" s="338"/>
      <c r="Y236" s="338"/>
      <c r="Z236" s="338"/>
      <c r="AA236" s="338"/>
      <c r="AB236" s="338"/>
      <c r="AC236" s="338"/>
      <c r="AD236" s="338"/>
      <c r="AE236" s="338"/>
      <c r="AF236" s="338"/>
      <c r="AG236" s="338"/>
      <c r="AH236" s="338"/>
      <c r="AI236" s="338"/>
      <c r="AJ236" s="338"/>
      <c r="AK236" s="338"/>
      <c r="AL236" s="338"/>
      <c r="AM236" s="338"/>
      <c r="AN236" s="338"/>
      <c r="AO236" s="338"/>
      <c r="AP236" s="338"/>
      <c r="AQ236" s="338"/>
      <c r="AR236" s="338"/>
      <c r="AS236" s="338"/>
      <c r="AT236" s="338"/>
      <c r="AU236" s="338"/>
      <c r="AV236" s="338"/>
    </row>
    <row r="237" spans="2:48" x14ac:dyDescent="0.25">
      <c r="B237" s="338"/>
      <c r="C237" s="338"/>
      <c r="D237" s="338"/>
      <c r="E237" s="338"/>
      <c r="F237" s="338"/>
      <c r="G237" s="339"/>
      <c r="H237" s="342"/>
      <c r="I237" s="341"/>
      <c r="J237" s="339"/>
      <c r="K237" s="342"/>
      <c r="L237" s="341"/>
      <c r="M237" s="308"/>
      <c r="N237" s="292"/>
      <c r="O237" s="292"/>
      <c r="P237" s="292"/>
      <c r="Q237" s="338"/>
      <c r="R237" s="338"/>
      <c r="S237" s="338"/>
      <c r="T237" s="338"/>
      <c r="U237" s="338"/>
      <c r="V237" s="338"/>
      <c r="W237" s="338"/>
      <c r="X237" s="338"/>
      <c r="Y237" s="338"/>
      <c r="Z237" s="338"/>
      <c r="AA237" s="338"/>
      <c r="AB237" s="338"/>
      <c r="AC237" s="338"/>
      <c r="AD237" s="338"/>
      <c r="AE237" s="338"/>
      <c r="AF237" s="338"/>
      <c r="AG237" s="338"/>
      <c r="AH237" s="338"/>
      <c r="AI237" s="338"/>
      <c r="AJ237" s="338"/>
      <c r="AK237" s="338"/>
      <c r="AL237" s="338"/>
      <c r="AM237" s="338"/>
      <c r="AN237" s="338"/>
      <c r="AO237" s="338"/>
      <c r="AP237" s="338"/>
      <c r="AQ237" s="338"/>
      <c r="AR237" s="338"/>
      <c r="AS237" s="338"/>
      <c r="AT237" s="338"/>
      <c r="AU237" s="338"/>
      <c r="AV237" s="338"/>
    </row>
    <row r="238" spans="2:48" x14ac:dyDescent="0.25">
      <c r="B238" s="338"/>
      <c r="C238" s="338"/>
      <c r="D238" s="338"/>
      <c r="E238" s="338"/>
      <c r="F238" s="338"/>
      <c r="G238" s="339"/>
      <c r="H238" s="342"/>
      <c r="I238" s="341"/>
      <c r="J238" s="339"/>
      <c r="K238" s="342"/>
      <c r="L238" s="341"/>
      <c r="M238" s="308"/>
      <c r="N238" s="292"/>
      <c r="O238" s="292"/>
      <c r="P238" s="292"/>
      <c r="Q238" s="338"/>
      <c r="R238" s="338"/>
      <c r="S238" s="338"/>
      <c r="T238" s="338"/>
      <c r="U238" s="338"/>
      <c r="V238" s="338"/>
      <c r="W238" s="338"/>
      <c r="X238" s="338"/>
      <c r="Y238" s="338"/>
      <c r="Z238" s="338"/>
      <c r="AA238" s="338"/>
      <c r="AB238" s="338"/>
      <c r="AC238" s="338"/>
      <c r="AD238" s="338"/>
      <c r="AE238" s="338"/>
      <c r="AF238" s="338"/>
      <c r="AG238" s="338"/>
      <c r="AH238" s="338"/>
      <c r="AI238" s="338"/>
      <c r="AJ238" s="338"/>
      <c r="AK238" s="338"/>
      <c r="AL238" s="338"/>
      <c r="AM238" s="338"/>
      <c r="AN238" s="338"/>
      <c r="AO238" s="338"/>
      <c r="AP238" s="338"/>
      <c r="AQ238" s="338"/>
      <c r="AR238" s="338"/>
      <c r="AS238" s="338"/>
      <c r="AT238" s="338"/>
      <c r="AU238" s="338"/>
      <c r="AV238" s="338"/>
    </row>
    <row r="239" spans="2:48" x14ac:dyDescent="0.25">
      <c r="B239" s="338"/>
      <c r="C239" s="338"/>
      <c r="D239" s="338"/>
      <c r="E239" s="338"/>
      <c r="F239" s="338"/>
      <c r="G239" s="339"/>
      <c r="H239" s="342"/>
      <c r="I239" s="341"/>
      <c r="J239" s="339"/>
      <c r="K239" s="342"/>
      <c r="L239" s="341"/>
      <c r="M239" s="308"/>
      <c r="N239" s="292"/>
      <c r="O239" s="292"/>
      <c r="P239" s="292"/>
      <c r="Q239" s="338"/>
      <c r="R239" s="338"/>
      <c r="S239" s="338"/>
      <c r="T239" s="338"/>
      <c r="U239" s="338"/>
      <c r="V239" s="338"/>
      <c r="W239" s="338"/>
      <c r="X239" s="338"/>
      <c r="Y239" s="338"/>
      <c r="Z239" s="338"/>
      <c r="AA239" s="338"/>
      <c r="AB239" s="338"/>
      <c r="AC239" s="338"/>
      <c r="AD239" s="338"/>
      <c r="AE239" s="338"/>
      <c r="AF239" s="338"/>
      <c r="AG239" s="338"/>
      <c r="AH239" s="338"/>
      <c r="AI239" s="338"/>
      <c r="AJ239" s="338"/>
      <c r="AK239" s="338"/>
      <c r="AL239" s="338"/>
      <c r="AM239" s="338"/>
      <c r="AN239" s="338"/>
      <c r="AO239" s="338"/>
      <c r="AP239" s="338"/>
      <c r="AQ239" s="338"/>
      <c r="AR239" s="338"/>
      <c r="AS239" s="338"/>
      <c r="AT239" s="338"/>
      <c r="AU239" s="338"/>
      <c r="AV239" s="338"/>
    </row>
    <row r="240" spans="2:48" x14ac:dyDescent="0.25">
      <c r="B240" s="338"/>
      <c r="C240" s="338"/>
      <c r="D240" s="338"/>
      <c r="E240" s="338"/>
      <c r="F240" s="338"/>
      <c r="G240" s="339"/>
      <c r="H240" s="342"/>
      <c r="I240" s="341"/>
      <c r="J240" s="339"/>
      <c r="K240" s="342"/>
      <c r="L240" s="341"/>
      <c r="M240" s="308"/>
      <c r="N240" s="292"/>
      <c r="O240" s="292"/>
      <c r="P240" s="292"/>
      <c r="Q240" s="338"/>
      <c r="R240" s="338"/>
      <c r="S240" s="338"/>
      <c r="T240" s="338"/>
      <c r="U240" s="338"/>
      <c r="V240" s="338"/>
      <c r="W240" s="338"/>
      <c r="X240" s="338"/>
      <c r="Y240" s="338"/>
      <c r="Z240" s="338"/>
      <c r="AA240" s="338"/>
      <c r="AB240" s="338"/>
      <c r="AC240" s="338"/>
      <c r="AD240" s="338"/>
      <c r="AE240" s="338"/>
      <c r="AF240" s="338"/>
      <c r="AG240" s="338"/>
      <c r="AH240" s="338"/>
      <c r="AI240" s="338"/>
      <c r="AJ240" s="338"/>
      <c r="AK240" s="338"/>
      <c r="AL240" s="338"/>
      <c r="AM240" s="338"/>
      <c r="AN240" s="338"/>
      <c r="AO240" s="338"/>
      <c r="AP240" s="338"/>
      <c r="AQ240" s="338"/>
      <c r="AR240" s="338"/>
      <c r="AS240" s="338"/>
      <c r="AT240" s="338"/>
      <c r="AU240" s="338"/>
      <c r="AV240" s="338"/>
    </row>
    <row r="241" spans="2:48" x14ac:dyDescent="0.25">
      <c r="B241" s="338"/>
      <c r="C241" s="338"/>
      <c r="D241" s="338"/>
      <c r="E241" s="338"/>
      <c r="F241" s="338"/>
      <c r="G241" s="339"/>
      <c r="H241" s="342"/>
      <c r="I241" s="341"/>
      <c r="J241" s="339"/>
      <c r="K241" s="342"/>
      <c r="L241" s="341"/>
      <c r="M241" s="308"/>
      <c r="N241" s="292"/>
      <c r="O241" s="292"/>
      <c r="P241" s="292"/>
      <c r="Q241" s="338"/>
      <c r="R241" s="338"/>
      <c r="S241" s="338"/>
      <c r="T241" s="338"/>
      <c r="U241" s="338"/>
      <c r="V241" s="338"/>
      <c r="W241" s="338"/>
      <c r="X241" s="338"/>
      <c r="Y241" s="338"/>
      <c r="Z241" s="338"/>
      <c r="AA241" s="338"/>
      <c r="AB241" s="338"/>
      <c r="AC241" s="338"/>
      <c r="AD241" s="338"/>
      <c r="AE241" s="338"/>
      <c r="AF241" s="338"/>
      <c r="AG241" s="338"/>
      <c r="AH241" s="338"/>
      <c r="AI241" s="338"/>
      <c r="AJ241" s="338"/>
      <c r="AK241" s="338"/>
      <c r="AL241" s="338"/>
      <c r="AM241" s="338"/>
      <c r="AN241" s="338"/>
      <c r="AO241" s="338"/>
      <c r="AP241" s="338"/>
      <c r="AQ241" s="338"/>
      <c r="AR241" s="338"/>
      <c r="AS241" s="338"/>
      <c r="AT241" s="338"/>
      <c r="AU241" s="338"/>
      <c r="AV241" s="338"/>
    </row>
    <row r="242" spans="2:48" x14ac:dyDescent="0.25">
      <c r="B242" s="338"/>
      <c r="C242" s="338"/>
      <c r="D242" s="338"/>
      <c r="E242" s="338"/>
      <c r="F242" s="338"/>
      <c r="G242" s="339"/>
      <c r="H242" s="342"/>
      <c r="I242" s="341"/>
      <c r="J242" s="339"/>
      <c r="K242" s="342"/>
      <c r="L242" s="341"/>
      <c r="M242" s="308"/>
      <c r="N242" s="292"/>
      <c r="O242" s="292"/>
      <c r="P242" s="292"/>
      <c r="Q242" s="338"/>
      <c r="R242" s="338"/>
      <c r="S242" s="338"/>
      <c r="T242" s="338"/>
      <c r="U242" s="338"/>
      <c r="V242" s="338"/>
      <c r="W242" s="338"/>
      <c r="X242" s="338"/>
      <c r="Y242" s="338"/>
      <c r="Z242" s="338"/>
      <c r="AA242" s="338"/>
      <c r="AB242" s="338"/>
      <c r="AC242" s="338"/>
      <c r="AD242" s="338"/>
      <c r="AE242" s="338"/>
      <c r="AF242" s="338"/>
      <c r="AG242" s="338"/>
      <c r="AH242" s="338"/>
      <c r="AI242" s="338"/>
      <c r="AJ242" s="338"/>
      <c r="AK242" s="338"/>
      <c r="AL242" s="338"/>
      <c r="AM242" s="338"/>
      <c r="AN242" s="338"/>
      <c r="AO242" s="338"/>
      <c r="AP242" s="338"/>
      <c r="AQ242" s="338"/>
      <c r="AR242" s="338"/>
      <c r="AS242" s="338"/>
      <c r="AT242" s="338"/>
      <c r="AU242" s="338"/>
      <c r="AV242" s="338"/>
    </row>
  </sheetData>
  <mergeCells count="4">
    <mergeCell ref="B5:F5"/>
    <mergeCell ref="G5:L5"/>
    <mergeCell ref="N5:R5"/>
    <mergeCell ref="S5:T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D4DE"/>
  </sheetPr>
  <dimension ref="A2:AO94"/>
  <sheetViews>
    <sheetView tabSelected="1" zoomScaleNormal="100" workbookViewId="0">
      <selection activeCell="F2" sqref="F2"/>
    </sheetView>
  </sheetViews>
  <sheetFormatPr defaultColWidth="9.1796875" defaultRowHeight="12.5" x14ac:dyDescent="0.25"/>
  <cols>
    <col min="1" max="1" width="9.1796875" style="300"/>
    <col min="2" max="2" width="35.54296875" style="300" customWidth="1"/>
    <col min="3" max="3" width="24.26953125" style="300" customWidth="1"/>
    <col min="4" max="4" width="16.7265625" style="300" bestFit="1" customWidth="1"/>
    <col min="5" max="5" width="12.453125" style="300" bestFit="1" customWidth="1"/>
    <col min="6" max="6" width="12.26953125" style="300" customWidth="1"/>
    <col min="7" max="7" width="9.1796875" style="300"/>
    <col min="8" max="8" width="39.26953125" style="300" customWidth="1"/>
    <col min="9" max="9" width="16.81640625" style="300" customWidth="1"/>
    <col min="10" max="10" width="9.1796875" style="300"/>
    <col min="11" max="11" width="10.7265625" style="300" customWidth="1"/>
    <col min="12" max="12" width="12.453125" style="300" customWidth="1"/>
    <col min="13" max="13" width="21.54296875" style="300" bestFit="1" customWidth="1"/>
    <col min="14" max="14" width="24.54296875" style="300" bestFit="1" customWidth="1"/>
    <col min="15" max="15" width="15.1796875" style="300" customWidth="1"/>
    <col min="16" max="16" width="21.54296875" style="300" customWidth="1"/>
    <col min="17" max="17" width="10.54296875" style="300" customWidth="1"/>
    <col min="18" max="18" width="32.26953125" style="300" hidden="1" customWidth="1"/>
    <col min="19" max="24" width="9.1796875" style="300" hidden="1" customWidth="1"/>
    <col min="25" max="25" width="1.26953125" style="300" customWidth="1"/>
    <col min="26" max="26" width="9.453125" style="300" customWidth="1"/>
    <col min="27" max="27" width="10" style="300" customWidth="1"/>
    <col min="28" max="28" width="7.7265625" style="300" customWidth="1"/>
    <col min="29" max="29" width="9.1796875" style="300"/>
    <col min="30" max="31" width="9.81640625" style="300" bestFit="1" customWidth="1"/>
    <col min="32" max="32" width="11.453125" style="300" bestFit="1" customWidth="1"/>
    <col min="33" max="33" width="9.81640625" style="300" bestFit="1" customWidth="1"/>
    <col min="34" max="36" width="9.1796875" style="300"/>
    <col min="37" max="37" width="9.81640625" style="300" bestFit="1" customWidth="1"/>
    <col min="38" max="38" width="9.1796875" style="300"/>
    <col min="39" max="39" width="9.81640625" style="300" bestFit="1" customWidth="1"/>
    <col min="40" max="16384" width="9.1796875" style="300"/>
  </cols>
  <sheetData>
    <row r="2" spans="1:24" ht="32.5" x14ac:dyDescent="0.65">
      <c r="A2" s="313" t="s">
        <v>211</v>
      </c>
      <c r="H2" s="511"/>
      <c r="I2" s="515"/>
    </row>
    <row r="3" spans="1:24" ht="13" x14ac:dyDescent="0.3">
      <c r="A3" s="396" t="s">
        <v>314</v>
      </c>
      <c r="I3" s="515"/>
    </row>
    <row r="4" spans="1:24" x14ac:dyDescent="0.25">
      <c r="A4" s="307"/>
    </row>
    <row r="5" spans="1:24" ht="13" x14ac:dyDescent="0.3">
      <c r="A5" s="304"/>
      <c r="B5" s="312" t="s">
        <v>136</v>
      </c>
      <c r="H5" s="312" t="s">
        <v>136</v>
      </c>
      <c r="I5" s="302"/>
      <c r="J5" s="224"/>
      <c r="K5" s="302"/>
      <c r="L5" s="224"/>
      <c r="M5" s="224"/>
    </row>
    <row r="6" spans="1:24" x14ac:dyDescent="0.25">
      <c r="A6" s="304"/>
      <c r="B6" s="315" t="s">
        <v>209</v>
      </c>
      <c r="C6" s="304"/>
      <c r="D6" s="304"/>
      <c r="E6" s="304"/>
      <c r="F6" s="304"/>
      <c r="H6" s="315" t="s">
        <v>368</v>
      </c>
      <c r="I6" s="304"/>
      <c r="J6" s="304"/>
      <c r="K6" s="308"/>
      <c r="L6" s="304"/>
      <c r="M6" s="308"/>
      <c r="N6" s="304"/>
      <c r="O6" s="308"/>
      <c r="P6" s="304"/>
      <c r="R6" s="315" t="s">
        <v>320</v>
      </c>
      <c r="S6" s="304"/>
      <c r="T6" s="304"/>
      <c r="U6" s="304"/>
      <c r="V6" s="304"/>
      <c r="W6" s="304"/>
      <c r="X6" s="304"/>
    </row>
    <row r="7" spans="1:24" x14ac:dyDescent="0.25">
      <c r="A7" s="304"/>
      <c r="B7" s="468" t="s">
        <v>17</v>
      </c>
      <c r="C7" s="469" t="s">
        <v>0</v>
      </c>
      <c r="D7" s="470" t="s">
        <v>1</v>
      </c>
      <c r="E7" s="470" t="s">
        <v>2</v>
      </c>
      <c r="F7" s="470" t="s">
        <v>3</v>
      </c>
      <c r="H7" s="484" t="s">
        <v>343</v>
      </c>
      <c r="I7" s="470" t="s">
        <v>0</v>
      </c>
      <c r="J7" s="470" t="s">
        <v>38</v>
      </c>
      <c r="K7" s="292"/>
      <c r="L7" s="470" t="s">
        <v>321</v>
      </c>
      <c r="M7" s="292"/>
      <c r="N7" s="470" t="s">
        <v>319</v>
      </c>
      <c r="O7" s="292"/>
      <c r="P7" s="470" t="s">
        <v>3</v>
      </c>
      <c r="R7" s="364"/>
      <c r="S7" s="365"/>
      <c r="T7" s="365"/>
      <c r="U7" s="365"/>
      <c r="V7" s="366"/>
      <c r="W7" s="365"/>
      <c r="X7" s="367"/>
    </row>
    <row r="8" spans="1:24" x14ac:dyDescent="0.25">
      <c r="A8" s="304"/>
      <c r="B8" s="471" t="s">
        <v>196</v>
      </c>
      <c r="C8" s="398">
        <f>'Beräkna - Länk'!C33</f>
        <v>0.98</v>
      </c>
      <c r="D8" s="399">
        <f>'Beräkna - Länk'!C34</f>
        <v>0.99</v>
      </c>
      <c r="E8" s="399">
        <f>'Beräkna - Länk'!C35</f>
        <v>1</v>
      </c>
      <c r="F8" s="399">
        <v>1.002</v>
      </c>
      <c r="H8" s="485" t="s">
        <v>345</v>
      </c>
      <c r="I8" s="409">
        <f>46415+6508</f>
        <v>52923</v>
      </c>
      <c r="J8" s="409">
        <f>13982+3682</f>
        <v>17664</v>
      </c>
      <c r="K8" s="292"/>
      <c r="L8" s="409">
        <f>12148+316</f>
        <v>12464</v>
      </c>
      <c r="M8" s="292"/>
      <c r="N8" s="409">
        <f>700+22</f>
        <v>722</v>
      </c>
      <c r="O8" s="292"/>
      <c r="P8" s="409">
        <v>0</v>
      </c>
      <c r="R8" s="362" t="s">
        <v>306</v>
      </c>
      <c r="S8" s="363" t="s">
        <v>0</v>
      </c>
      <c r="T8" s="363" t="s">
        <v>38</v>
      </c>
      <c r="U8" s="363" t="s">
        <v>39</v>
      </c>
      <c r="V8" s="363" t="s">
        <v>321</v>
      </c>
      <c r="W8" s="363" t="s">
        <v>319</v>
      </c>
      <c r="X8" s="363" t="s">
        <v>3</v>
      </c>
    </row>
    <row r="9" spans="1:24" x14ac:dyDescent="0.25">
      <c r="A9" s="304"/>
      <c r="B9" s="472" t="s">
        <v>197</v>
      </c>
      <c r="C9" s="403">
        <f>'Beräkna - Länk'!C27</f>
        <v>1</v>
      </c>
      <c r="D9" s="404">
        <f>C9</f>
        <v>1</v>
      </c>
      <c r="E9" s="404">
        <f t="shared" ref="E9" si="0">D9</f>
        <v>1</v>
      </c>
      <c r="F9" s="404">
        <f>E9</f>
        <v>1</v>
      </c>
      <c r="H9" s="485" t="s">
        <v>344</v>
      </c>
      <c r="I9" s="409">
        <v>65</v>
      </c>
      <c r="J9" s="409">
        <v>1298</v>
      </c>
      <c r="K9" s="292"/>
      <c r="L9" s="409">
        <v>80</v>
      </c>
      <c r="M9" s="292"/>
      <c r="N9" s="409">
        <v>23</v>
      </c>
      <c r="O9" s="292"/>
      <c r="P9" s="409">
        <v>16</v>
      </c>
      <c r="R9" s="368" t="s">
        <v>157</v>
      </c>
      <c r="S9" s="369">
        <v>40500</v>
      </c>
      <c r="T9" s="369">
        <v>12200</v>
      </c>
      <c r="U9" s="369">
        <v>11900</v>
      </c>
      <c r="V9" s="369">
        <v>10600</v>
      </c>
      <c r="W9" s="369">
        <v>4200</v>
      </c>
      <c r="X9" s="369">
        <v>0</v>
      </c>
    </row>
    <row r="10" spans="1:24" x14ac:dyDescent="0.25">
      <c r="A10" s="304"/>
      <c r="B10" s="473" t="s">
        <v>199</v>
      </c>
      <c r="C10" s="406"/>
      <c r="D10" s="406"/>
      <c r="E10" s="406"/>
      <c r="F10" s="407"/>
      <c r="H10" s="485" t="s">
        <v>158</v>
      </c>
      <c r="I10" s="409">
        <f>I8+I9</f>
        <v>52988</v>
      </c>
      <c r="J10" s="409">
        <f>J8+J9</f>
        <v>18962</v>
      </c>
      <c r="K10" s="292"/>
      <c r="L10" s="409">
        <f>L8+L9</f>
        <v>12544</v>
      </c>
      <c r="M10" s="292"/>
      <c r="N10" s="409">
        <f>N8+N9</f>
        <v>745</v>
      </c>
      <c r="O10" s="292"/>
      <c r="P10" s="409">
        <f>P8+P9</f>
        <v>16</v>
      </c>
      <c r="R10" s="368" t="s">
        <v>195</v>
      </c>
      <c r="S10" s="369">
        <v>6100</v>
      </c>
      <c r="T10" s="369">
        <v>4440</v>
      </c>
      <c r="U10" s="369">
        <v>950</v>
      </c>
      <c r="V10" s="369">
        <v>360</v>
      </c>
      <c r="W10" s="369">
        <v>40</v>
      </c>
      <c r="X10" s="369">
        <v>15</v>
      </c>
    </row>
    <row r="11" spans="1:24" x14ac:dyDescent="0.25">
      <c r="A11" s="304"/>
      <c r="B11" s="474" t="s">
        <v>198</v>
      </c>
      <c r="C11" s="405">
        <v>3.5000000000000003E-2</v>
      </c>
      <c r="D11" s="370"/>
      <c r="E11" s="370"/>
      <c r="F11" s="371"/>
      <c r="H11" s="476" t="str">
        <f>"Olycksvärdering (kkr) "&amp;'Beräkna - Länk'!C31&amp;""</f>
        <v>Olycksvärdering (kkr) 2028</v>
      </c>
      <c r="I11" s="397" t="s">
        <v>0</v>
      </c>
      <c r="J11" s="397" t="s">
        <v>38</v>
      </c>
      <c r="K11" s="292"/>
      <c r="L11" s="397" t="s">
        <v>321</v>
      </c>
      <c r="M11" s="292"/>
      <c r="N11" s="397" t="s">
        <v>323</v>
      </c>
      <c r="O11" s="292"/>
      <c r="P11" s="397" t="s">
        <v>3</v>
      </c>
      <c r="R11" s="368" t="s">
        <v>158</v>
      </c>
      <c r="S11" s="369">
        <f>S9+S10</f>
        <v>46600</v>
      </c>
      <c r="T11" s="369">
        <f t="shared" ref="T11:X11" si="1">T9+T10</f>
        <v>16640</v>
      </c>
      <c r="U11" s="369">
        <f t="shared" si="1"/>
        <v>12850</v>
      </c>
      <c r="V11" s="369">
        <f t="shared" si="1"/>
        <v>10960</v>
      </c>
      <c r="W11" s="369">
        <f>W9+W10</f>
        <v>4240</v>
      </c>
      <c r="X11" s="369">
        <f t="shared" si="1"/>
        <v>15</v>
      </c>
    </row>
    <row r="12" spans="1:24" x14ac:dyDescent="0.25">
      <c r="A12" s="304"/>
      <c r="B12" s="471" t="s">
        <v>230</v>
      </c>
      <c r="C12" s="399">
        <v>1.0115000000000001</v>
      </c>
      <c r="D12" s="372"/>
      <c r="E12" s="373"/>
      <c r="F12" s="374"/>
      <c r="H12" s="485" t="s">
        <v>345</v>
      </c>
      <c r="I12" s="555">
        <f>I8*$C$12^(2028-2019)</f>
        <v>58659.375981995858</v>
      </c>
      <c r="J12" s="409">
        <f>J8*$C$12^('Beräkna - Länk'!C25-2019)</f>
        <v>17664</v>
      </c>
      <c r="K12" s="292"/>
      <c r="L12" s="409">
        <f>L8*$C$12^('Beräkna - Länk'!C25-2019)</f>
        <v>12464</v>
      </c>
      <c r="M12" s="292"/>
      <c r="N12" s="409">
        <f>N8*$C$12^(2028-2019)</f>
        <v>800.25828957166095</v>
      </c>
      <c r="O12" s="292"/>
      <c r="P12" s="409">
        <f>P8*$C$12^('Beräkna - Länk'!C25-2019)</f>
        <v>0</v>
      </c>
      <c r="R12" s="375"/>
      <c r="S12" s="376"/>
      <c r="T12" s="376"/>
      <c r="U12" s="376"/>
      <c r="V12" s="376"/>
      <c r="W12" s="376"/>
      <c r="X12" s="376"/>
    </row>
    <row r="13" spans="1:24" x14ac:dyDescent="0.25">
      <c r="A13" s="304"/>
      <c r="B13" s="475" t="s">
        <v>345</v>
      </c>
      <c r="C13" s="397" t="s">
        <v>0</v>
      </c>
      <c r="D13" s="397" t="s">
        <v>1</v>
      </c>
      <c r="E13" s="397" t="s">
        <v>2</v>
      </c>
      <c r="F13" s="397" t="s">
        <v>3</v>
      </c>
      <c r="H13" s="485" t="s">
        <v>344</v>
      </c>
      <c r="I13" s="409">
        <f>I9</f>
        <v>65</v>
      </c>
      <c r="J13" s="409">
        <f>J9</f>
        <v>1298</v>
      </c>
      <c r="K13" s="292"/>
      <c r="L13" s="409">
        <f>L9</f>
        <v>80</v>
      </c>
      <c r="M13" s="292"/>
      <c r="N13" s="409">
        <f>N9</f>
        <v>23</v>
      </c>
      <c r="O13" s="292"/>
      <c r="P13" s="409">
        <f>P9</f>
        <v>16</v>
      </c>
      <c r="R13" s="377" t="s">
        <v>339</v>
      </c>
      <c r="S13" s="378"/>
      <c r="T13" s="378"/>
      <c r="U13" s="378"/>
      <c r="V13" s="378"/>
      <c r="W13" s="378"/>
      <c r="X13" s="378"/>
    </row>
    <row r="14" spans="1:24" x14ac:dyDescent="0.25">
      <c r="A14" s="304"/>
      <c r="B14" s="572" t="s">
        <v>354</v>
      </c>
      <c r="C14" s="401">
        <f>C8*C9*$C12/(1+$C$11)</f>
        <v>0.95774879227053156</v>
      </c>
      <c r="D14" s="401">
        <f>D8*D9*$C12/(1+$C$11)</f>
        <v>0.96752173913043482</v>
      </c>
      <c r="E14" s="401">
        <f>E8*E9*$C12/(1+$C$11)</f>
        <v>0.97729468599033831</v>
      </c>
      <c r="F14" s="401">
        <f>F8*F9*$C12/(1+$C$11)</f>
        <v>0.97924927536231909</v>
      </c>
      <c r="H14" s="485" t="s">
        <v>158</v>
      </c>
      <c r="I14" s="409">
        <f>I12+I13</f>
        <v>58724.375981995858</v>
      </c>
      <c r="J14" s="409">
        <f>J12+J13</f>
        <v>18962</v>
      </c>
      <c r="K14" s="292"/>
      <c r="L14" s="409">
        <f>L12+L13</f>
        <v>12544</v>
      </c>
      <c r="M14" s="292"/>
      <c r="N14" s="409">
        <f>N12+N13</f>
        <v>823.25828957166095</v>
      </c>
      <c r="O14" s="292"/>
      <c r="P14" s="409">
        <f>P12+P13</f>
        <v>16</v>
      </c>
      <c r="R14" s="379" t="s">
        <v>327</v>
      </c>
      <c r="S14" s="378"/>
      <c r="T14" s="378"/>
      <c r="U14" s="378"/>
      <c r="V14" s="378"/>
      <c r="W14" s="378"/>
      <c r="X14" s="378"/>
    </row>
    <row r="15" spans="1:24" x14ac:dyDescent="0.25">
      <c r="A15" s="304"/>
      <c r="B15" s="572" t="str">
        <f>"Nettoräntefaktor för 2065-"&amp;'Beräkna - Länk'!$C$28&amp;""</f>
        <v>Nettoräntefaktor för 2065-2088</v>
      </c>
      <c r="C15" s="401">
        <f>1/(1+$C$11)</f>
        <v>0.96618357487922713</v>
      </c>
      <c r="D15" s="401">
        <f>1/(1+$C$11)</f>
        <v>0.96618357487922713</v>
      </c>
      <c r="E15" s="401">
        <f>1/(1+$C$11)</f>
        <v>0.96618357487922713</v>
      </c>
      <c r="F15" s="401">
        <f>1/(1+$C$11)</f>
        <v>0.96618357487922713</v>
      </c>
      <c r="H15" s="476" t="str">
        <f>"Olycksvärdering (kkr) "&amp;'Beräkna - Länk'!C30&amp;""</f>
        <v>Olycksvärdering (kkr) 2065</v>
      </c>
      <c r="I15" s="397" t="s">
        <v>0</v>
      </c>
      <c r="J15" s="397" t="s">
        <v>38</v>
      </c>
      <c r="L15" s="397" t="s">
        <v>321</v>
      </c>
      <c r="M15" s="556"/>
      <c r="N15" s="397" t="s">
        <v>323</v>
      </c>
      <c r="O15" s="556"/>
      <c r="P15" s="397" t="s">
        <v>3</v>
      </c>
      <c r="R15" s="379"/>
      <c r="S15" s="378"/>
      <c r="T15" s="378"/>
      <c r="U15" s="378"/>
      <c r="V15" s="378"/>
      <c r="W15" s="378"/>
      <c r="X15" s="378"/>
    </row>
    <row r="16" spans="1:24" x14ac:dyDescent="0.25">
      <c r="A16" s="304"/>
      <c r="B16" s="471" t="s">
        <v>356</v>
      </c>
      <c r="C16" s="401">
        <f>C14*(1-C14^(2065-2028))/(1-C14)</f>
        <v>18.078919078971889</v>
      </c>
      <c r="D16" s="401">
        <f t="shared" ref="D16:F16" si="2">D14*(1-D14^(2065-2028))/(1-D14)</f>
        <v>21.009410893130418</v>
      </c>
      <c r="E16" s="401">
        <f t="shared" si="2"/>
        <v>24.641490478903417</v>
      </c>
      <c r="F16" s="401">
        <f t="shared" si="2"/>
        <v>25.468549983367453</v>
      </c>
      <c r="H16" s="485" t="s">
        <v>345</v>
      </c>
      <c r="I16" s="555">
        <f>I8*$C$12^(2065-2019)</f>
        <v>89551.994234094513</v>
      </c>
      <c r="J16" s="555">
        <f>J8*$C$12^(2065-2019)</f>
        <v>29889.583473178875</v>
      </c>
      <c r="K16" s="304"/>
      <c r="L16" s="555">
        <f>L8*$C$12^(2065-2019)</f>
        <v>21090.566599281108</v>
      </c>
      <c r="M16" s="304"/>
      <c r="N16" s="555">
        <f>N8*$C$12^(2065-2019)</f>
        <v>1221.7096505681129</v>
      </c>
      <c r="O16" s="537"/>
      <c r="P16" s="555">
        <f>P12*C$12^(2065-2019)</f>
        <v>0</v>
      </c>
      <c r="R16" s="377"/>
      <c r="S16" s="378"/>
      <c r="T16" s="378"/>
      <c r="U16" s="378"/>
      <c r="V16" s="378"/>
      <c r="W16" s="378"/>
      <c r="X16" s="378"/>
    </row>
    <row r="17" spans="1:27" x14ac:dyDescent="0.25">
      <c r="A17" s="304"/>
      <c r="B17" s="471" t="str">
        <f>"Nuvärdefaktor för 2065-"&amp;'Beräkna - Länk'!$C$28&amp;""</f>
        <v>Nuvärdefaktor för 2065-2088</v>
      </c>
      <c r="C17" s="401">
        <f>C15*(1-C15^('Beräkna - Länk'!$C$28-2065))/(1-C15)</f>
        <v>15.620410469121648</v>
      </c>
      <c r="D17" s="401">
        <f>D15*(1-D15^('Beräkna - Länk'!$C$28-2065))/(1-D15)</f>
        <v>15.620410469121648</v>
      </c>
      <c r="E17" s="401">
        <f>E15*(1-E15^('Beräkna - Länk'!$C$28-2065))/(1-E15)</f>
        <v>15.620410469121648</v>
      </c>
      <c r="F17" s="401">
        <f>F15*(1-F15^('Beräkna - Länk'!$C$28-2065))/(1-F15)</f>
        <v>15.620410469121648</v>
      </c>
      <c r="H17" s="485" t="s">
        <v>344</v>
      </c>
      <c r="I17" s="555">
        <f>I13</f>
        <v>65</v>
      </c>
      <c r="J17" s="555">
        <f>J13</f>
        <v>1298</v>
      </c>
      <c r="K17" s="304"/>
      <c r="L17" s="555">
        <f>L9</f>
        <v>80</v>
      </c>
      <c r="M17" s="304"/>
      <c r="N17" s="555">
        <f>N13</f>
        <v>23</v>
      </c>
      <c r="O17" s="537"/>
      <c r="P17" s="555">
        <f>P13</f>
        <v>16</v>
      </c>
      <c r="R17" s="377"/>
      <c r="S17" s="378"/>
      <c r="T17" s="378"/>
      <c r="U17" s="378"/>
      <c r="V17" s="378"/>
      <c r="W17" s="378"/>
      <c r="X17" s="378"/>
    </row>
    <row r="18" spans="1:27" x14ac:dyDescent="0.25">
      <c r="A18" s="304"/>
      <c r="B18" s="476" t="s">
        <v>344</v>
      </c>
      <c r="C18" s="397" t="s">
        <v>0</v>
      </c>
      <c r="D18" s="397" t="s">
        <v>1</v>
      </c>
      <c r="E18" s="397" t="s">
        <v>2</v>
      </c>
      <c r="F18" s="397" t="s">
        <v>3</v>
      </c>
      <c r="H18" s="485" t="s">
        <v>158</v>
      </c>
      <c r="I18" s="555">
        <f>I16+I17</f>
        <v>89616.994234094513</v>
      </c>
      <c r="J18" s="555">
        <f>J16+J17</f>
        <v>31187.583473178875</v>
      </c>
      <c r="K18" s="304"/>
      <c r="L18" s="555">
        <f>L16+L17</f>
        <v>21170.566599281108</v>
      </c>
      <c r="M18" s="304"/>
      <c r="N18" s="555">
        <f>N16+N17</f>
        <v>1244.7096505681129</v>
      </c>
      <c r="O18" s="537"/>
      <c r="P18" s="555">
        <f>P16+P17</f>
        <v>16</v>
      </c>
      <c r="S18" s="376"/>
      <c r="T18" s="376"/>
      <c r="U18" s="376"/>
      <c r="V18" s="376"/>
      <c r="W18" s="376"/>
      <c r="X18" s="376"/>
    </row>
    <row r="19" spans="1:27" x14ac:dyDescent="0.25">
      <c r="A19" s="304"/>
      <c r="B19" s="572" t="s">
        <v>354</v>
      </c>
      <c r="C19" s="401">
        <f>C8*C9/(1+$C$11)</f>
        <v>0.94685990338164261</v>
      </c>
      <c r="D19" s="401">
        <f>D8*D9/(1+$C$11)</f>
        <v>0.95652173913043481</v>
      </c>
      <c r="E19" s="401">
        <f>E8*E9/(1+$C$11)</f>
        <v>0.96618357487922713</v>
      </c>
      <c r="F19" s="401">
        <f>F8*F9/(1+$C$11)</f>
        <v>0.96811594202898554</v>
      </c>
      <c r="H19" s="476" t="str">
        <f>"Olyckskostnad (kkr) "&amp;'Beräkna - Länk'!C31&amp;"-"&amp;2065</f>
        <v>Olyckskostnad (kkr) 2028-2065</v>
      </c>
      <c r="I19" s="397" t="s">
        <v>0</v>
      </c>
      <c r="J19" s="397" t="s">
        <v>102</v>
      </c>
      <c r="K19" s="397" t="s">
        <v>104</v>
      </c>
      <c r="L19" s="397" t="s">
        <v>103</v>
      </c>
      <c r="M19" s="397" t="s">
        <v>105</v>
      </c>
      <c r="N19" s="397" t="s">
        <v>324</v>
      </c>
      <c r="O19" s="408" t="s">
        <v>325</v>
      </c>
      <c r="P19" s="397" t="s">
        <v>3</v>
      </c>
      <c r="R19" s="315" t="s">
        <v>337</v>
      </c>
      <c r="S19" s="304"/>
      <c r="T19" s="304"/>
      <c r="U19" s="304"/>
      <c r="V19" s="304"/>
      <c r="W19" s="304"/>
      <c r="X19" s="304"/>
    </row>
    <row r="20" spans="1:27" x14ac:dyDescent="0.25">
      <c r="A20" s="304"/>
      <c r="B20" s="471" t="str">
        <f>"Nettoräntefaktor för 2065-"&amp;'Beräkna - Länk'!$C$28&amp;""</f>
        <v>Nettoräntefaktor för 2065-2088</v>
      </c>
      <c r="C20" s="401">
        <f>1/(1+$C$11)</f>
        <v>0.96618357487922713</v>
      </c>
      <c r="D20" s="401">
        <f t="shared" ref="D20:F20" si="3">1/(1+$C$11)</f>
        <v>0.96618357487922713</v>
      </c>
      <c r="E20" s="401">
        <f t="shared" si="3"/>
        <v>0.96618357487922713</v>
      </c>
      <c r="F20" s="401">
        <f t="shared" si="3"/>
        <v>0.96618357487922713</v>
      </c>
      <c r="H20" s="485" t="s">
        <v>345</v>
      </c>
      <c r="I20" s="409">
        <f>C16*I12</f>
        <v>1060498.1116014903</v>
      </c>
      <c r="J20" s="409">
        <f>D16*J12</f>
        <v>371110.23401625571</v>
      </c>
      <c r="K20" s="409">
        <f>E16*J12</f>
        <v>435267.28781934996</v>
      </c>
      <c r="L20" s="409">
        <f>D16*L12</f>
        <v>261861.29737197753</v>
      </c>
      <c r="M20" s="409">
        <f>E16*L12</f>
        <v>307131.53732905217</v>
      </c>
      <c r="N20" s="409">
        <f>D16*N12</f>
        <v>16812.955226244769</v>
      </c>
      <c r="O20" s="410">
        <f>E16*N12</f>
        <v>19719.557023143618</v>
      </c>
      <c r="P20" s="409">
        <f>F16*P12</f>
        <v>0</v>
      </c>
      <c r="R20" s="364"/>
      <c r="S20" s="365"/>
      <c r="T20" s="365"/>
      <c r="U20" s="365"/>
      <c r="V20" s="366"/>
      <c r="W20" s="365"/>
      <c r="X20" s="367"/>
    </row>
    <row r="21" spans="1:27" x14ac:dyDescent="0.25">
      <c r="A21" s="304"/>
      <c r="B21" s="471" t="s">
        <v>355</v>
      </c>
      <c r="C21" s="401">
        <f>C19*(1-C$19^(2065-2028))/(1-C$19)</f>
        <v>15.455336757521858</v>
      </c>
      <c r="D21" s="401">
        <f>D19*(1-D$19^(2065-2028))/(1-D$19)</f>
        <v>17.752514171023115</v>
      </c>
      <c r="E21" s="401">
        <f>E19*(1-E$19^(2065-2028))/(1-E$19)</f>
        <v>20.570525422279825</v>
      </c>
      <c r="F21" s="401">
        <f>F19*(1-F$19^(2065-2028))/(1-F$19)</f>
        <v>21.208463771679828</v>
      </c>
      <c r="H21" s="485" t="s">
        <v>344</v>
      </c>
      <c r="I21" s="409">
        <f>C21*I13</f>
        <v>1004.5968892389208</v>
      </c>
      <c r="J21" s="409">
        <f>D21*J13</f>
        <v>23042.763393988003</v>
      </c>
      <c r="K21" s="409">
        <f>E21*J13</f>
        <v>26700.541998119214</v>
      </c>
      <c r="L21" s="409">
        <f>D21*L13</f>
        <v>1420.2011336818491</v>
      </c>
      <c r="M21" s="409">
        <f>E21*L13</f>
        <v>1645.6420337823861</v>
      </c>
      <c r="N21" s="409">
        <f>D21*N13</f>
        <v>408.30782593353166</v>
      </c>
      <c r="O21" s="410">
        <f>E21*N13</f>
        <v>473.12208471243599</v>
      </c>
      <c r="P21" s="409">
        <f>F21*P13</f>
        <v>339.33542034687724</v>
      </c>
      <c r="R21" s="364"/>
      <c r="S21" s="365"/>
      <c r="T21" s="365"/>
      <c r="U21" s="365"/>
      <c r="V21" s="366"/>
      <c r="W21" s="365"/>
      <c r="X21" s="367"/>
    </row>
    <row r="22" spans="1:27" x14ac:dyDescent="0.25">
      <c r="A22" s="304"/>
      <c r="B22" s="471" t="str">
        <f>"Nuvärdefaktor för 2065-"&amp;'Beräkna - Länk'!$C$28</f>
        <v>Nuvärdefaktor för 2065-2088</v>
      </c>
      <c r="C22" s="401">
        <f>C20*(1-C$20^('Beräkna - Länk'!C28-2065))/(1-C$20)</f>
        <v>15.620410469121648</v>
      </c>
      <c r="D22" s="401">
        <f>D20*(1-D$20^('Beräkna - Länk'!C28-2065))/(1-D$20)</f>
        <v>15.620410469121648</v>
      </c>
      <c r="E22" s="401">
        <f>E20*(1-E$20^('Beräkna - Länk'!C28-2065))/(1-E$20)</f>
        <v>15.620410469121648</v>
      </c>
      <c r="F22" s="401">
        <f>F20*(1-F$20^('Beräkna - Länk'!C28-2065))/(1-F$20)</f>
        <v>15.620410469121648</v>
      </c>
      <c r="H22" s="485" t="s">
        <v>158</v>
      </c>
      <c r="I22" s="409">
        <f>I20+I21</f>
        <v>1061502.7084907291</v>
      </c>
      <c r="J22" s="409">
        <f>J20+J21</f>
        <v>394152.99741024373</v>
      </c>
      <c r="K22" s="409">
        <f>K20+K21</f>
        <v>461967.82981746917</v>
      </c>
      <c r="L22" s="409">
        <f>L20+L21</f>
        <v>263281.4985056594</v>
      </c>
      <c r="M22" s="409">
        <f>M20+M21</f>
        <v>308777.17936283455</v>
      </c>
      <c r="N22" s="409">
        <f t="shared" ref="N22" si="4">N20+N21</f>
        <v>17221.263052178299</v>
      </c>
      <c r="O22" s="410">
        <f>O20+O21</f>
        <v>20192.679107856053</v>
      </c>
      <c r="P22" s="409">
        <f>P20+P21</f>
        <v>339.33542034687724</v>
      </c>
      <c r="R22" s="364"/>
      <c r="S22" s="365"/>
      <c r="T22" s="365"/>
      <c r="U22" s="365"/>
      <c r="V22" s="366"/>
      <c r="W22" s="365"/>
      <c r="X22" s="367"/>
    </row>
    <row r="23" spans="1:27" x14ac:dyDescent="0.25">
      <c r="A23" s="304"/>
      <c r="B23" s="573"/>
      <c r="C23" s="512"/>
      <c r="D23" s="513"/>
      <c r="H23" s="476" t="str">
        <f>"Olyckskostnad (kkr) 2065-"&amp;'Beräkna - Länk'!$C$28&amp;""</f>
        <v>Olyckskostnad (kkr) 2065-2088</v>
      </c>
      <c r="I23" s="397" t="s">
        <v>0</v>
      </c>
      <c r="J23" s="397" t="s">
        <v>102</v>
      </c>
      <c r="K23" s="397" t="s">
        <v>104</v>
      </c>
      <c r="L23" s="397" t="s">
        <v>103</v>
      </c>
      <c r="M23" s="397" t="s">
        <v>105</v>
      </c>
      <c r="N23" s="397" t="s">
        <v>324</v>
      </c>
      <c r="O23" s="408" t="s">
        <v>325</v>
      </c>
      <c r="P23" s="397" t="s">
        <v>3</v>
      </c>
      <c r="R23" s="362" t="s">
        <v>338</v>
      </c>
      <c r="S23" s="363" t="s">
        <v>0</v>
      </c>
      <c r="T23" s="363" t="s">
        <v>38</v>
      </c>
      <c r="U23" s="363" t="s">
        <v>39</v>
      </c>
      <c r="V23" s="363" t="s">
        <v>321</v>
      </c>
      <c r="W23" s="363" t="s">
        <v>319</v>
      </c>
      <c r="X23" s="363" t="s">
        <v>3</v>
      </c>
      <c r="AA23" s="380"/>
    </row>
    <row r="24" spans="1:27" ht="13" x14ac:dyDescent="0.3">
      <c r="A24" s="304"/>
      <c r="B24" s="312" t="s">
        <v>138</v>
      </c>
      <c r="H24" s="485" t="s">
        <v>345</v>
      </c>
      <c r="I24" s="555">
        <f>I16*C17*(1/(1+$C$11)^(2065-2028))</f>
        <v>391719.11192011758</v>
      </c>
      <c r="J24" s="555">
        <f>J16*D17*(1/(1+$C$11)^(2065-2028))</f>
        <v>130743.2759472622</v>
      </c>
      <c r="K24" s="555">
        <f>J16*E17*(1/(1+$C$11)^(2065-2028))</f>
        <v>130743.2759472622</v>
      </c>
      <c r="L24" s="555">
        <f>L16*F17*(1/(1+$C$11)^(2065-2028))</f>
        <v>92254.53982148302</v>
      </c>
      <c r="M24" s="555">
        <f>L16*E17*(1/(1+$C$11)^(2065-2028))</f>
        <v>92254.53982148302</v>
      </c>
      <c r="N24" s="555">
        <f>N16*D17*(1/(1+$C$11)^(2065-2028))</f>
        <v>5344.0129774639563</v>
      </c>
      <c r="O24" s="555">
        <f>N16*E17*(1/(1+$C$11)^(2065-2028))</f>
        <v>5344.0129774639563</v>
      </c>
      <c r="P24" s="555">
        <f>P16*F17*(1/(1+$C$11)^(2065-2028))</f>
        <v>0</v>
      </c>
      <c r="R24" s="368" t="s">
        <v>157</v>
      </c>
      <c r="S24" s="369">
        <v>44023.5</v>
      </c>
      <c r="T24" s="369">
        <v>13261.4</v>
      </c>
      <c r="U24" s="369">
        <v>12935.3</v>
      </c>
      <c r="V24" s="369">
        <v>11522.199999999999</v>
      </c>
      <c r="W24" s="369">
        <v>4565.3999999999996</v>
      </c>
      <c r="X24" s="369">
        <v>0</v>
      </c>
    </row>
    <row r="25" spans="1:27" x14ac:dyDescent="0.25">
      <c r="A25" s="304"/>
      <c r="B25" s="315" t="s">
        <v>209</v>
      </c>
      <c r="C25" s="304"/>
      <c r="D25" s="304"/>
      <c r="E25" s="304"/>
      <c r="F25" s="304"/>
      <c r="H25" s="485" t="s">
        <v>344</v>
      </c>
      <c r="I25" s="555">
        <f>I17*C22*(1/(1+$C$11)^(2065-2028))</f>
        <v>284.32356523796733</v>
      </c>
      <c r="J25" s="555">
        <f>J17*D22*(1/(1+$C$11)^(2065-2028))</f>
        <v>5677.7228873674085</v>
      </c>
      <c r="K25" s="555">
        <f>J17*E22*(1/(1+$C$11)^(2065-2028))</f>
        <v>5677.7228873674085</v>
      </c>
      <c r="L25" s="555">
        <f t="shared" ref="L25" si="5">L17*F22*(1/(1+$C$11)^(2065-2028))</f>
        <v>349.93669567749828</v>
      </c>
      <c r="M25" s="555">
        <f>L17*E22*(1/(1+$C$11)^(2065-2028))</f>
        <v>349.93669567749828</v>
      </c>
      <c r="N25" s="555">
        <f>N17*D22*(1/(1+$C$11)^(2065-2028))</f>
        <v>100.60680000728074</v>
      </c>
      <c r="O25" s="555">
        <f>N17*E22*(1/(1+$C$11)^(2065-2028))</f>
        <v>100.60680000728074</v>
      </c>
      <c r="P25" s="555">
        <f>P17*F22*(1/(1+$C$11)^(2065-2028))</f>
        <v>69.987339135499653</v>
      </c>
      <c r="R25" s="368" t="s">
        <v>195</v>
      </c>
      <c r="S25" s="369">
        <v>6225.0369999999994</v>
      </c>
      <c r="T25" s="369">
        <v>4534.4651999999996</v>
      </c>
      <c r="U25" s="369">
        <v>968.52059999999994</v>
      </c>
      <c r="V25" s="369">
        <v>364.49699999999996</v>
      </c>
      <c r="W25" s="369">
        <v>39.002200000000002</v>
      </c>
      <c r="X25" s="369">
        <v>15</v>
      </c>
    </row>
    <row r="26" spans="1:27" x14ac:dyDescent="0.25">
      <c r="A26" s="304"/>
      <c r="B26" s="468" t="s">
        <v>17</v>
      </c>
      <c r="C26" s="469" t="s">
        <v>0</v>
      </c>
      <c r="D26" s="470" t="s">
        <v>1</v>
      </c>
      <c r="E26" s="470" t="s">
        <v>2</v>
      </c>
      <c r="F26" s="470" t="s">
        <v>3</v>
      </c>
      <c r="H26" s="485" t="s">
        <v>158</v>
      </c>
      <c r="I26" s="555">
        <f>I24+I25</f>
        <v>392003.43548535556</v>
      </c>
      <c r="J26" s="555">
        <f>J24+J25</f>
        <v>136420.9988346296</v>
      </c>
      <c r="K26" s="555">
        <f t="shared" ref="K26:O26" si="6">K24+K25</f>
        <v>136420.9988346296</v>
      </c>
      <c r="L26" s="555">
        <f t="shared" si="6"/>
        <v>92604.476517160525</v>
      </c>
      <c r="M26" s="555">
        <f t="shared" si="6"/>
        <v>92604.476517160525</v>
      </c>
      <c r="N26" s="555">
        <f t="shared" si="6"/>
        <v>5444.6197774712373</v>
      </c>
      <c r="O26" s="555">
        <f t="shared" si="6"/>
        <v>5444.6197774712373</v>
      </c>
      <c r="P26" s="555">
        <f>P24+P25</f>
        <v>69.987339135499653</v>
      </c>
      <c r="R26" s="368" t="s">
        <v>158</v>
      </c>
      <c r="S26" s="369">
        <f>S24+S25</f>
        <v>50248.536999999997</v>
      </c>
      <c r="T26" s="369">
        <f>T24+T25</f>
        <v>17795.8652</v>
      </c>
      <c r="U26" s="369">
        <f t="shared" ref="U26:V26" si="7">U24+U25</f>
        <v>13903.820599999999</v>
      </c>
      <c r="V26" s="369">
        <f t="shared" si="7"/>
        <v>11886.696999999998</v>
      </c>
      <c r="W26" s="369">
        <f>W24+W25</f>
        <v>4604.4021999999995</v>
      </c>
      <c r="X26" s="369">
        <f t="shared" ref="X26" si="8">X24+X25</f>
        <v>15</v>
      </c>
    </row>
    <row r="27" spans="1:27" x14ac:dyDescent="0.25">
      <c r="A27" s="304"/>
      <c r="B27" s="471" t="s">
        <v>196</v>
      </c>
      <c r="C27" s="398">
        <f>'Beräkna - Nod'!C35</f>
        <v>0.98</v>
      </c>
      <c r="D27" s="399">
        <f>'Beräkna - Nod'!C36</f>
        <v>0.99</v>
      </c>
      <c r="E27" s="399">
        <f>'Beräkna - Nod'!C37</f>
        <v>1</v>
      </c>
      <c r="F27" s="399">
        <f>1.002</f>
        <v>1.002</v>
      </c>
      <c r="R27" s="375"/>
      <c r="S27" s="376"/>
      <c r="T27" s="376"/>
      <c r="U27" s="376"/>
      <c r="V27" s="376"/>
      <c r="W27" s="376"/>
      <c r="X27" s="376"/>
    </row>
    <row r="28" spans="1:27" ht="13" x14ac:dyDescent="0.3">
      <c r="A28" s="304"/>
      <c r="B28" s="471" t="s">
        <v>197</v>
      </c>
      <c r="C28" s="400">
        <f>'Beräkna - Nod'!C29</f>
        <v>1</v>
      </c>
      <c r="D28" s="401">
        <f>C28</f>
        <v>1</v>
      </c>
      <c r="E28" s="401">
        <f>C28</f>
        <v>1</v>
      </c>
      <c r="F28" s="401">
        <f>C28</f>
        <v>1</v>
      </c>
      <c r="H28" s="312" t="s">
        <v>138</v>
      </c>
      <c r="I28" s="514"/>
      <c r="K28" s="302"/>
      <c r="L28" s="224"/>
      <c r="M28" s="224"/>
      <c r="N28" s="511"/>
      <c r="O28" s="304"/>
      <c r="Q28" s="292"/>
      <c r="R28" s="377" t="s">
        <v>339</v>
      </c>
      <c r="S28" s="378"/>
      <c r="T28" s="378"/>
      <c r="U28" s="378"/>
      <c r="V28" s="378"/>
      <c r="W28" s="378"/>
      <c r="X28" s="378"/>
    </row>
    <row r="29" spans="1:27" x14ac:dyDescent="0.25">
      <c r="A29" s="304"/>
      <c r="B29" s="476" t="s">
        <v>199</v>
      </c>
      <c r="C29" s="406"/>
      <c r="D29" s="406"/>
      <c r="E29" s="406"/>
      <c r="F29" s="407"/>
      <c r="H29" s="315" t="s">
        <v>368</v>
      </c>
      <c r="I29" s="304"/>
      <c r="K29" s="308"/>
      <c r="L29" s="224"/>
      <c r="M29" s="308"/>
      <c r="N29" s="304"/>
      <c r="O29" s="308"/>
      <c r="P29" s="304"/>
      <c r="Q29" s="381"/>
      <c r="R29" s="382" t="s">
        <v>340</v>
      </c>
      <c r="S29" s="378"/>
      <c r="T29" s="378"/>
      <c r="U29" s="378"/>
      <c r="V29" s="378"/>
      <c r="W29" s="378"/>
      <c r="X29" s="378"/>
    </row>
    <row r="30" spans="1:27" x14ac:dyDescent="0.25">
      <c r="A30" s="304"/>
      <c r="B30" s="474" t="s">
        <v>198</v>
      </c>
      <c r="C30" s="402">
        <v>3.5000000000000003E-2</v>
      </c>
      <c r="D30" s="370"/>
      <c r="E30" s="370"/>
      <c r="F30" s="371"/>
      <c r="H30" s="484" t="s">
        <v>343</v>
      </c>
      <c r="I30" s="470" t="s">
        <v>0</v>
      </c>
      <c r="J30" s="470" t="s">
        <v>38</v>
      </c>
      <c r="K30" s="292"/>
      <c r="L30" s="470" t="s">
        <v>321</v>
      </c>
      <c r="M30" s="292"/>
      <c r="N30" s="470" t="s">
        <v>319</v>
      </c>
      <c r="O30" s="292"/>
      <c r="P30" s="470" t="s">
        <v>3</v>
      </c>
      <c r="Q30" s="376"/>
    </row>
    <row r="31" spans="1:27" x14ac:dyDescent="0.25">
      <c r="A31" s="304"/>
      <c r="B31" s="471" t="s">
        <v>230</v>
      </c>
      <c r="C31" s="399">
        <v>1.0115000000000001</v>
      </c>
      <c r="D31" s="372"/>
      <c r="E31" s="373"/>
      <c r="F31" s="374"/>
      <c r="H31" s="485" t="s">
        <v>345</v>
      </c>
      <c r="I31" s="409">
        <f>I8</f>
        <v>52923</v>
      </c>
      <c r="J31" s="409">
        <f>J8</f>
        <v>17664</v>
      </c>
      <c r="K31" s="292"/>
      <c r="L31" s="409">
        <f>L8</f>
        <v>12464</v>
      </c>
      <c r="M31" s="292"/>
      <c r="N31" s="409">
        <f>N8</f>
        <v>722</v>
      </c>
      <c r="O31" s="292"/>
      <c r="P31" s="409">
        <f>P8</f>
        <v>0</v>
      </c>
      <c r="Q31" s="378"/>
    </row>
    <row r="32" spans="1:27" x14ac:dyDescent="0.25">
      <c r="A32" s="304"/>
      <c r="B32" s="475" t="s">
        <v>345</v>
      </c>
      <c r="C32" s="397" t="s">
        <v>0</v>
      </c>
      <c r="D32" s="397" t="s">
        <v>1</v>
      </c>
      <c r="E32" s="397" t="s">
        <v>2</v>
      </c>
      <c r="F32" s="397" t="s">
        <v>3</v>
      </c>
      <c r="H32" s="485" t="s">
        <v>344</v>
      </c>
      <c r="I32" s="409">
        <f>I9</f>
        <v>65</v>
      </c>
      <c r="J32" s="409">
        <f>J9</f>
        <v>1298</v>
      </c>
      <c r="K32" s="292"/>
      <c r="L32" s="409">
        <f>L9</f>
        <v>80</v>
      </c>
      <c r="M32" s="292"/>
      <c r="N32" s="409">
        <f>N9</f>
        <v>23</v>
      </c>
      <c r="O32" s="292"/>
      <c r="P32" s="409">
        <f>P9</f>
        <v>16</v>
      </c>
      <c r="Q32" s="378"/>
    </row>
    <row r="33" spans="1:31" x14ac:dyDescent="0.25">
      <c r="A33" s="304"/>
      <c r="B33" s="572" t="s">
        <v>354</v>
      </c>
      <c r="C33" s="401">
        <f>C27*C28*$C31/(1+$C$30)</f>
        <v>0.95774879227053156</v>
      </c>
      <c r="D33" s="401">
        <f>D27*D28*$C31/(1+$C$30)</f>
        <v>0.96752173913043482</v>
      </c>
      <c r="E33" s="401">
        <f>E27*E28*$C31/(1+$C$30)</f>
        <v>0.97729468599033831</v>
      </c>
      <c r="F33" s="401">
        <f>F27*F28*$C31/(1+$C$30)</f>
        <v>0.97924927536231909</v>
      </c>
      <c r="H33" s="485" t="s">
        <v>158</v>
      </c>
      <c r="I33" s="409">
        <f>I31+I32</f>
        <v>52988</v>
      </c>
      <c r="J33" s="409">
        <f>J31+J32</f>
        <v>18962</v>
      </c>
      <c r="K33" s="292"/>
      <c r="L33" s="409">
        <f>L31+L32</f>
        <v>12544</v>
      </c>
      <c r="M33" s="292"/>
      <c r="N33" s="409">
        <f>N31+N32</f>
        <v>745</v>
      </c>
      <c r="O33" s="292"/>
      <c r="P33" s="409">
        <f>P31+P32</f>
        <v>16</v>
      </c>
      <c r="Q33" s="378"/>
    </row>
    <row r="34" spans="1:31" x14ac:dyDescent="0.25">
      <c r="A34" s="304"/>
      <c r="B34" s="572" t="str">
        <f>"Nettoräntefaktor för 2065-"&amp;'Beräkna - Nod'!$C$30&amp;""</f>
        <v>Nettoräntefaktor för 2065-2088</v>
      </c>
      <c r="C34" s="401">
        <f>1/(1+$C$11)</f>
        <v>0.96618357487922713</v>
      </c>
      <c r="D34" s="401">
        <f>1/(1+$C$11)</f>
        <v>0.96618357487922713</v>
      </c>
      <c r="E34" s="401">
        <f>1/(1+$C$11)</f>
        <v>0.96618357487922713</v>
      </c>
      <c r="F34" s="401">
        <f>1/(1+$C$11)</f>
        <v>0.96618357487922713</v>
      </c>
      <c r="H34" s="476" t="str">
        <f>"Olycksvärdering (kkr) "&amp;'Beräkna - Nod'!C33</f>
        <v>Olycksvärdering (kkr) 2028</v>
      </c>
      <c r="I34" s="397" t="s">
        <v>0</v>
      </c>
      <c r="J34" s="397" t="s">
        <v>38</v>
      </c>
      <c r="K34" s="292"/>
      <c r="L34" s="397" t="s">
        <v>321</v>
      </c>
      <c r="M34" s="292"/>
      <c r="N34" s="397" t="s">
        <v>323</v>
      </c>
      <c r="O34" s="292"/>
      <c r="P34" s="397" t="s">
        <v>3</v>
      </c>
      <c r="Q34" s="378"/>
    </row>
    <row r="35" spans="1:31" x14ac:dyDescent="0.25">
      <c r="A35" s="304"/>
      <c r="B35" s="471" t="s">
        <v>356</v>
      </c>
      <c r="C35" s="401">
        <f>C33*(1-C33^(2065-2028))/(1-C33)</f>
        <v>18.078919078971889</v>
      </c>
      <c r="D35" s="401">
        <f>D33*(1-D33^(2065-2028))/(1-D33)</f>
        <v>21.009410893130418</v>
      </c>
      <c r="E35" s="401">
        <f>E33*(1-E33^(2065-2028))/(1-E33)</f>
        <v>24.641490478903417</v>
      </c>
      <c r="F35" s="401">
        <f>F33*(1-F33^(2065-2028))/(1-F33)</f>
        <v>25.468549983367453</v>
      </c>
      <c r="H35" s="485" t="s">
        <v>345</v>
      </c>
      <c r="I35" s="555">
        <f>I31*$C$12^(2028-2019)</f>
        <v>58659.375981995858</v>
      </c>
      <c r="J35" s="555">
        <f>J31*$C$12^(2028-2019)</f>
        <v>19578.618319936035</v>
      </c>
      <c r="K35" s="308"/>
      <c r="L35" s="555">
        <f>L31*$C$12^(2028-2019)</f>
        <v>13814.985209447619</v>
      </c>
      <c r="M35" s="292"/>
      <c r="N35" s="409">
        <f>N31*$C$12^(2028-2019)</f>
        <v>800.25828957166095</v>
      </c>
      <c r="O35" s="292"/>
      <c r="P35" s="409">
        <f>P31*$C$12^(2028-2019)</f>
        <v>0</v>
      </c>
      <c r="Q35" s="378"/>
    </row>
    <row r="36" spans="1:31" x14ac:dyDescent="0.25">
      <c r="A36" s="304"/>
      <c r="B36" s="471" t="str">
        <f>"Nuvärdefaktor för 2028-"&amp;'Beräkna - Nod'!$C$30&amp;""</f>
        <v>Nuvärdefaktor för 2028-2088</v>
      </c>
      <c r="C36" s="401">
        <f>C34*(1-C34^('Beräkna - Nod'!$C$30-2065))/(1-C34)</f>
        <v>15.620410469121648</v>
      </c>
      <c r="D36" s="401">
        <f>D34*(1-D34^('Beräkna - Nod'!$C$30-2065))/(1-D34)</f>
        <v>15.620410469121648</v>
      </c>
      <c r="E36" s="401">
        <f>E34*(1-E34^('Beräkna - Nod'!$C$30-2065))/(1-E34)</f>
        <v>15.620410469121648</v>
      </c>
      <c r="F36" s="401">
        <f>F34*(1-F34^('Beräkna - Nod'!$C$30-2065))/(1-F34)</f>
        <v>15.620410469121648</v>
      </c>
      <c r="H36" s="485" t="s">
        <v>344</v>
      </c>
      <c r="I36" s="409">
        <f>I32</f>
        <v>65</v>
      </c>
      <c r="J36" s="409">
        <f>J32</f>
        <v>1298</v>
      </c>
      <c r="K36" s="292"/>
      <c r="L36" s="409">
        <f>L32</f>
        <v>80</v>
      </c>
      <c r="M36" s="292"/>
      <c r="N36" s="409">
        <f>N32</f>
        <v>23</v>
      </c>
      <c r="O36" s="292"/>
      <c r="P36" s="409">
        <f>P32</f>
        <v>16</v>
      </c>
      <c r="Q36" s="378"/>
    </row>
    <row r="37" spans="1:31" x14ac:dyDescent="0.25">
      <c r="A37" s="304"/>
      <c r="B37" s="476" t="s">
        <v>344</v>
      </c>
      <c r="C37" s="397" t="s">
        <v>0</v>
      </c>
      <c r="D37" s="397" t="s">
        <v>1</v>
      </c>
      <c r="E37" s="397" t="s">
        <v>2</v>
      </c>
      <c r="F37" s="397" t="s">
        <v>3</v>
      </c>
      <c r="H37" s="485" t="s">
        <v>158</v>
      </c>
      <c r="I37" s="409">
        <f>I35+I36</f>
        <v>58724.375981995858</v>
      </c>
      <c r="J37" s="409">
        <f>J35+J36</f>
        <v>20876.618319936035</v>
      </c>
      <c r="K37" s="292"/>
      <c r="L37" s="409">
        <f>L35+L36</f>
        <v>13894.985209447619</v>
      </c>
      <c r="M37" s="292"/>
      <c r="N37" s="409">
        <f>N35+N36</f>
        <v>823.25828957166095</v>
      </c>
      <c r="O37" s="292"/>
      <c r="P37" s="409">
        <f>P35+P36</f>
        <v>16</v>
      </c>
      <c r="Q37" s="378"/>
    </row>
    <row r="38" spans="1:31" x14ac:dyDescent="0.25">
      <c r="A38" s="304"/>
      <c r="B38" s="572" t="s">
        <v>354</v>
      </c>
      <c r="C38" s="401">
        <f>C27*C28/(1+$C$30)</f>
        <v>0.94685990338164261</v>
      </c>
      <c r="D38" s="401">
        <f>D27*D28/(1+$C$30)</f>
        <v>0.95652173913043481</v>
      </c>
      <c r="E38" s="401">
        <f>E27*E28/(1+$C$30)</f>
        <v>0.96618357487922713</v>
      </c>
      <c r="F38" s="401">
        <f>F27*F28/(1+$C$30)</f>
        <v>0.96811594202898554</v>
      </c>
      <c r="H38" s="476" t="str">
        <f>"Olycksvärdering (kkr) "&amp;'Beräkna - Nod'!C32</f>
        <v>Olycksvärdering (kkr) 2065</v>
      </c>
      <c r="I38" s="397" t="s">
        <v>0</v>
      </c>
      <c r="J38" s="397" t="s">
        <v>38</v>
      </c>
      <c r="L38" s="397" t="s">
        <v>321</v>
      </c>
      <c r="M38" s="556"/>
      <c r="N38" s="397" t="s">
        <v>323</v>
      </c>
      <c r="P38" s="397" t="s">
        <v>3</v>
      </c>
      <c r="Q38" s="292"/>
      <c r="R38" s="377"/>
      <c r="S38" s="378"/>
      <c r="T38" s="378"/>
      <c r="U38" s="378"/>
      <c r="V38" s="378"/>
      <c r="W38" s="378"/>
      <c r="X38" s="378"/>
    </row>
    <row r="39" spans="1:31" x14ac:dyDescent="0.25">
      <c r="A39" s="304"/>
      <c r="B39" s="471" t="str">
        <f>"Nettoräntefaktor för 2065-"&amp;'Beräkna - Nod'!$C$30&amp;""</f>
        <v>Nettoräntefaktor för 2065-2088</v>
      </c>
      <c r="C39" s="574">
        <f>1/(1+$C$11)</f>
        <v>0.96618357487922713</v>
      </c>
      <c r="D39" s="574">
        <f t="shared" ref="D39:F39" si="9">1/(1+$C$11)</f>
        <v>0.96618357487922713</v>
      </c>
      <c r="E39" s="574">
        <f t="shared" si="9"/>
        <v>0.96618357487922713</v>
      </c>
      <c r="F39" s="574">
        <f t="shared" si="9"/>
        <v>0.96618357487922713</v>
      </c>
      <c r="H39" s="485" t="s">
        <v>345</v>
      </c>
      <c r="I39" s="555">
        <f>I31*$C$12^(2065-2019)</f>
        <v>89551.994234094513</v>
      </c>
      <c r="J39" s="555">
        <f>J31*$C$12^(2065-2019)</f>
        <v>29889.583473178875</v>
      </c>
      <c r="K39" s="304"/>
      <c r="L39" s="555">
        <f>L31*$C$12^(2065-2019)</f>
        <v>21090.566599281108</v>
      </c>
      <c r="M39" s="304"/>
      <c r="N39" s="555">
        <f>N31*$C$12^(2065-2019)</f>
        <v>1221.7096505681129</v>
      </c>
      <c r="O39" s="304"/>
      <c r="P39" s="555">
        <f>P35*C$12^(2065-2019)</f>
        <v>0</v>
      </c>
      <c r="Q39" s="292"/>
      <c r="R39" s="383"/>
      <c r="S39" s="384"/>
      <c r="T39" s="384"/>
      <c r="U39" s="384"/>
      <c r="V39" s="384"/>
      <c r="W39" s="384"/>
      <c r="X39" s="384"/>
    </row>
    <row r="40" spans="1:31" x14ac:dyDescent="0.25">
      <c r="A40" s="304"/>
      <c r="B40" s="471" t="s">
        <v>355</v>
      </c>
      <c r="C40" s="401">
        <f>C38*(1-C$38^(2065-2028))/(1-C$38)</f>
        <v>15.455336757521858</v>
      </c>
      <c r="D40" s="401">
        <f>D38*(1-D$38^(2065-2028))/(1-D$38)</f>
        <v>17.752514171023115</v>
      </c>
      <c r="E40" s="401">
        <f>E38*(1-E$38^(2065-2028))/(1-E$38)</f>
        <v>20.570525422279825</v>
      </c>
      <c r="F40" s="401">
        <f>F38*(1-F$38^(2065-2028))/(1-F$38)</f>
        <v>21.208463771679828</v>
      </c>
      <c r="H40" s="485" t="s">
        <v>344</v>
      </c>
      <c r="I40" s="555">
        <f>I36</f>
        <v>65</v>
      </c>
      <c r="J40" s="555">
        <f>J36</f>
        <v>1298</v>
      </c>
      <c r="K40" s="304"/>
      <c r="L40" s="555">
        <f>L32</f>
        <v>80</v>
      </c>
      <c r="M40" s="304"/>
      <c r="N40" s="555">
        <f>N36</f>
        <v>23</v>
      </c>
      <c r="O40" s="304"/>
      <c r="P40" s="555">
        <f>P36</f>
        <v>16</v>
      </c>
      <c r="Q40" s="292"/>
      <c r="R40" s="385"/>
      <c r="S40" s="376"/>
      <c r="T40" s="376"/>
      <c r="U40" s="376"/>
      <c r="V40" s="376"/>
      <c r="W40" s="376"/>
      <c r="X40" s="376"/>
    </row>
    <row r="41" spans="1:31" x14ac:dyDescent="0.25">
      <c r="A41" s="304"/>
      <c r="B41" s="471" t="str">
        <f>"Nuvärdefaktor för 2065-"&amp;'Beräkna - Nod'!$C$30</f>
        <v>Nuvärdefaktor för 2065-2088</v>
      </c>
      <c r="C41" s="401">
        <f>C39*(1-C$39^('Beräkna - Nod'!C30-2065))/(1-C$39)</f>
        <v>15.620410469121648</v>
      </c>
      <c r="D41" s="401">
        <f>D39*(1-D$39^('Beräkna - Nod'!C30-2065))/(1-D$39)</f>
        <v>15.620410469121648</v>
      </c>
      <c r="E41" s="401">
        <f>E39*(1-E$39^('Beräkna - Nod'!C30-2065))/(1-E$39)</f>
        <v>15.620410469121648</v>
      </c>
      <c r="F41" s="401">
        <f>F39*(1-F$39^('Beräkna - Nod'!C30-2065))/(1-F$39)</f>
        <v>15.620410469121648</v>
      </c>
      <c r="H41" s="485" t="s">
        <v>158</v>
      </c>
      <c r="I41" s="555">
        <f>I39+I40</f>
        <v>89616.994234094513</v>
      </c>
      <c r="J41" s="555">
        <f>J39+J40</f>
        <v>31187.583473178875</v>
      </c>
      <c r="K41" s="304"/>
      <c r="L41" s="555">
        <f>L39+L40</f>
        <v>21170.566599281108</v>
      </c>
      <c r="M41" s="304"/>
      <c r="N41" s="555">
        <f>N39+N40</f>
        <v>1244.7096505681129</v>
      </c>
      <c r="O41" s="304"/>
      <c r="P41" s="555">
        <f>P39+P40</f>
        <v>16</v>
      </c>
      <c r="R41" s="386"/>
      <c r="S41" s="387"/>
      <c r="T41" s="387"/>
      <c r="U41" s="387"/>
      <c r="V41" s="387"/>
      <c r="W41" s="387"/>
      <c r="X41" s="387"/>
    </row>
    <row r="42" spans="1:31" x14ac:dyDescent="0.25">
      <c r="A42" s="304"/>
      <c r="B42" s="388"/>
      <c r="C42" s="387"/>
      <c r="D42" s="387"/>
      <c r="E42" s="387"/>
      <c r="F42" s="387"/>
      <c r="G42" s="292"/>
      <c r="H42" s="476" t="str">
        <f>"Olyckskostnad (kkr) "&amp;'Beräkna - Nod'!C33&amp;"-"&amp;'Beräkna - Nod'!C32</f>
        <v>Olyckskostnad (kkr) 2028-2065</v>
      </c>
      <c r="I42" s="397" t="s">
        <v>0</v>
      </c>
      <c r="J42" s="397" t="s">
        <v>102</v>
      </c>
      <c r="K42" s="397" t="s">
        <v>104</v>
      </c>
      <c r="L42" s="397" t="s">
        <v>103</v>
      </c>
      <c r="M42" s="397" t="s">
        <v>105</v>
      </c>
      <c r="N42" s="397" t="s">
        <v>324</v>
      </c>
      <c r="O42" s="408" t="s">
        <v>325</v>
      </c>
      <c r="P42" s="397" t="s">
        <v>3</v>
      </c>
      <c r="R42" s="370"/>
      <c r="S42" s="387"/>
      <c r="T42" s="387"/>
      <c r="U42" s="387"/>
      <c r="V42" s="387"/>
      <c r="W42" s="387"/>
      <c r="X42" s="387"/>
    </row>
    <row r="43" spans="1:31" ht="13" x14ac:dyDescent="0.3">
      <c r="A43" s="304"/>
      <c r="B43" s="312" t="s">
        <v>326</v>
      </c>
      <c r="H43" s="485" t="s">
        <v>345</v>
      </c>
      <c r="I43" s="409">
        <f>C35*I35</f>
        <v>1060498.1116014903</v>
      </c>
      <c r="J43" s="409">
        <f>D35*J35</f>
        <v>411335.23700330692</v>
      </c>
      <c r="K43" s="409">
        <f>E35*J35</f>
        <v>482446.33692078781</v>
      </c>
      <c r="L43" s="409">
        <f>D35*L35</f>
        <v>290244.70074780443</v>
      </c>
      <c r="M43" s="409">
        <f>E35*L35</f>
        <v>340421.82650479506</v>
      </c>
      <c r="N43" s="409">
        <f>D35*N35</f>
        <v>16812.955226244769</v>
      </c>
      <c r="O43" s="409">
        <f>E35*N35</f>
        <v>19719.557023143618</v>
      </c>
      <c r="P43" s="409">
        <f>F35*P35</f>
        <v>0</v>
      </c>
      <c r="R43" s="370"/>
      <c r="S43" s="387"/>
      <c r="T43" s="387"/>
      <c r="U43" s="387"/>
      <c r="V43" s="387"/>
      <c r="W43" s="387"/>
      <c r="X43" s="387"/>
      <c r="AE43" s="304"/>
    </row>
    <row r="44" spans="1:31" ht="14" x14ac:dyDescent="0.25">
      <c r="A44" s="304"/>
      <c r="B44" s="315" t="s">
        <v>210</v>
      </c>
      <c r="C44" s="389"/>
      <c r="D44" s="390"/>
      <c r="E44" s="315"/>
      <c r="F44" s="389"/>
      <c r="H44" s="485" t="s">
        <v>344</v>
      </c>
      <c r="I44" s="409">
        <f>C40*I36</f>
        <v>1004.5968892389208</v>
      </c>
      <c r="J44" s="409">
        <f>D40*J36</f>
        <v>23042.763393988003</v>
      </c>
      <c r="K44" s="409">
        <f>E40*J36</f>
        <v>26700.541998119214</v>
      </c>
      <c r="L44" s="409">
        <f>D40*L36</f>
        <v>1420.2011336818491</v>
      </c>
      <c r="M44" s="409">
        <f>E40*L36</f>
        <v>1645.6420337823861</v>
      </c>
      <c r="N44" s="409">
        <f>D40*N36</f>
        <v>408.30782593353166</v>
      </c>
      <c r="O44" s="409">
        <f>E40*N36</f>
        <v>473.12208471243599</v>
      </c>
      <c r="P44" s="409">
        <f>F40*P36</f>
        <v>339.33542034687724</v>
      </c>
      <c r="Q44" s="292"/>
      <c r="S44" s="292"/>
      <c r="T44" s="292"/>
      <c r="U44" s="292"/>
      <c r="V44" s="292"/>
      <c r="W44" s="292"/>
      <c r="X44" s="292"/>
      <c r="Y44" s="292"/>
      <c r="AE44" s="521"/>
    </row>
    <row r="45" spans="1:31" x14ac:dyDescent="0.25">
      <c r="A45" s="304"/>
      <c r="B45" s="468"/>
      <c r="C45" s="477" t="s">
        <v>0</v>
      </c>
      <c r="D45" s="477" t="s">
        <v>1</v>
      </c>
      <c r="E45" s="477" t="s">
        <v>2</v>
      </c>
      <c r="F45" s="477" t="s">
        <v>3</v>
      </c>
      <c r="G45" s="304"/>
      <c r="H45" s="485" t="s">
        <v>158</v>
      </c>
      <c r="I45" s="409">
        <f>I43+I44</f>
        <v>1061502.7084907291</v>
      </c>
      <c r="J45" s="409">
        <f>J43+J44</f>
        <v>434378.00039729493</v>
      </c>
      <c r="K45" s="409">
        <f>K43+K44</f>
        <v>509146.87891890702</v>
      </c>
      <c r="L45" s="409">
        <f>L43+L44</f>
        <v>291664.90188148629</v>
      </c>
      <c r="M45" s="409">
        <f>M43+M44</f>
        <v>342067.46853857744</v>
      </c>
      <c r="N45" s="409">
        <f t="shared" ref="N45" si="10">N43+N44</f>
        <v>17221.263052178299</v>
      </c>
      <c r="O45" s="410">
        <f>O43+O44</f>
        <v>20192.679107856053</v>
      </c>
      <c r="P45" s="409">
        <f>P43+P44</f>
        <v>339.33542034687724</v>
      </c>
      <c r="Q45" s="304"/>
      <c r="S45" s="292"/>
      <c r="T45" s="292"/>
      <c r="U45" s="292"/>
      <c r="V45" s="292"/>
      <c r="W45" s="292"/>
      <c r="X45" s="292"/>
      <c r="Y45" s="292"/>
      <c r="AE45" s="304"/>
    </row>
    <row r="46" spans="1:31" x14ac:dyDescent="0.25">
      <c r="A46" s="304"/>
      <c r="B46" s="471" t="s">
        <v>28</v>
      </c>
      <c r="C46" s="411">
        <v>1</v>
      </c>
      <c r="D46" s="411">
        <v>1.7</v>
      </c>
      <c r="E46" s="411">
        <v>1.7</v>
      </c>
      <c r="F46" s="411">
        <v>7</v>
      </c>
      <c r="G46" s="304"/>
      <c r="H46" s="476" t="str">
        <f>"Olyckskostnad (kkr) 2065-"&amp;'Beräkna - Nod'!C30&amp;""</f>
        <v>Olyckskostnad (kkr) 2065-2088</v>
      </c>
      <c r="I46" s="397" t="s">
        <v>0</v>
      </c>
      <c r="J46" s="397" t="s">
        <v>102</v>
      </c>
      <c r="K46" s="397" t="s">
        <v>104</v>
      </c>
      <c r="L46" s="397" t="s">
        <v>103</v>
      </c>
      <c r="M46" s="397" t="s">
        <v>105</v>
      </c>
      <c r="N46" s="397" t="s">
        <v>324</v>
      </c>
      <c r="O46" s="408" t="s">
        <v>325</v>
      </c>
      <c r="P46" s="397" t="s">
        <v>3</v>
      </c>
      <c r="Q46" s="304"/>
    </row>
    <row r="47" spans="1:31" x14ac:dyDescent="0.25">
      <c r="A47" s="304"/>
      <c r="B47" s="471" t="s">
        <v>24</v>
      </c>
      <c r="C47" s="411">
        <v>1</v>
      </c>
      <c r="D47" s="411">
        <v>1.5</v>
      </c>
      <c r="E47" s="411">
        <v>1.5</v>
      </c>
      <c r="F47" s="411">
        <v>7</v>
      </c>
      <c r="G47" s="304"/>
      <c r="H47" s="485" t="s">
        <v>345</v>
      </c>
      <c r="I47" s="555">
        <f>I39*C36*(1/(1+$C$11)^(2065-2028))</f>
        <v>391719.11192011758</v>
      </c>
      <c r="J47" s="555">
        <f>J39*D36*(1/(1+$C$11)^(2065-2028))</f>
        <v>130743.2759472622</v>
      </c>
      <c r="K47" s="555">
        <f>J39*E36*(1/(1+$C$11)^(2065-2028))</f>
        <v>130743.2759472622</v>
      </c>
      <c r="L47" s="555">
        <f>L39*F36*(1/(1+$C$11)^(2065-2028))</f>
        <v>92254.53982148302</v>
      </c>
      <c r="M47" s="555">
        <f>L39*E36*(1/(1+$C$11)^(2065-2028))</f>
        <v>92254.53982148302</v>
      </c>
      <c r="N47" s="555">
        <f>N39*D36*(1/(1+$C$11)^(2065-2028))</f>
        <v>5344.0129774639563</v>
      </c>
      <c r="O47" s="555">
        <f>N39*E36*(1/(1+$C$11)^(2065-2028))</f>
        <v>5344.0129774639563</v>
      </c>
      <c r="P47" s="555">
        <f>P39*F36*(1/(1+$C$11)^(2065-2028))</f>
        <v>0</v>
      </c>
      <c r="Q47" s="304"/>
    </row>
    <row r="48" spans="1:31" x14ac:dyDescent="0.25">
      <c r="A48" s="304"/>
      <c r="G48" s="304"/>
      <c r="H48" s="485" t="s">
        <v>344</v>
      </c>
      <c r="I48" s="555">
        <f>I40*C41*(1/(1+$C$11)^(2065-2028))</f>
        <v>284.32356523796733</v>
      </c>
      <c r="J48" s="555">
        <f>J40*D41*(1/(1+$C$11)^(2065-2028))</f>
        <v>5677.7228873674085</v>
      </c>
      <c r="K48" s="555">
        <f>J40*E41*(1/(1+$C$11)^(2065-2028))</f>
        <v>5677.7228873674085</v>
      </c>
      <c r="L48" s="555">
        <f>L40*F41*(1/(1+$C$11)^(2065-2028))</f>
        <v>349.93669567749828</v>
      </c>
      <c r="M48" s="555">
        <f>L40*E41*(1/(1+$C$11)^(2065-2028))</f>
        <v>349.93669567749828</v>
      </c>
      <c r="N48" s="555">
        <f>N40*D41*(1/(1+$C$11)^(2065-2028))</f>
        <v>100.60680000728074</v>
      </c>
      <c r="O48" s="555">
        <f>N40*E41*(1/(1+$C$11)^(2065-2028))</f>
        <v>100.60680000728074</v>
      </c>
      <c r="P48" s="555">
        <f>P40*F41*(1/(1+$C$11)^(2065-2028))</f>
        <v>69.987339135499653</v>
      </c>
    </row>
    <row r="49" spans="1:41" ht="13" x14ac:dyDescent="0.3">
      <c r="A49" s="304"/>
      <c r="B49" s="312" t="s">
        <v>284</v>
      </c>
      <c r="G49" s="304"/>
      <c r="H49" s="485" t="s">
        <v>158</v>
      </c>
      <c r="I49" s="555">
        <f>I47+I48</f>
        <v>392003.43548535556</v>
      </c>
      <c r="J49" s="555">
        <f>J47+J48</f>
        <v>136420.9988346296</v>
      </c>
      <c r="K49" s="555">
        <f t="shared" ref="K49" si="11">K47+K48</f>
        <v>136420.9988346296</v>
      </c>
      <c r="L49" s="555">
        <f t="shared" ref="L49" si="12">L47+L48</f>
        <v>92604.476517160525</v>
      </c>
      <c r="M49" s="555">
        <f t="shared" ref="M49" si="13">M47+M48</f>
        <v>92604.476517160525</v>
      </c>
      <c r="N49" s="555">
        <f t="shared" ref="N49" si="14">N47+N48</f>
        <v>5444.6197774712373</v>
      </c>
      <c r="O49" s="555">
        <f t="shared" ref="O49" si="15">O47+O48</f>
        <v>5444.6197774712373</v>
      </c>
      <c r="P49" s="555">
        <f>P47+P48</f>
        <v>69.987339135499653</v>
      </c>
      <c r="AH49" s="304"/>
    </row>
    <row r="50" spans="1:41" ht="14" x14ac:dyDescent="0.25">
      <c r="A50" s="304"/>
      <c r="B50" s="315" t="s">
        <v>210</v>
      </c>
      <c r="C50" s="389"/>
      <c r="D50" s="390"/>
      <c r="G50" s="304"/>
      <c r="M50" s="518"/>
      <c r="AH50" s="304"/>
    </row>
    <row r="51" spans="1:41" x14ac:dyDescent="0.25">
      <c r="A51" s="304"/>
      <c r="B51" s="478" t="s">
        <v>214</v>
      </c>
      <c r="C51" s="443" t="s">
        <v>218</v>
      </c>
      <c r="D51" s="443" t="s">
        <v>217</v>
      </c>
      <c r="G51" s="304"/>
      <c r="AF51" s="304"/>
      <c r="AH51" s="304"/>
    </row>
    <row r="52" spans="1:41" x14ac:dyDescent="0.25">
      <c r="A52" s="304"/>
      <c r="B52" s="471" t="s">
        <v>219</v>
      </c>
      <c r="C52" s="412">
        <v>2</v>
      </c>
      <c r="D52" s="412">
        <v>1</v>
      </c>
      <c r="G52" s="304"/>
      <c r="AF52" s="516"/>
      <c r="AH52" s="304"/>
    </row>
    <row r="53" spans="1:41" x14ac:dyDescent="0.25">
      <c r="A53" s="304"/>
      <c r="B53" s="471" t="s">
        <v>215</v>
      </c>
      <c r="C53" s="412">
        <v>2.2000000000000002</v>
      </c>
      <c r="D53" s="412">
        <v>1.1000000000000001</v>
      </c>
      <c r="G53" s="304"/>
      <c r="AH53" s="304"/>
      <c r="AL53" s="511"/>
    </row>
    <row r="54" spans="1:41" x14ac:dyDescent="0.25">
      <c r="A54" s="304"/>
      <c r="B54" s="471" t="s">
        <v>216</v>
      </c>
      <c r="C54" s="412">
        <v>5.5</v>
      </c>
      <c r="D54" s="412">
        <v>2.75</v>
      </c>
      <c r="G54" s="304"/>
      <c r="AH54" s="304"/>
      <c r="AL54" s="520"/>
    </row>
    <row r="55" spans="1:41" x14ac:dyDescent="0.25">
      <c r="A55" s="304"/>
      <c r="AH55" s="304"/>
    </row>
    <row r="56" spans="1:41" ht="13" x14ac:dyDescent="0.3">
      <c r="A56" s="304"/>
      <c r="B56" s="312" t="s">
        <v>160</v>
      </c>
      <c r="AH56" s="304"/>
      <c r="AO56" s="304"/>
    </row>
    <row r="57" spans="1:41" ht="13" x14ac:dyDescent="0.3">
      <c r="A57" s="304"/>
      <c r="B57" s="315" t="s">
        <v>210</v>
      </c>
      <c r="C57" s="370"/>
      <c r="D57" s="370"/>
      <c r="E57" s="370"/>
      <c r="F57" s="370"/>
      <c r="H57" s="304"/>
      <c r="P57" s="304"/>
      <c r="Q57" s="304"/>
      <c r="T57" s="312"/>
      <c r="AH57" s="304"/>
    </row>
    <row r="58" spans="1:41" ht="14" x14ac:dyDescent="0.25">
      <c r="A58" s="304"/>
      <c r="B58" s="478" t="s">
        <v>160</v>
      </c>
      <c r="C58" s="479" t="s">
        <v>159</v>
      </c>
      <c r="D58" s="480"/>
      <c r="E58" s="480"/>
      <c r="F58" s="481"/>
      <c r="G58" s="479" t="s">
        <v>161</v>
      </c>
      <c r="H58" s="480"/>
      <c r="I58" s="480"/>
      <c r="J58" s="481"/>
      <c r="P58" s="521"/>
      <c r="R58" s="389"/>
      <c r="S58" s="389"/>
      <c r="T58" s="391"/>
      <c r="AH58" s="304"/>
    </row>
    <row r="59" spans="1:41" ht="14" x14ac:dyDescent="0.25">
      <c r="B59" s="482" t="s">
        <v>201</v>
      </c>
      <c r="C59" s="413">
        <v>1</v>
      </c>
      <c r="D59" s="413">
        <v>2</v>
      </c>
      <c r="E59" s="413">
        <v>3</v>
      </c>
      <c r="F59" s="413">
        <v>4</v>
      </c>
      <c r="G59" s="413">
        <v>1</v>
      </c>
      <c r="H59" s="413">
        <v>2</v>
      </c>
      <c r="I59" s="413">
        <v>3</v>
      </c>
      <c r="J59" s="413">
        <v>4</v>
      </c>
      <c r="P59" s="304"/>
      <c r="Q59" s="304"/>
      <c r="S59" s="390"/>
      <c r="T59" s="390"/>
    </row>
    <row r="60" spans="1:41" ht="14" x14ac:dyDescent="0.3">
      <c r="B60" s="483" t="s">
        <v>202</v>
      </c>
      <c r="C60" s="412">
        <v>0.98</v>
      </c>
      <c r="D60" s="412">
        <v>0.98</v>
      </c>
      <c r="E60" s="412">
        <v>1</v>
      </c>
      <c r="F60" s="412">
        <v>1.03</v>
      </c>
      <c r="G60" s="412">
        <v>0.98</v>
      </c>
      <c r="H60" s="412">
        <v>1</v>
      </c>
      <c r="I60" s="412">
        <v>1</v>
      </c>
      <c r="J60" s="412">
        <v>1.03</v>
      </c>
      <c r="Q60" s="518"/>
      <c r="S60" s="392"/>
      <c r="T60" s="392"/>
      <c r="Z60" s="518"/>
    </row>
    <row r="61" spans="1:41" x14ac:dyDescent="0.25">
      <c r="B61" s="483" t="s">
        <v>203</v>
      </c>
      <c r="C61" s="412">
        <v>0.98</v>
      </c>
      <c r="D61" s="412">
        <v>0.98</v>
      </c>
      <c r="E61" s="412">
        <v>1</v>
      </c>
      <c r="F61" s="412">
        <v>1.03</v>
      </c>
      <c r="G61" s="412">
        <v>0.98</v>
      </c>
      <c r="H61" s="412">
        <v>1</v>
      </c>
      <c r="I61" s="412">
        <v>1</v>
      </c>
      <c r="J61" s="412">
        <v>1.03</v>
      </c>
      <c r="Q61" s="518"/>
      <c r="S61" s="393"/>
      <c r="T61" s="393"/>
      <c r="Z61" s="518"/>
    </row>
    <row r="62" spans="1:41" x14ac:dyDescent="0.25">
      <c r="B62" s="483" t="s">
        <v>204</v>
      </c>
      <c r="C62" s="412">
        <v>0.98</v>
      </c>
      <c r="D62" s="412">
        <v>1</v>
      </c>
      <c r="E62" s="412">
        <v>1</v>
      </c>
      <c r="F62" s="412">
        <v>1.03</v>
      </c>
      <c r="G62" s="412">
        <v>0.98</v>
      </c>
      <c r="H62" s="412">
        <v>1</v>
      </c>
      <c r="I62" s="412">
        <v>1</v>
      </c>
      <c r="J62" s="412">
        <v>1.03</v>
      </c>
      <c r="Q62" s="518"/>
      <c r="S62" s="393"/>
      <c r="T62" s="393"/>
      <c r="U62" s="394"/>
      <c r="Z62" s="518"/>
    </row>
    <row r="63" spans="1:41" ht="12.75" customHeight="1" x14ac:dyDescent="0.25">
      <c r="B63" s="483" t="s">
        <v>27</v>
      </c>
      <c r="C63" s="412">
        <v>1</v>
      </c>
      <c r="D63" s="412">
        <v>1</v>
      </c>
      <c r="E63" s="412">
        <v>1</v>
      </c>
      <c r="F63" s="412">
        <v>1.05</v>
      </c>
      <c r="G63" s="412">
        <v>1</v>
      </c>
      <c r="H63" s="412">
        <v>1</v>
      </c>
      <c r="I63" s="412">
        <v>1</v>
      </c>
      <c r="J63" s="412">
        <v>1.05</v>
      </c>
      <c r="Q63" s="518"/>
      <c r="S63" s="393"/>
      <c r="T63" s="393"/>
      <c r="U63" s="394"/>
      <c r="Z63" s="518"/>
    </row>
    <row r="64" spans="1:41" ht="15" customHeight="1" x14ac:dyDescent="0.3">
      <c r="B64" s="483" t="s">
        <v>162</v>
      </c>
      <c r="C64" s="412">
        <v>1</v>
      </c>
      <c r="D64" s="412">
        <v>1</v>
      </c>
      <c r="E64" s="412">
        <v>1</v>
      </c>
      <c r="F64" s="412">
        <v>1.05</v>
      </c>
      <c r="G64" s="412">
        <v>1</v>
      </c>
      <c r="H64" s="412">
        <v>1</v>
      </c>
      <c r="I64" s="412">
        <v>1</v>
      </c>
      <c r="J64" s="412">
        <v>1.05</v>
      </c>
      <c r="Q64" s="524"/>
      <c r="R64" s="292"/>
      <c r="S64" s="292"/>
      <c r="T64" s="292"/>
      <c r="Z64" s="524"/>
    </row>
    <row r="65" spans="2:26" ht="13" x14ac:dyDescent="0.3">
      <c r="B65" s="483" t="s">
        <v>200</v>
      </c>
      <c r="C65" s="412">
        <v>1</v>
      </c>
      <c r="D65" s="412">
        <v>1</v>
      </c>
      <c r="E65" s="412">
        <v>1</v>
      </c>
      <c r="F65" s="412">
        <v>1.05</v>
      </c>
      <c r="G65" s="412">
        <v>1</v>
      </c>
      <c r="H65" s="412">
        <v>1</v>
      </c>
      <c r="I65" s="412">
        <v>1</v>
      </c>
      <c r="J65" s="412">
        <v>1.05</v>
      </c>
      <c r="Q65" s="524"/>
      <c r="Z65" s="524"/>
    </row>
    <row r="66" spans="2:26" ht="13" x14ac:dyDescent="0.3">
      <c r="B66" s="395" t="s">
        <v>276</v>
      </c>
      <c r="O66" s="525"/>
      <c r="P66" s="524"/>
      <c r="Q66" s="522"/>
      <c r="Z66" s="522"/>
    </row>
    <row r="67" spans="2:26" ht="13" x14ac:dyDescent="0.3">
      <c r="B67" s="395" t="s">
        <v>275</v>
      </c>
      <c r="O67" s="525"/>
      <c r="P67" s="523"/>
      <c r="Q67" s="518"/>
      <c r="Z67" s="518"/>
    </row>
    <row r="68" spans="2:26" ht="13" x14ac:dyDescent="0.3">
      <c r="B68" s="395" t="s">
        <v>336</v>
      </c>
      <c r="O68" s="525"/>
      <c r="P68" s="523"/>
      <c r="Q68" s="518"/>
      <c r="Z68" s="518"/>
    </row>
    <row r="69" spans="2:26" ht="13" x14ac:dyDescent="0.3">
      <c r="O69" s="525"/>
      <c r="P69" s="523"/>
      <c r="Q69" s="518"/>
      <c r="Z69" s="518"/>
    </row>
    <row r="70" spans="2:26" x14ac:dyDescent="0.25">
      <c r="O70" s="518"/>
      <c r="P70" s="518"/>
      <c r="Q70" s="518"/>
      <c r="Z70" s="518"/>
    </row>
    <row r="71" spans="2:26" x14ac:dyDescent="0.25">
      <c r="L71" s="304"/>
      <c r="O71" s="518"/>
      <c r="P71" s="518"/>
      <c r="Q71" s="518"/>
      <c r="Z71" s="518"/>
    </row>
    <row r="72" spans="2:26" x14ac:dyDescent="0.25">
      <c r="K72" s="304"/>
      <c r="L72" s="304"/>
      <c r="O72" s="518"/>
      <c r="P72" s="518"/>
      <c r="Q72" s="518"/>
      <c r="Z72" s="518"/>
    </row>
    <row r="73" spans="2:26" x14ac:dyDescent="0.25">
      <c r="H73" s="517"/>
      <c r="K73" s="304"/>
      <c r="L73" s="521"/>
      <c r="N73" s="518"/>
      <c r="O73" s="511"/>
      <c r="P73" s="511"/>
      <c r="Q73" s="511"/>
      <c r="Z73" s="511"/>
    </row>
    <row r="74" spans="2:26" x14ac:dyDescent="0.25">
      <c r="H74" s="515"/>
      <c r="K74" s="304"/>
      <c r="L74" s="304"/>
      <c r="O74" s="518"/>
      <c r="P74" s="518"/>
      <c r="Q74" s="511"/>
      <c r="Z74" s="511"/>
    </row>
    <row r="75" spans="2:26" x14ac:dyDescent="0.25">
      <c r="K75" s="304"/>
      <c r="L75" s="304"/>
      <c r="O75" s="511"/>
      <c r="P75" s="511"/>
      <c r="Q75" s="511"/>
      <c r="Z75" s="511"/>
    </row>
    <row r="76" spans="2:26" x14ac:dyDescent="0.25">
      <c r="K76" s="304"/>
      <c r="O76" s="518"/>
      <c r="P76" s="518"/>
      <c r="Q76" s="518"/>
      <c r="Z76" s="518"/>
    </row>
    <row r="77" spans="2:26" x14ac:dyDescent="0.25">
      <c r="G77" s="304"/>
      <c r="O77" s="518"/>
      <c r="P77" s="518"/>
      <c r="Q77" s="518"/>
      <c r="Z77" s="518"/>
    </row>
    <row r="78" spans="2:26" x14ac:dyDescent="0.25">
      <c r="G78" s="521"/>
      <c r="O78" s="518"/>
      <c r="P78" s="518"/>
      <c r="Q78" s="518"/>
      <c r="Z78" s="518"/>
    </row>
    <row r="79" spans="2:26" x14ac:dyDescent="0.25">
      <c r="G79" s="304"/>
      <c r="O79" s="518"/>
      <c r="P79" s="518"/>
      <c r="Q79" s="518"/>
      <c r="Z79" s="518"/>
    </row>
    <row r="80" spans="2:26" x14ac:dyDescent="0.25">
      <c r="O80" s="518"/>
      <c r="P80" s="518"/>
      <c r="Q80" s="518"/>
      <c r="Z80" s="518"/>
    </row>
    <row r="81" spans="14:31" x14ac:dyDescent="0.25">
      <c r="Z81" s="518"/>
    </row>
    <row r="82" spans="14:31" x14ac:dyDescent="0.25">
      <c r="Z82" s="518"/>
    </row>
    <row r="83" spans="14:31" x14ac:dyDescent="0.25">
      <c r="N83" s="304"/>
      <c r="Z83" s="518"/>
    </row>
    <row r="84" spans="14:31" x14ac:dyDescent="0.25">
      <c r="N84" s="521"/>
      <c r="Z84" s="518"/>
    </row>
    <row r="85" spans="14:31" x14ac:dyDescent="0.25">
      <c r="N85" s="304"/>
      <c r="Z85" s="518"/>
    </row>
    <row r="87" spans="14:31" x14ac:dyDescent="0.25">
      <c r="S87" s="304"/>
    </row>
    <row r="88" spans="14:31" x14ac:dyDescent="0.25">
      <c r="S88" s="521"/>
    </row>
    <row r="89" spans="14:31" x14ac:dyDescent="0.25">
      <c r="S89" s="304"/>
    </row>
    <row r="92" spans="14:31" x14ac:dyDescent="0.25">
      <c r="AE92" s="304"/>
    </row>
    <row r="93" spans="14:31" x14ac:dyDescent="0.25">
      <c r="AE93" s="521"/>
    </row>
    <row r="94" spans="14:31" x14ac:dyDescent="0.25">
      <c r="AE94" s="304"/>
    </row>
  </sheetData>
  <hyperlinks>
    <hyperlink ref="R14" r:id="rId1" xr:uid="{00000000-0004-0000-0700-000000000000}"/>
    <hyperlink ref="R29" display="https://arbetsrum.sp.trafikverket.se/sites/20190517192744/home/ASEKrapporten/Forms/Alla%20dokument.aspx?RootFolder=%2Fsites%2F20190517192744%2Fhome%2FASEKrapporten%2FASEK%207%2E0%2FBilaga%20Sammanst%C3%A4llning%20kalkylv%C3%A4rden%20ASEK%207%2E0&amp;FolderCTI" xr:uid="{00000000-0004-0000-0700-000001000000}"/>
  </hyperlinks>
  <pageMargins left="0.7" right="0.7" top="0.75" bottom="0.75" header="0.3" footer="0.3"/>
  <pageSetup paperSize="9" orientation="portrait" r:id="rId2"/>
  <ignoredErrors>
    <ignoredError sqref="K47:K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1</vt:i4>
      </vt:variant>
    </vt:vector>
  </HeadingPairs>
  <TitlesOfParts>
    <vt:vector size="9" baseType="lpstr">
      <vt:lpstr>Om TS-EVA</vt:lpstr>
      <vt:lpstr>Beräkna - Länk</vt:lpstr>
      <vt:lpstr>Beräkna - Nod</vt:lpstr>
      <vt:lpstr>Matris - Länk</vt:lpstr>
      <vt:lpstr>Matris - Nod</vt:lpstr>
      <vt:lpstr>Värdemängder</vt:lpstr>
      <vt:lpstr>RPMI</vt:lpstr>
      <vt:lpstr>Faktorer</vt:lpstr>
      <vt:lpstr>Faktorer!_Toc380577640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Johansson_OE</dc:creator>
  <cp:lastModifiedBy>Tollstoy Amanda, PLee</cp:lastModifiedBy>
  <cp:lastPrinted>2009-11-04T10:00:56Z</cp:lastPrinted>
  <dcterms:created xsi:type="dcterms:W3CDTF">1998-11-05T12:02:14Z</dcterms:created>
  <dcterms:modified xsi:type="dcterms:W3CDTF">2026-05-13T13:05:53Z</dcterms:modified>
</cp:coreProperties>
</file>