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seli01\Desktop\Översättningar rapporter slutliga\Rapport affärsmodeller\"/>
    </mc:Choice>
  </mc:AlternateContent>
  <bookViews>
    <workbookView xWindow="0" yWindow="0" windowWidth="28800" windowHeight="12300" tabRatio="736" activeTab="1"/>
  </bookViews>
  <sheets>
    <sheet name="Instructions" sheetId="1" r:id="rId1"/>
    <sheet name="Calculation model" sheetId="2" r:id="rId2"/>
    <sheet name="Diesel prices from Elvägskalk" sheetId="3" r:id="rId3"/>
  </sheets>
  <definedNames>
    <definedName name="__xlfn_IFERROR">#N/A</definedName>
    <definedName name="__xlfn_SUMIFS">#N/A</definedName>
    <definedName name="High">'Calculation model'!$E$41</definedName>
  </definedNames>
  <calcPr calcId="162913"/>
</workbook>
</file>

<file path=xl/calcChain.xml><?xml version="1.0" encoding="utf-8"?>
<calcChain xmlns="http://schemas.openxmlformats.org/spreadsheetml/2006/main">
  <c r="Q32" i="2" l="1"/>
  <c r="L46" i="2"/>
  <c r="L43" i="2"/>
  <c r="R43" i="2" s="1"/>
  <c r="L42" i="2"/>
  <c r="R42" i="2" s="1"/>
  <c r="L41" i="2"/>
  <c r="E7" i="2"/>
  <c r="E13" i="2" s="1"/>
  <c r="Z46" i="2" s="1"/>
  <c r="E9" i="2"/>
  <c r="E11" i="2"/>
  <c r="E15" i="2"/>
  <c r="L44" i="2" s="1"/>
  <c r="E8" i="2"/>
  <c r="E17" i="2"/>
  <c r="E25" i="2"/>
  <c r="E26" i="2"/>
  <c r="E28" i="2" s="1"/>
  <c r="S45" i="2" s="1"/>
  <c r="Q27" i="2"/>
  <c r="Q29" i="2"/>
  <c r="Q30" i="2"/>
  <c r="R30" i="2"/>
  <c r="S30" i="2"/>
  <c r="U30" i="2" s="1"/>
  <c r="W30" i="2" s="1"/>
  <c r="E31" i="2"/>
  <c r="T30" i="2" s="1"/>
  <c r="T31" i="2"/>
  <c r="Q31" i="2"/>
  <c r="R31" i="2"/>
  <c r="S31" i="2"/>
  <c r="U31" i="2" s="1"/>
  <c r="S32" i="2"/>
  <c r="T32" i="2"/>
  <c r="E33" i="2"/>
  <c r="P20" i="2"/>
  <c r="S20" i="2"/>
  <c r="U20" i="2" s="1"/>
  <c r="N43" i="2"/>
  <c r="T44" i="2"/>
  <c r="T46" i="2"/>
  <c r="N46" i="2"/>
  <c r="V46" i="2" s="1"/>
  <c r="C11" i="3"/>
  <c r="C12" i="3"/>
  <c r="C19" i="3"/>
  <c r="C20" i="3" s="1"/>
  <c r="C21" i="3" s="1"/>
  <c r="C23" i="3" s="1"/>
  <c r="D11" i="3"/>
  <c r="E11" i="3"/>
  <c r="E12" i="3" s="1"/>
  <c r="F11" i="3"/>
  <c r="F12" i="3"/>
  <c r="F13" i="3" s="1"/>
  <c r="F16" i="3" s="1"/>
  <c r="G11" i="3"/>
  <c r="G12" i="3"/>
  <c r="H11" i="3"/>
  <c r="H12" i="3" s="1"/>
  <c r="H13" i="3" s="1"/>
  <c r="H16" i="3" s="1"/>
  <c r="D12" i="3"/>
  <c r="D13" i="3"/>
  <c r="D16" i="3"/>
  <c r="C18" i="3"/>
  <c r="D18" i="3"/>
  <c r="E18" i="3"/>
  <c r="F18" i="3"/>
  <c r="D19" i="3"/>
  <c r="D20" i="3" s="1"/>
  <c r="D21" i="3" s="1"/>
  <c r="D23" i="3" s="1"/>
  <c r="C22" i="3"/>
  <c r="D22" i="3"/>
  <c r="E22" i="3"/>
  <c r="C25" i="3"/>
  <c r="D25" i="3"/>
  <c r="E25" i="3"/>
  <c r="F25" i="3"/>
  <c r="G25" i="3"/>
  <c r="H25" i="3"/>
  <c r="T29" i="2"/>
  <c r="T41" i="2"/>
  <c r="H19" i="3"/>
  <c r="N41" i="2"/>
  <c r="Y30" i="2"/>
  <c r="R41" i="2"/>
  <c r="C13" i="3"/>
  <c r="C16" i="3"/>
  <c r="Z41" i="2"/>
  <c r="Z42" i="2"/>
  <c r="S26" i="2"/>
  <c r="V41" i="2"/>
  <c r="R29" i="2" s="1"/>
  <c r="H20" i="3" l="1"/>
  <c r="H21" i="3" s="1"/>
  <c r="F19" i="3"/>
  <c r="F20" i="3" s="1"/>
  <c r="F21" i="3" s="1"/>
  <c r="AC41" i="2"/>
  <c r="V30" i="2"/>
  <c r="G19" i="3"/>
  <c r="G20" i="3" s="1"/>
  <c r="G21" i="3" s="1"/>
  <c r="G13" i="3"/>
  <c r="G16" i="3" s="1"/>
  <c r="E19" i="3"/>
  <c r="E13" i="3"/>
  <c r="E16" i="3" s="1"/>
  <c r="AC46" i="2"/>
  <c r="W31" i="2"/>
  <c r="Z31" i="2"/>
  <c r="V31" i="2"/>
  <c r="Y31" i="2"/>
  <c r="N42" i="2"/>
  <c r="V42" i="2" s="1"/>
  <c r="R26" i="2" s="1"/>
  <c r="T42" i="2"/>
  <c r="Q26" i="2"/>
  <c r="Z30" i="2"/>
  <c r="Z45" i="2"/>
  <c r="V45" i="2"/>
  <c r="Q28" i="2"/>
  <c r="R44" i="2"/>
  <c r="N44" i="2"/>
  <c r="V44" i="2" s="1"/>
  <c r="S29" i="2"/>
  <c r="U29" i="2" s="1"/>
  <c r="Z43" i="2"/>
  <c r="T43" i="2"/>
  <c r="V43" i="2" s="1"/>
  <c r="R27" i="2" s="1"/>
  <c r="T27" i="2"/>
  <c r="Z44" i="2"/>
  <c r="R32" i="2"/>
  <c r="U32" i="2" s="1"/>
  <c r="U26" i="2" l="1"/>
  <c r="W32" i="2"/>
  <c r="V32" i="2"/>
  <c r="AC43" i="2"/>
  <c r="S27" i="2"/>
  <c r="S28" i="2"/>
  <c r="U28" i="2" s="1"/>
  <c r="AC44" i="2"/>
  <c r="V29" i="2"/>
  <c r="Z29" i="2"/>
  <c r="Y29" i="2"/>
  <c r="W29" i="2"/>
  <c r="Q33" i="2"/>
  <c r="Z26" i="2"/>
  <c r="Y45" i="2"/>
  <c r="AC45" i="2"/>
  <c r="R28" i="2"/>
  <c r="R33" i="2" s="1"/>
  <c r="Y46" i="2"/>
  <c r="T26" i="2" s="1"/>
  <c r="E20" i="3"/>
  <c r="E21" i="3" s="1"/>
  <c r="E23" i="3" s="1"/>
  <c r="Z32" i="2"/>
  <c r="AC42" i="2"/>
  <c r="W28" i="2" l="1"/>
  <c r="V28" i="2"/>
  <c r="Y28" i="2"/>
  <c r="U27" i="2"/>
  <c r="U33" i="2" s="1"/>
  <c r="Z33" i="2" s="1"/>
  <c r="S33" i="2"/>
  <c r="W26" i="2"/>
  <c r="Y26" i="2"/>
  <c r="V26" i="2"/>
  <c r="Y47" i="2"/>
  <c r="X49" i="2" s="1"/>
  <c r="T28" i="2"/>
  <c r="T33" i="2" s="1"/>
  <c r="Z28" i="2"/>
  <c r="W27" i="2" l="1"/>
  <c r="V27" i="2"/>
  <c r="W20" i="2"/>
  <c r="Y27" i="2"/>
  <c r="Y33" i="2" s="1"/>
  <c r="Z27" i="2"/>
</calcChain>
</file>

<file path=xl/comments1.xml><?xml version="1.0" encoding="utf-8"?>
<comments xmlns="http://schemas.openxmlformats.org/spreadsheetml/2006/main">
  <authors>
    <author/>
  </authors>
  <commentList>
    <comment ref="V23" authorId="0" shapeId="0">
      <text>
        <r>
          <rPr>
            <sz val="9"/>
            <color indexed="8"/>
            <rFont val="Tahoma"/>
            <family val="2"/>
            <charset val="1"/>
          </rPr>
          <t>Profit before tax and interest expenses in relation to investment</t>
        </r>
      </text>
    </comment>
    <comment ref="Z23" authorId="0" shapeId="0">
      <text>
        <r>
          <rPr>
            <sz val="9"/>
            <color indexed="8"/>
            <rFont val="Tahoma"/>
            <family val="2"/>
            <charset val="1"/>
          </rPr>
          <t>Only in case of positive result</t>
        </r>
      </text>
    </comment>
    <comment ref="Q32" authorId="0" shapeId="0">
      <text>
        <r>
          <rPr>
            <sz val="9"/>
            <color indexed="8"/>
            <rFont val="Tahoma"/>
            <family val="2"/>
            <charset val="1"/>
          </rPr>
          <t>State support when purchasing trucks</t>
        </r>
      </text>
    </comment>
    <comment ref="R32" authorId="0" shapeId="0">
      <text>
        <r>
          <rPr>
            <sz val="9"/>
            <color indexed="8"/>
            <rFont val="Tahoma"/>
            <family val="2"/>
            <charset val="1"/>
          </rPr>
          <t>Tax losses on diesel and value-added tax</t>
        </r>
      </text>
    </comment>
    <comment ref="S32" authorId="0" shapeId="0">
      <text>
        <r>
          <rPr>
            <sz val="9"/>
            <color indexed="8"/>
            <rFont val="Tahoma"/>
            <family val="2"/>
            <charset val="1"/>
          </rPr>
          <t xml:space="preserve">Additionat tax revenue from electricity and value-added tax </t>
        </r>
      </text>
    </comment>
    <comment ref="P33" authorId="0" shapeId="0">
      <text>
        <r>
          <rPr>
            <sz val="9"/>
            <color indexed="8"/>
            <rFont val="Tahoma"/>
            <family val="2"/>
            <charset val="1"/>
          </rPr>
          <t>Excluding the State</t>
        </r>
      </text>
    </comment>
    <comment ref="Y45" authorId="0" shapeId="0">
      <text>
        <r>
          <rPr>
            <sz val="9"/>
            <color indexed="8"/>
            <rFont val="Tahoma"/>
            <family val="2"/>
            <charset val="1"/>
          </rPr>
          <t xml:space="preserve">The starting point is that the cost of electricity should be covered by the user fee
</t>
        </r>
      </text>
    </comment>
  </commentList>
</comments>
</file>

<file path=xl/comments2.xml><?xml version="1.0" encoding="utf-8"?>
<comments xmlns="http://schemas.openxmlformats.org/spreadsheetml/2006/main">
  <authors>
    <author/>
  </authors>
  <commentList>
    <comment ref="B7" authorId="0" shapeId="0">
      <text>
        <r>
          <rPr>
            <b/>
            <sz val="9"/>
            <color indexed="8"/>
            <rFont val="Tahoma"/>
            <family val="2"/>
            <charset val="1"/>
          </rPr>
          <t xml:space="preserve">Author:
</t>
        </r>
        <r>
          <rPr>
            <sz val="9"/>
            <color indexed="8"/>
            <rFont val="Tahoma"/>
            <family val="2"/>
            <charset val="1"/>
          </rPr>
          <t>Initially the reduction levels are 2.6 per cent for petrol and 19.3 per cent for diesel according to the Swedish Energy Agency. The indicative levels are a 40 per cent reduction from diesel and petrol 2030. 
Since only diesel is relevant, diesel has been used here.</t>
        </r>
      </text>
    </comment>
    <comment ref="B8" authorId="0" shapeId="0">
      <text>
        <r>
          <rPr>
            <b/>
            <sz val="9"/>
            <color indexed="8"/>
            <rFont val="Tahoma"/>
            <family val="2"/>
            <charset val="1"/>
          </rPr>
          <t xml:space="preserve">Author:
</t>
        </r>
        <r>
          <rPr>
            <sz val="9"/>
            <color indexed="8"/>
            <rFont val="Tahoma"/>
            <family val="2"/>
            <charset val="1"/>
          </rPr>
          <t>“If you are unable to take over the surplus you will be required to pay a fee for each kilo of carbon dioxide equivalent that exceeds its reduction obligation. For petrol the fee shall be SEK 5 per kg and for diesel SEK 4 per kg”
/</t>
        </r>
        <r>
          <rPr>
            <b/>
            <sz val="9"/>
            <color indexed="8"/>
            <rFont val="Tahoma"/>
            <family val="2"/>
          </rPr>
          <t>Swedish Energy Agency</t>
        </r>
      </text>
    </comment>
    <comment ref="B9" authorId="0" shapeId="0">
      <text>
        <r>
          <rPr>
            <b/>
            <sz val="9"/>
            <color indexed="8"/>
            <rFont val="Tahoma"/>
            <family val="2"/>
            <charset val="1"/>
          </rPr>
          <t xml:space="preserve">Author:
</t>
        </r>
        <r>
          <rPr>
            <sz val="9"/>
            <color indexed="8"/>
            <rFont val="Tahoma"/>
            <family val="2"/>
            <charset val="1"/>
          </rPr>
          <t xml:space="preserve">I.e. the emission reduction from just biofuel (cf. with a complete fossil equivalent), e.g. HVO emits 86.4 less than pure diesel. This is used to obtain emission g/MJ of biofuel (as this figure was not available)
</t>
        </r>
      </text>
    </comment>
    <comment ref="B10" authorId="0" shapeId="0">
      <text>
        <r>
          <rPr>
            <b/>
            <sz val="9"/>
            <color indexed="8"/>
            <rFont val="Tahoma"/>
            <family val="2"/>
            <charset val="1"/>
          </rPr>
          <t xml:space="preserve">Author:
</t>
        </r>
        <r>
          <rPr>
            <sz val="9"/>
            <color indexed="8"/>
            <rFont val="Tahoma"/>
            <family val="2"/>
            <charset val="1"/>
          </rPr>
          <t xml:space="preserve">When you calculate the reduction of emissions, you use the fossil equivalent 93.3 grams carbon dioxide equivalents per megajoule for petrol and 95.1 for diesel fuel.
</t>
        </r>
        <r>
          <rPr>
            <b/>
            <sz val="9"/>
            <color indexed="8"/>
            <rFont val="Tahoma"/>
            <family val="2"/>
          </rPr>
          <t>Swedish Energy Agency</t>
        </r>
      </text>
    </comment>
    <comment ref="B13" authorId="0" shapeId="0">
      <text>
        <r>
          <rPr>
            <b/>
            <sz val="9"/>
            <color indexed="8"/>
            <rFont val="Tahoma"/>
            <family val="2"/>
            <charset val="1"/>
          </rPr>
          <t xml:space="preserve">Author:
</t>
        </r>
        <r>
          <rPr>
            <sz val="9"/>
            <color indexed="8"/>
            <rFont val="Tahoma"/>
            <family val="2"/>
            <charset val="1"/>
          </rPr>
          <t>Max price diff users are prepared to pay per MJ</t>
        </r>
      </text>
    </comment>
    <comment ref="B14" authorId="0" shapeId="0">
      <text>
        <r>
          <rPr>
            <b/>
            <sz val="9"/>
            <color indexed="8"/>
            <rFont val="Tahoma"/>
            <family val="2"/>
            <charset val="1"/>
          </rPr>
          <t xml:space="preserve">Author:
</t>
        </r>
        <r>
          <rPr>
            <sz val="9"/>
            <color indexed="8"/>
            <rFont val="Tahoma"/>
            <family val="2"/>
            <charset val="1"/>
          </rPr>
          <t xml:space="preserve">From the table below (OKQ8)
</t>
        </r>
      </text>
    </comment>
    <comment ref="B15" authorId="0" shapeId="0">
      <text>
        <r>
          <rPr>
            <b/>
            <sz val="9"/>
            <color indexed="8"/>
            <rFont val="Tahoma"/>
            <family val="2"/>
            <charset val="1"/>
          </rPr>
          <t xml:space="preserve">Author:
</t>
        </r>
        <r>
          <rPr>
            <sz val="9"/>
            <color indexed="8"/>
            <rFont val="Tahoma"/>
            <family val="2"/>
            <charset val="1"/>
          </rPr>
          <t xml:space="preserve">From table below (OKQ8)
</t>
        </r>
      </text>
    </comment>
    <comment ref="B16" authorId="0" shapeId="0">
      <text>
        <r>
          <rPr>
            <b/>
            <sz val="9"/>
            <color indexed="8"/>
            <rFont val="Tahoma"/>
            <family val="2"/>
            <charset val="1"/>
          </rPr>
          <t xml:space="preserve">Author:
</t>
        </r>
        <r>
          <rPr>
            <sz val="9"/>
            <color indexed="8"/>
            <rFont val="Tahoma"/>
            <family val="2"/>
            <charset val="1"/>
          </rPr>
          <t>I.e. SEK/MJ*MJ/L = SEK/L
NB: This is price diff per L compared with complete fossil diesel (for sellers of fuel)</t>
        </r>
      </text>
    </comment>
    <comment ref="B17" authorId="0" shapeId="0">
      <text>
        <r>
          <rPr>
            <b/>
            <sz val="9"/>
            <color indexed="8"/>
            <rFont val="Tahoma"/>
            <family val="2"/>
            <charset val="1"/>
          </rPr>
          <t xml:space="preserve">Author:
</t>
        </r>
        <r>
          <rPr>
            <sz val="9"/>
            <color indexed="8"/>
            <rFont val="Tahoma"/>
            <family val="2"/>
            <charset val="1"/>
          </rPr>
          <t>From ASEK calculation appendix tab 11 fuel costs Diesel Truck (bulk) product price excl. excise duties and VAT SEK/litre 2020 counted up from 2014, 0.8% per year), 2040 and 2060</t>
        </r>
      </text>
    </comment>
    <comment ref="B19" authorId="0" shapeId="0">
      <text>
        <r>
          <rPr>
            <b/>
            <sz val="9"/>
            <color indexed="8"/>
            <rFont val="Tahoma"/>
            <family val="2"/>
            <charset val="1"/>
          </rPr>
          <t xml:space="preserve">Author:
</t>
        </r>
        <r>
          <rPr>
            <sz val="9"/>
            <color indexed="8"/>
            <rFont val="Tahoma"/>
            <family val="2"/>
            <charset val="1"/>
          </rPr>
          <t>This is larger than what is perhaps intuitive since biofuel is less energy dense (MJ) than equivalent fossils, and has a certain emission level itself. 
If you want to reduce emissions by 13.4 per cent you must therefore mix in more than 13.4 per cent bio.
Note that with a reduction obligation larger than 86.4 per cent, the mixture level will be above 100%, and that will be incorrect.</t>
        </r>
      </text>
    </comment>
    <comment ref="B21" authorId="0" shapeId="0">
      <text>
        <r>
          <rPr>
            <b/>
            <sz val="9"/>
            <color indexed="8"/>
            <rFont val="Tahoma"/>
            <family val="2"/>
            <charset val="1"/>
          </rPr>
          <t xml:space="preserve">Author:
</t>
        </r>
        <r>
          <rPr>
            <sz val="9"/>
            <color indexed="8"/>
            <rFont val="Tahoma"/>
            <family val="2"/>
            <charset val="1"/>
          </rPr>
          <t>Excl. Tax and VAT
Above this level it is more profitable to just pay the fee</t>
        </r>
      </text>
    </comment>
    <comment ref="B22" authorId="0" shapeId="0">
      <text>
        <r>
          <rPr>
            <b/>
            <sz val="9"/>
            <color indexed="8"/>
            <rFont val="Tahoma"/>
            <family val="2"/>
            <charset val="1"/>
          </rPr>
          <t xml:space="preserve">Author:
</t>
        </r>
        <r>
          <rPr>
            <sz val="9"/>
            <color indexed="8"/>
            <rFont val="Tahoma"/>
            <family val="2"/>
            <charset val="1"/>
          </rPr>
          <t xml:space="preserve">Author:
From Swedish Tax Agency 2018 (diesel oil)
https://www.skatteverket.se/foretagochorganisationer/skatter/punktskatter/energiskatter/skattesatserochvaxelkurser.4.77dbcb041438070e0395e96.html
Counted up by 2% according to ASEK 2018-2040
</t>
        </r>
      </text>
    </comment>
    <comment ref="B23" authorId="0" shapeId="0">
      <text>
        <r>
          <rPr>
            <b/>
            <sz val="9"/>
            <color indexed="8"/>
            <rFont val="Tahoma"/>
            <family val="2"/>
            <charset val="1"/>
          </rPr>
          <t xml:space="preserve">Author:
</t>
        </r>
        <r>
          <rPr>
            <sz val="9"/>
            <color indexed="8"/>
            <rFont val="Tahoma"/>
            <family val="2"/>
            <charset val="1"/>
          </rPr>
          <t>As companies do not pay VAT</t>
        </r>
      </text>
    </comment>
  </commentList>
</comments>
</file>

<file path=xl/sharedStrings.xml><?xml version="1.0" encoding="utf-8"?>
<sst xmlns="http://schemas.openxmlformats.org/spreadsheetml/2006/main" count="228" uniqueCount="180">
  <si>
    <r>
      <t xml:space="preserve">INSTRUCTIONS FOR THE ECONOMIC CALCULATION MODEL FOR ELECTRIC ROADS. </t>
    </r>
    <r>
      <rPr>
        <sz val="12"/>
        <rFont val="Times New Roman"/>
        <family val="1"/>
      </rPr>
      <t xml:space="preserve">SWEDISH TRANSPORT ADMINISTRATION </t>
    </r>
    <r>
      <rPr>
        <sz val="12"/>
        <rFont val="Calibri"/>
        <family val="1"/>
        <charset val="1"/>
      </rPr>
      <t>Version 1 191031 TRV 2018/18530</t>
    </r>
  </si>
  <si>
    <t>1. INPUT DATA</t>
  </si>
  <si>
    <t>Category</t>
  </si>
  <si>
    <t>Sub-category</t>
  </si>
  <si>
    <t>Value</t>
  </si>
  <si>
    <t>Unit</t>
  </si>
  <si>
    <t>Comment</t>
  </si>
  <si>
    <t>Number of days in a year</t>
  </si>
  <si>
    <t>days</t>
  </si>
  <si>
    <t>Total ERS-length</t>
  </si>
  <si>
    <t>km</t>
  </si>
  <si>
    <t>Number of kilometres of road covered by ERS installation</t>
  </si>
  <si>
    <t>Percentage of the road electrified</t>
  </si>
  <si>
    <t>%</t>
  </si>
  <si>
    <t xml:space="preserve">Affects "Construction and maintenance ERS infrastructure" and "Construction and maintenance road furniture". </t>
  </si>
  <si>
    <t>Traffic</t>
  </si>
  <si>
    <t>Vehicle kilometres on ERS</t>
  </si>
  <si>
    <t>km / year</t>
  </si>
  <si>
    <t>A function of ADT (daily average traffic flow for any point in the road section), days per year and ERS length</t>
  </si>
  <si>
    <t>Vehicle kilometres on ERS + non-ERS</t>
  </si>
  <si>
    <t>The distance that the HGVs in the system drive in a year (both on ERS and outside the ERS</t>
  </si>
  <si>
    <t>Percentage of total HGV kilometres in Sweden</t>
  </si>
  <si>
    <t>Used as a control reference, based on total vehicle kilometres in the system</t>
  </si>
  <si>
    <t>ÅDT (Daily average traffic flow for any point in the road strech)</t>
  </si>
  <si>
    <t>Passages/day</t>
  </si>
  <si>
    <t>Daily average traffic flow for any point in the road section. In Swedish: Årsmedeldygnstrafik</t>
  </si>
  <si>
    <t>Number of passages per HGV per day</t>
  </si>
  <si>
    <t>A function of annual HGV kilometres, ERS length, and percentage of HGV kilometres on ERS</t>
  </si>
  <si>
    <t>Percentage of HGV kilometres on ERS</t>
  </si>
  <si>
    <t>Percentage of section HGV drives on ERS of total section. Affecting number HGVs required to generate selected ADT</t>
  </si>
  <si>
    <t>Number of transactions per year</t>
  </si>
  <si>
    <t>transactions/year</t>
  </si>
  <si>
    <t>Cost per payment transaction</t>
  </si>
  <si>
    <t>SEK/transaction</t>
  </si>
  <si>
    <t>HGV</t>
  </si>
  <si>
    <t>Number of HGVs in the system</t>
  </si>
  <si>
    <t># HGV</t>
  </si>
  <si>
    <t>A function of ADT, ERS length, days per year and HGV kilometres on ERS per year</t>
  </si>
  <si>
    <t>Number of HGVs in Sweden</t>
  </si>
  <si>
    <t>Based on HGVs heavier than 3.5 tonnes according to TRAFA 2019 for plausibility cheking of the values</t>
  </si>
  <si>
    <t>Environment (tonnes CO2 / year)</t>
  </si>
  <si>
    <t>Percentage of total amount of HGV in Sweden</t>
  </si>
  <si>
    <t>Used only as a control reference, based on trucks heavier than 3.5 tonnes according to TRAFA 2019</t>
  </si>
  <si>
    <t>Annual emissions from HGVs if selected ERS section is not electrified (tonnes CO2)</t>
  </si>
  <si>
    <t>Annual emissions from HGVs if selected ERS section is electrified (tonnes CO2)</t>
  </si>
  <si>
    <t>Annual emissions reduction if selected ERS section is electrified (tonnes CO2)</t>
  </si>
  <si>
    <t>Annual cost to the State (incl. Swedish Transport Administration) per tonne CO2 reduction per year (SEK per reduced CO2 tonne per year)</t>
  </si>
  <si>
    <t>Maximum eco-subsidy per HGV</t>
  </si>
  <si>
    <t>SEK/HGV</t>
  </si>
  <si>
    <t>According to preliminary indications from Traffic Anaysis report 2019:2 approx. SEK 400 000 in eco-friendly goods vehicle premium per truck</t>
  </si>
  <si>
    <t>Annual vehicle kilometers per HGV</t>
  </si>
  <si>
    <t>Estimate based on dialogue with market participants</t>
  </si>
  <si>
    <t>Fuel</t>
  </si>
  <si>
    <t>Diesel price (excl. VAT)</t>
  </si>
  <si>
    <t>SEK / litre</t>
  </si>
  <si>
    <t>According to the socio-economic calculation, average 2020-2060. Price excl. VAT, see separate tab for reference.</t>
  </si>
  <si>
    <t>Diesel consumption</t>
  </si>
  <si>
    <t>litre / km</t>
  </si>
  <si>
    <t>From table "14.7 Basic data for calculating truck costs", ASEK 6.1</t>
  </si>
  <si>
    <t>VAT</t>
  </si>
  <si>
    <t>Tax (% of diesel price)</t>
  </si>
  <si>
    <t>According to the socio-economic calculation model</t>
  </si>
  <si>
    <t>Tax (% of electricity price)</t>
  </si>
  <si>
    <t>According to the socio-economic calculation model and Swedish Energy Agency, based on energy tax SEK 0.35/km and Total price excl. VAT of SEK 0.717/km (0.35/0.717= approx. 49%)</t>
  </si>
  <si>
    <t>Cost of diesel</t>
  </si>
  <si>
    <t>SEK / km</t>
  </si>
  <si>
    <t>Electricity consumption</t>
  </si>
  <si>
    <t>kWh / km</t>
  </si>
  <si>
    <t>Re-calculated from Bertelsen (2018) that uses Diesel consumption/km = 0.4 and Electricity consumption kWh/km = 1.80</t>
  </si>
  <si>
    <t>Electricity price (excl. VAT)</t>
  </si>
  <si>
    <t>SEK / kWh</t>
  </si>
  <si>
    <t>Value for 2020 according to socio-economic calculation model, tab "Input data". Total price excl. VAT incl. energy tax</t>
  </si>
  <si>
    <t>Cost of electricity (excl. VAT)</t>
  </si>
  <si>
    <t>A function of electricity price x electricity consumption</t>
  </si>
  <si>
    <t>Effect fee and transmission fee for overhead grid</t>
  </si>
  <si>
    <t>Additional willingness to pay for ERS</t>
  </si>
  <si>
    <t>Additional incentives for haulage contractor to drive on ERS apart from purely financial</t>
  </si>
  <si>
    <t>Total fee ERS usage</t>
  </si>
  <si>
    <t>Highest possible user fees that can be charged without exceeding the diesel price</t>
  </si>
  <si>
    <t>Financing</t>
  </si>
  <si>
    <t>Economies of scale ERS related investments</t>
  </si>
  <si>
    <t>Links to all investments (electricity grid, ERS infrastructure, road furniture), the cost saving per km that can arise for larger installations</t>
  </si>
  <si>
    <t>Environment</t>
  </si>
  <si>
    <t>Emission factor CO2 truck</t>
  </si>
  <si>
    <t>tonnes / km</t>
  </si>
  <si>
    <t>Values from socio-economic calculation model, retrieved from the file ASEK_6_MC_EF_emissioner_CO2_160208_Pbl 2040</t>
  </si>
  <si>
    <t>SUMMA exkl. Staten</t>
  </si>
  <si>
    <t>2. CALCULATION</t>
  </si>
  <si>
    <t>Component</t>
  </si>
  <si>
    <t>Investment (SEK)</t>
  </si>
  <si>
    <t>Costs (SEK/year)</t>
  </si>
  <si>
    <t>Revenue (SEK/year)</t>
  </si>
  <si>
    <t>Result before taxes (SEK/year)</t>
  </si>
  <si>
    <t>Actor responsible for the investment</t>
  </si>
  <si>
    <t>Select level of investment</t>
  </si>
  <si>
    <t xml:space="preserve">Low investment  (SEK/km)
</t>
  </si>
  <si>
    <t>Medium investment (SEK/km)</t>
  </si>
  <si>
    <t>High investment (SEK/km)</t>
  </si>
  <si>
    <t>Depreciation period (years)</t>
  </si>
  <si>
    <t>Percentage of investment financed by loan (%)</t>
  </si>
  <si>
    <t>Interest rate
 (%)</t>
  </si>
  <si>
    <t>Total investment for ERS (SEK)</t>
  </si>
  <si>
    <t>Depreciation 
(SEK/year)</t>
  </si>
  <si>
    <t>Operation &amp; maintenance as % of investment</t>
  </si>
  <si>
    <t>Electricity (SEK/year)</t>
  </si>
  <si>
    <t>Interest rate (SEK/year)</t>
  </si>
  <si>
    <t>Other costs (SEK/year)</t>
  </si>
  <si>
    <t>SUM costs (SEK/year)</t>
  </si>
  <si>
    <t>User fees</t>
  </si>
  <si>
    <t>Additional services (SEK/year)</t>
  </si>
  <si>
    <t>Actor responsible for operation and maintenance</t>
  </si>
  <si>
    <t>Percentage of investment</t>
  </si>
  <si>
    <t>Operation and maintenance (SEK/year)</t>
  </si>
  <si>
    <t>Actor due user fees</t>
  </si>
  <si>
    <t>Select (% of user fees)</t>
  </si>
  <si>
    <t>Revenue from user fees (SEK/year)</t>
  </si>
  <si>
    <t>Construction and maintenance electricity grid extension</t>
  </si>
  <si>
    <t>Electricity grid operator</t>
  </si>
  <si>
    <t>Construction and maintenance ERS infrastructure</t>
  </si>
  <si>
    <t>Operator</t>
  </si>
  <si>
    <t>Construction and maintenance road furniture</t>
  </si>
  <si>
    <t>Swedish Transport Administration</t>
  </si>
  <si>
    <t>Conversion to electric operation on ERS for truck</t>
  </si>
  <si>
    <t>Haulage contractor</t>
  </si>
  <si>
    <t>System for measurement and billing</t>
  </si>
  <si>
    <t>High</t>
  </si>
  <si>
    <t>Diesel</t>
  </si>
  <si>
    <t>Bensin</t>
  </si>
  <si>
    <t>HVO</t>
  </si>
  <si>
    <t>RME</t>
  </si>
  <si>
    <t>Etanol</t>
  </si>
  <si>
    <t>Biobensin</t>
  </si>
  <si>
    <t>3. RESULT</t>
  </si>
  <si>
    <t>Electricity supplier</t>
  </si>
  <si>
    <t>The State</t>
  </si>
  <si>
    <t>Low</t>
  </si>
  <si>
    <t>Medium</t>
  </si>
  <si>
    <t>Investment/result</t>
  </si>
  <si>
    <t>Deficit (SEK/year)</t>
  </si>
  <si>
    <t>Profit margin</t>
  </si>
  <si>
    <t>Result/year in relation to investment</t>
  </si>
  <si>
    <t>Revenus from user fees (SEK/km)</t>
  </si>
  <si>
    <t>Cost (SEK/year)</t>
  </si>
  <si>
    <t>ERS investment (SEK)</t>
  </si>
  <si>
    <t>This table comes from the socio-economic calculation model "Electric Road Calculator" and can be used as inspiration to determine the input value of diesel in different scenarios.</t>
  </si>
  <si>
    <t>Biofuel mixed in</t>
  </si>
  <si>
    <t>Reduction obligation amount (emissions) %</t>
  </si>
  <si>
    <t>Fee SEK/kg emission (fine imposed for not meeting reduction obligation)</t>
  </si>
  <si>
    <t>Emission reduction (of biofuel) %</t>
  </si>
  <si>
    <t>Emission g/MJ fossil</t>
  </si>
  <si>
    <t>Emission g/MJ bio</t>
  </si>
  <si>
    <t>Emission difference g/MJ</t>
  </si>
  <si>
    <t>Max price diff (cf. with fossil diesel), SEK/MJ</t>
  </si>
  <si>
    <t>Energy content biofuel MJ/litre</t>
  </si>
  <si>
    <t>Energy content fossil MJ/litre</t>
  </si>
  <si>
    <t>Max price diff per litre pure biofuel (SEK/litre)</t>
  </si>
  <si>
    <t>Fossil – product price + gross margin, SEK/litre</t>
  </si>
  <si>
    <t>Fossil - product price + gross margin, SEK/MJ</t>
  </si>
  <si>
    <t>Percentage biofuel (level of mixing)</t>
  </si>
  <si>
    <t>Maximum cost for one litre fuel (SEK/litre)</t>
  </si>
  <si>
    <t>Tax (SEK/litre)</t>
  </si>
  <si>
    <t>Price at pump (excl. VAT) (SEK/litre)</t>
  </si>
  <si>
    <t>Fee per L if you sell fuel completely without mixture (should also be max price diff per litre)</t>
  </si>
  <si>
    <t xml:space="preserve">Max price diff per litre fuel 
Percentage biofuel * biofuel price (max diff) </t>
  </si>
  <si>
    <t xml:space="preserve">One L reduced fuel can cost this amount, if it costs more then it is profitable to only sell fossil and pay the fee. 
</t>
  </si>
  <si>
    <t>If you have to add more, increase the relative emissions difference cf. fossil, which increases the fee, which increases maximum price diff (higher level = higher willingness to pay for biofuel)</t>
  </si>
  <si>
    <t>For more detailed information on the calculation model, please see associated manual</t>
  </si>
  <si>
    <t>Using the calculation model</t>
  </si>
  <si>
    <t>The caluclation model consists of three parts</t>
  </si>
  <si>
    <t>Purpose and usage of the calculation model</t>
  </si>
  <si>
    <t>Different levels of investments per kilometer. These cells contain a drop down list where you can choose between "Low", "Medium" and "High".</t>
  </si>
  <si>
    <t>A function of other input variables. These values should not be altered.</t>
  </si>
  <si>
    <t>Adjustable cells. When choosing an actor, you will find a drop down list to choose from.</t>
  </si>
  <si>
    <t>RESULT: Illustrates costs, revenues and results for each actor in the system as well as CO2 effects. The result is also illustrated graphically.</t>
  </si>
  <si>
    <t>CALCULATION: Calculates the size of the investment, costs and revenues for each investment component and allocates them to different actors in the system.</t>
  </si>
  <si>
    <t>INPUT DATA: General input variables in the model. Use the values you see fit.</t>
  </si>
  <si>
    <t>The calculation model is a tool for the purpose of furthering the understanding of the monetary consequences for different actors in an electric road system in its entirety from a profit and loss (P&amp;L) perspective. The result from the calculation model gives the user a snapshot for a particular year. 
The calculation model can be used as basis for discussion in order to create an understanding of the implications of various prerequisites for the electric road operator and other actors in the electric road system. 
The calculation model must not be used to make investment decisions or similar. 
The application area for the calculation model only extends, on an overall level, to simulating consequences based on input data. Prior to an investment decision, the user should conduct his/her own analyses in his/her own models in order to obtain complete and accurate data. The Swedish Transport Administration accepts no responsibility for the investment decisions taken by another party and where the calculation model has been used..</t>
  </si>
  <si>
    <r>
      <t>A function of di</t>
    </r>
    <r>
      <rPr>
        <sz val="9"/>
        <rFont val="Arial"/>
        <family val="2"/>
      </rPr>
      <t>esel price SEK / litre</t>
    </r>
    <r>
      <rPr>
        <sz val="9"/>
        <color indexed="8"/>
        <rFont val="Arial"/>
        <family val="2"/>
        <charset val="1"/>
      </rPr>
      <t xml:space="preserve"> x diesel consumption/km</t>
    </r>
  </si>
  <si>
    <t>Vehicle manufacturer</t>
  </si>
  <si>
    <t>Financial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</si>
</sst>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_);_(@_)"/>
    <numFmt numFmtId="165" formatCode="#,##0.0"/>
    <numFmt numFmtId="166" formatCode="0.0000"/>
    <numFmt numFmtId="167" formatCode="0.0%"/>
    <numFmt numFmtId="168" formatCode="_-* #,##0.00\ _k_r_-;\-* #,##0.00\ _k_r_-;_-* \-??\ _k_r_-;_-@_-"/>
    <numFmt numFmtId="169" formatCode="0.000000000000"/>
    <numFmt numFmtId="170" formatCode="#,##0.0&quot; kr&quot;"/>
    <numFmt numFmtId="171" formatCode="0.0"/>
    <numFmt numFmtId="172" formatCode="0.00000"/>
    <numFmt numFmtId="173" formatCode="#,##0.00&quot; kr&quot;"/>
  </numFmts>
  <fonts count="32" x14ac:knownFonts="1">
    <font>
      <sz val="11"/>
      <color indexed="8"/>
      <name val="Calibri"/>
      <family val="2"/>
      <charset val="1"/>
    </font>
    <font>
      <sz val="10"/>
      <name val="Arial"/>
      <family val="2"/>
      <charset val="1"/>
    </font>
    <font>
      <b/>
      <sz val="10"/>
      <name val="Calibri Light"/>
      <family val="2"/>
      <charset val="1"/>
    </font>
    <font>
      <sz val="9"/>
      <color indexed="8"/>
      <name val="Arial"/>
      <family val="2"/>
      <charset val="1"/>
    </font>
    <font>
      <sz val="12"/>
      <name val="Calibri"/>
      <family val="1"/>
      <charset val="1"/>
    </font>
    <font>
      <sz val="12"/>
      <name val="Times New Roman"/>
      <family val="1"/>
    </font>
    <font>
      <b/>
      <sz val="9"/>
      <color indexed="8"/>
      <name val="Arial"/>
      <family val="2"/>
      <charset val="1"/>
    </font>
    <font>
      <b/>
      <sz val="9"/>
      <color indexed="9"/>
      <name val="Arial"/>
      <family val="2"/>
      <charset val="1"/>
    </font>
    <font>
      <sz val="9"/>
      <name val="Arial"/>
      <family val="2"/>
      <charset val="1"/>
    </font>
    <font>
      <sz val="9"/>
      <color indexed="9"/>
      <name val="Arial"/>
      <family val="2"/>
      <charset val="1"/>
    </font>
    <font>
      <b/>
      <sz val="9"/>
      <name val="Arial"/>
      <family val="2"/>
      <charset val="1"/>
    </font>
    <font>
      <b/>
      <sz val="9"/>
      <color indexed="8"/>
      <name val="Arial"/>
      <family val="2"/>
    </font>
    <font>
      <sz val="9"/>
      <color indexed="10"/>
      <name val="Arial"/>
      <family val="2"/>
      <charset val="1"/>
    </font>
    <font>
      <b/>
      <sz val="9"/>
      <color indexed="10"/>
      <name val="Arial"/>
      <family val="2"/>
      <charset val="1"/>
    </font>
    <font>
      <b/>
      <sz val="9"/>
      <name val="Arial"/>
      <family val="2"/>
    </font>
    <font>
      <b/>
      <sz val="15"/>
      <color indexed="62"/>
      <name val="Calibri"/>
      <family val="2"/>
      <charset val="1"/>
    </font>
    <font>
      <sz val="18"/>
      <color indexed="62"/>
      <name val="Calibri Light"/>
      <family val="2"/>
      <charset val="1"/>
    </font>
    <font>
      <sz val="9"/>
      <color indexed="8"/>
      <name val="Tahoma"/>
      <family val="2"/>
      <charset val="1"/>
    </font>
    <font>
      <i/>
      <sz val="11"/>
      <color indexed="8"/>
      <name val="Calibri"/>
      <family val="2"/>
      <charset val="1"/>
    </font>
    <font>
      <b/>
      <sz val="11"/>
      <color indexed="8"/>
      <name val="Calibri"/>
      <family val="2"/>
      <charset val="1"/>
    </font>
    <font>
      <sz val="11"/>
      <color indexed="10"/>
      <name val="Calibri"/>
      <family val="2"/>
      <charset val="1"/>
    </font>
    <font>
      <sz val="11"/>
      <color indexed="17"/>
      <name val="Calibri"/>
      <family val="2"/>
      <charset val="1"/>
    </font>
    <font>
      <i/>
      <sz val="11"/>
      <color indexed="10"/>
      <name val="Calibri"/>
      <family val="2"/>
      <charset val="1"/>
    </font>
    <font>
      <sz val="11"/>
      <name val="Calibri"/>
      <family val="2"/>
      <charset val="1"/>
    </font>
    <font>
      <i/>
      <sz val="11"/>
      <name val="Calibri"/>
      <family val="2"/>
      <charset val="1"/>
    </font>
    <font>
      <b/>
      <sz val="11"/>
      <name val="Calibri"/>
      <family val="2"/>
      <charset val="1"/>
    </font>
    <font>
      <b/>
      <sz val="9"/>
      <color indexed="8"/>
      <name val="Tahoma"/>
      <family val="2"/>
      <charset val="1"/>
    </font>
    <font>
      <sz val="11"/>
      <color indexed="8"/>
      <name val="Calibri"/>
      <family val="2"/>
      <charset val="1"/>
    </font>
    <font>
      <b/>
      <sz val="9"/>
      <color indexed="8"/>
      <name val="Tahoma"/>
      <family val="2"/>
    </font>
    <font>
      <b/>
      <sz val="9"/>
      <color rgb="FFFF0000"/>
      <name val="Arial"/>
      <family val="2"/>
    </font>
    <font>
      <sz val="11"/>
      <color indexed="8"/>
      <name val="Arial"/>
      <family val="2"/>
      <charset val="1"/>
    </font>
    <font>
      <sz val="9"/>
      <name val="Arial"/>
      <family val="2"/>
    </font>
  </fonts>
  <fills count="19">
    <fill>
      <patternFill patternType="none"/>
    </fill>
    <fill>
      <patternFill patternType="gray125"/>
    </fill>
    <fill>
      <patternFill patternType="solid">
        <fgColor indexed="41"/>
        <bgColor indexed="27"/>
      </patternFill>
    </fill>
    <fill>
      <patternFill patternType="solid">
        <fgColor indexed="42"/>
        <bgColor indexed="27"/>
      </patternFill>
    </fill>
    <fill>
      <patternFill patternType="solid">
        <fgColor indexed="9"/>
        <bgColor indexed="26"/>
      </patternFill>
    </fill>
    <fill>
      <patternFill patternType="solid">
        <fgColor indexed="8"/>
        <bgColor indexed="58"/>
      </patternFill>
    </fill>
    <fill>
      <patternFill patternType="solid">
        <fgColor indexed="48"/>
        <bgColor indexed="49"/>
      </patternFill>
    </fill>
    <fill>
      <patternFill patternType="solid">
        <fgColor indexed="26"/>
        <bgColor indexed="27"/>
      </patternFill>
    </fill>
    <fill>
      <patternFill patternType="solid">
        <fgColor indexed="13"/>
        <bgColor indexed="34"/>
      </patternFill>
    </fill>
    <fill>
      <patternFill patternType="solid">
        <fgColor indexed="22"/>
        <bgColor indexed="24"/>
      </patternFill>
    </fill>
    <fill>
      <patternFill patternType="solid">
        <fgColor indexed="27"/>
        <bgColor indexed="41"/>
      </patternFill>
    </fill>
    <fill>
      <patternFill patternType="solid">
        <fgColor indexed="51"/>
        <bgColor indexed="52"/>
      </patternFill>
    </fill>
    <fill>
      <patternFill patternType="solid">
        <fgColor indexed="23"/>
        <bgColor indexed="54"/>
      </patternFill>
    </fill>
    <fill>
      <patternFill patternType="solid">
        <fgColor indexed="54"/>
        <bgColor indexed="23"/>
      </patternFill>
    </fill>
    <fill>
      <patternFill patternType="solid">
        <fgColor indexed="19"/>
        <bgColor indexed="54"/>
      </patternFill>
    </fill>
    <fill>
      <patternFill patternType="solid">
        <fgColor theme="7"/>
        <bgColor indexed="64"/>
      </patternFill>
    </fill>
    <fill>
      <patternFill patternType="solid">
        <fgColor theme="9"/>
        <bgColor indexed="27"/>
      </patternFill>
    </fill>
    <fill>
      <patternFill patternType="solid">
        <fgColor theme="7"/>
        <bgColor indexed="27"/>
      </patternFill>
    </fill>
    <fill>
      <patternFill patternType="solid">
        <fgColor rgb="FFFF0000"/>
        <bgColor indexed="27"/>
      </patternFill>
    </fill>
  </fills>
  <borders count="45">
    <border>
      <left/>
      <right/>
      <top/>
      <bottom/>
      <diagonal/>
    </border>
    <border>
      <left/>
      <right/>
      <top/>
      <bottom style="thick">
        <color indexed="4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bottom/>
      <diagonal/>
    </border>
    <border>
      <left/>
      <right style="thin">
        <color indexed="8"/>
      </right>
      <top style="thin">
        <color indexed="8"/>
      </top>
      <bottom/>
      <diagonal/>
    </border>
  </borders>
  <cellStyleXfs count="9">
    <xf numFmtId="0" fontId="0" fillId="0" borderId="0"/>
    <xf numFmtId="168" fontId="27" fillId="0" borderId="0" applyFill="0" applyBorder="0" applyProtection="0"/>
    <xf numFmtId="9" fontId="27" fillId="0" borderId="0" applyFill="0" applyBorder="0" applyProtection="0"/>
    <xf numFmtId="164" fontId="27" fillId="0" borderId="0" applyFill="0" applyBorder="0" applyProtection="0"/>
    <xf numFmtId="0" fontId="1" fillId="0" borderId="0"/>
    <xf numFmtId="0" fontId="2" fillId="2" borderId="0" applyNumberFormat="0" applyBorder="0" applyProtection="0"/>
    <xf numFmtId="0" fontId="15" fillId="0" borderId="1" applyNumberFormat="0" applyFill="0" applyProtection="0"/>
    <xf numFmtId="0" fontId="16" fillId="0" borderId="0" applyNumberFormat="0" applyFill="0" applyBorder="0" applyProtection="0"/>
    <xf numFmtId="0" fontId="21" fillId="3" borderId="0" applyNumberFormat="0" applyBorder="0" applyProtection="0"/>
  </cellStyleXfs>
  <cellXfs count="265">
    <xf numFmtId="0" fontId="0" fillId="0" borderId="0" xfId="0"/>
    <xf numFmtId="0" fontId="0" fillId="4" borderId="0" xfId="0" applyFont="1" applyFill="1" applyAlignment="1"/>
    <xf numFmtId="0" fontId="3" fillId="4" borderId="0" xfId="0" applyFont="1" applyFill="1" applyAlignment="1">
      <alignment horizontal="center" vertical="center"/>
    </xf>
    <xf numFmtId="0" fontId="3" fillId="4" borderId="3"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7" fillId="4" borderId="0" xfId="0" applyFont="1" applyFill="1" applyBorder="1" applyAlignment="1">
      <alignment horizontal="center" vertical="center"/>
    </xf>
    <xf numFmtId="0" fontId="7" fillId="6" borderId="5" xfId="0" applyFont="1" applyFill="1" applyBorder="1" applyAlignment="1">
      <alignment horizontal="center" vertical="center"/>
    </xf>
    <xf numFmtId="0" fontId="3" fillId="4" borderId="0" xfId="0" applyFont="1" applyFill="1" applyBorder="1" applyAlignment="1">
      <alignment horizontal="center" vertical="center"/>
    </xf>
    <xf numFmtId="0" fontId="3" fillId="7" borderId="5" xfId="0" applyFont="1"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5"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4" borderId="12" xfId="0" applyFont="1" applyFill="1" applyBorder="1" applyAlignment="1">
      <alignment vertical="center"/>
    </xf>
    <xf numFmtId="3" fontId="3" fillId="4" borderId="0" xfId="0" applyNumberFormat="1" applyFont="1" applyFill="1" applyAlignment="1">
      <alignment vertical="center"/>
    </xf>
    <xf numFmtId="165" fontId="3" fillId="4" borderId="0" xfId="0" applyNumberFormat="1" applyFont="1" applyFill="1" applyAlignment="1">
      <alignment vertical="center"/>
    </xf>
    <xf numFmtId="0" fontId="3" fillId="4" borderId="0" xfId="0" applyFont="1" applyFill="1" applyAlignment="1">
      <alignment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3" fontId="3" fillId="7" borderId="18" xfId="0" applyNumberFormat="1" applyFont="1" applyFill="1" applyBorder="1" applyAlignment="1">
      <alignment horizontal="center" vertical="center"/>
    </xf>
    <xf numFmtId="3" fontId="3" fillId="4" borderId="18" xfId="0" applyNumberFormat="1" applyFont="1" applyFill="1" applyBorder="1" applyAlignment="1">
      <alignment horizontal="center" vertical="center"/>
    </xf>
    <xf numFmtId="9" fontId="9" fillId="4" borderId="0" xfId="2" applyFont="1" applyFill="1" applyBorder="1" applyAlignment="1" applyProtection="1">
      <alignment horizontal="left" vertical="center"/>
    </xf>
    <xf numFmtId="3" fontId="3" fillId="7" borderId="5"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9" fontId="3" fillId="7" borderId="23" xfId="0" applyNumberFormat="1" applyFont="1" applyFill="1" applyBorder="1" applyAlignment="1">
      <alignment horizontal="center" vertical="center"/>
    </xf>
    <xf numFmtId="9" fontId="3" fillId="4" borderId="23" xfId="0" applyNumberFormat="1" applyFont="1" applyFill="1" applyBorder="1" applyAlignment="1">
      <alignment horizontal="center" vertical="center"/>
    </xf>
    <xf numFmtId="0" fontId="3" fillId="4" borderId="2" xfId="0" applyFont="1" applyFill="1" applyBorder="1" applyAlignment="1">
      <alignment horizontal="left" vertical="center"/>
    </xf>
    <xf numFmtId="3" fontId="3" fillId="4" borderId="25" xfId="0" applyNumberFormat="1" applyFont="1" applyFill="1" applyBorder="1" applyAlignment="1">
      <alignment horizontal="center" vertical="center"/>
    </xf>
    <xf numFmtId="10" fontId="8" fillId="4" borderId="5" xfId="2" applyNumberFormat="1" applyFont="1" applyFill="1" applyBorder="1" applyAlignment="1" applyProtection="1">
      <alignment horizontal="center" vertical="center"/>
    </xf>
    <xf numFmtId="2" fontId="3" fillId="4" borderId="5" xfId="0" applyNumberFormat="1" applyFont="1" applyFill="1" applyBorder="1" applyAlignment="1">
      <alignment horizontal="center" vertical="center"/>
    </xf>
    <xf numFmtId="9" fontId="3" fillId="7" borderId="5" xfId="2" applyFont="1" applyFill="1" applyBorder="1" applyAlignment="1" applyProtection="1">
      <alignment horizontal="center" vertical="center"/>
    </xf>
    <xf numFmtId="9" fontId="3" fillId="4" borderId="5" xfId="2" applyFont="1" applyFill="1" applyBorder="1" applyAlignment="1" applyProtection="1">
      <alignment horizontal="center" vertical="center"/>
    </xf>
    <xf numFmtId="3" fontId="8" fillId="7" borderId="5" xfId="0" applyNumberFormat="1" applyFont="1" applyFill="1" applyBorder="1" applyAlignment="1">
      <alignment horizontal="center" vertical="center"/>
    </xf>
    <xf numFmtId="3" fontId="8" fillId="4" borderId="5" xfId="0" applyNumberFormat="1" applyFont="1" applyFill="1" applyBorder="1" applyAlignment="1">
      <alignment horizontal="center" vertical="center"/>
    </xf>
    <xf numFmtId="4" fontId="8" fillId="7" borderId="26" xfId="0" applyNumberFormat="1" applyFont="1" applyFill="1" applyBorder="1" applyAlignment="1">
      <alignment horizontal="center" vertical="center"/>
    </xf>
    <xf numFmtId="165" fontId="8" fillId="4" borderId="26" xfId="0" applyNumberFormat="1" applyFont="1" applyFill="1" applyBorder="1" applyAlignment="1">
      <alignment horizontal="center" vertical="center"/>
    </xf>
    <xf numFmtId="3" fontId="8" fillId="4" borderId="27" xfId="0" applyNumberFormat="1" applyFont="1" applyFill="1" applyBorder="1" applyAlignment="1">
      <alignment horizontal="center" vertical="center"/>
    </xf>
    <xf numFmtId="3" fontId="8" fillId="7" borderId="25" xfId="0" applyNumberFormat="1" applyFont="1" applyFill="1" applyBorder="1" applyAlignment="1">
      <alignment horizontal="center" vertical="center"/>
    </xf>
    <xf numFmtId="3" fontId="8" fillId="4" borderId="25" xfId="0" applyNumberFormat="1" applyFont="1" applyFill="1" applyBorder="1" applyAlignment="1">
      <alignment horizontal="center" vertical="center"/>
    </xf>
    <xf numFmtId="9" fontId="8" fillId="4" borderId="5" xfId="2" applyFont="1" applyFill="1" applyBorder="1" applyAlignment="1" applyProtection="1">
      <alignment horizontal="center" vertical="center"/>
    </xf>
    <xf numFmtId="3" fontId="3" fillId="7" borderId="23" xfId="0" applyNumberFormat="1" applyFont="1" applyFill="1" applyBorder="1" applyAlignment="1">
      <alignment horizontal="center" vertical="center"/>
    </xf>
    <xf numFmtId="3" fontId="3" fillId="4" borderId="23" xfId="0" applyNumberFormat="1" applyFont="1" applyFill="1" applyBorder="1" applyAlignment="1">
      <alignment horizontal="center" vertical="center"/>
    </xf>
    <xf numFmtId="4" fontId="3" fillId="7" borderId="25" xfId="2" applyNumberFormat="1" applyFont="1" applyFill="1" applyBorder="1" applyAlignment="1" applyProtection="1">
      <alignment horizontal="center" vertical="center"/>
    </xf>
    <xf numFmtId="4" fontId="3" fillId="4" borderId="25" xfId="2" applyNumberFormat="1" applyFont="1" applyFill="1" applyBorder="1" applyAlignment="1" applyProtection="1">
      <alignment horizontal="center" vertical="center"/>
    </xf>
    <xf numFmtId="2" fontId="3" fillId="7" borderId="5" xfId="0" applyNumberFormat="1" applyFont="1" applyFill="1" applyBorder="1" applyAlignment="1">
      <alignment horizontal="center" vertical="center"/>
    </xf>
    <xf numFmtId="0" fontId="12" fillId="4" borderId="0" xfId="2" applyNumberFormat="1" applyFont="1" applyFill="1" applyBorder="1" applyAlignment="1" applyProtection="1">
      <alignment horizontal="left" vertical="center"/>
    </xf>
    <xf numFmtId="9" fontId="8" fillId="4" borderId="0" xfId="2" applyFont="1" applyFill="1" applyBorder="1" applyAlignment="1" applyProtection="1">
      <alignment horizontal="left" vertical="center"/>
    </xf>
    <xf numFmtId="2" fontId="8" fillId="7" borderId="5" xfId="0" applyNumberFormat="1" applyFont="1" applyFill="1" applyBorder="1" applyAlignment="1">
      <alignment horizontal="center" vertical="center"/>
    </xf>
    <xf numFmtId="2" fontId="8" fillId="4" borderId="5" xfId="0" applyNumberFormat="1" applyFont="1" applyFill="1" applyBorder="1" applyAlignment="1">
      <alignment horizontal="center" vertical="center"/>
    </xf>
    <xf numFmtId="0" fontId="3" fillId="4" borderId="30" xfId="0" applyFont="1" applyFill="1" applyBorder="1" applyAlignment="1">
      <alignment vertical="center"/>
    </xf>
    <xf numFmtId="3" fontId="8" fillId="4" borderId="5" xfId="0" applyNumberFormat="1" applyFont="1" applyFill="1" applyBorder="1" applyAlignment="1">
      <alignment vertical="center"/>
    </xf>
    <xf numFmtId="4" fontId="8" fillId="4" borderId="5" xfId="0" applyNumberFormat="1" applyFont="1" applyFill="1" applyBorder="1" applyAlignment="1">
      <alignment vertical="center"/>
    </xf>
    <xf numFmtId="3" fontId="12" fillId="4" borderId="5" xfId="0" applyNumberFormat="1" applyFont="1" applyFill="1" applyBorder="1" applyAlignment="1">
      <alignment vertical="center"/>
    </xf>
    <xf numFmtId="1" fontId="3" fillId="4" borderId="21" xfId="0" applyNumberFormat="1" applyFont="1" applyFill="1" applyBorder="1" applyAlignment="1">
      <alignment horizontal="center" vertical="center"/>
    </xf>
    <xf numFmtId="0" fontId="3" fillId="4" borderId="20" xfId="0" applyFont="1" applyFill="1" applyBorder="1" applyAlignment="1">
      <alignment vertical="center"/>
    </xf>
    <xf numFmtId="2" fontId="8" fillId="4" borderId="26" xfId="0" applyNumberFormat="1" applyFont="1" applyFill="1" applyBorder="1" applyAlignment="1">
      <alignment horizontal="center" vertical="center"/>
    </xf>
    <xf numFmtId="9" fontId="12" fillId="4" borderId="0" xfId="2" applyFont="1" applyFill="1" applyBorder="1" applyAlignment="1" applyProtection="1">
      <alignment horizontal="left" vertical="center"/>
    </xf>
    <xf numFmtId="9" fontId="8" fillId="7" borderId="15" xfId="0" applyNumberFormat="1" applyFont="1" applyFill="1" applyBorder="1" applyAlignment="1">
      <alignment horizontal="center" vertical="center"/>
    </xf>
    <xf numFmtId="9" fontId="8" fillId="4" borderId="15" xfId="0" applyNumberFormat="1" applyFont="1" applyFill="1" applyBorder="1" applyAlignment="1">
      <alignment horizontal="center" vertical="center"/>
    </xf>
    <xf numFmtId="0" fontId="3" fillId="10" borderId="22" xfId="0" applyFont="1" applyFill="1" applyBorder="1" applyAlignment="1">
      <alignment vertical="center"/>
    </xf>
    <xf numFmtId="3" fontId="8" fillId="10" borderId="23" xfId="0" applyNumberFormat="1" applyFont="1" applyFill="1" applyBorder="1" applyAlignment="1">
      <alignment vertical="center"/>
    </xf>
    <xf numFmtId="4" fontId="8" fillId="10" borderId="23" xfId="0" applyNumberFormat="1" applyFont="1" applyFill="1" applyBorder="1" applyAlignment="1">
      <alignment vertical="center"/>
    </xf>
    <xf numFmtId="9" fontId="8" fillId="10" borderId="23" xfId="2" applyFont="1" applyFill="1" applyBorder="1" applyAlignment="1" applyProtection="1">
      <alignment horizontal="center" vertical="center"/>
    </xf>
    <xf numFmtId="3" fontId="12" fillId="10" borderId="23" xfId="0" applyNumberFormat="1" applyFont="1" applyFill="1" applyBorder="1" applyAlignment="1">
      <alignment vertical="center"/>
    </xf>
    <xf numFmtId="1" fontId="3" fillId="10" borderId="24" xfId="0" applyNumberFormat="1" applyFont="1" applyFill="1" applyBorder="1" applyAlignment="1">
      <alignment horizontal="center" vertical="center"/>
    </xf>
    <xf numFmtId="0" fontId="8" fillId="4" borderId="31" xfId="0" applyFont="1" applyFill="1" applyBorder="1" applyAlignment="1">
      <alignment horizontal="left" vertical="center" wrapText="1"/>
    </xf>
    <xf numFmtId="166" fontId="8" fillId="7" borderId="32" xfId="0" applyNumberFormat="1" applyFont="1" applyFill="1" applyBorder="1" applyAlignment="1">
      <alignment horizontal="center" vertical="center"/>
    </xf>
    <xf numFmtId="166" fontId="8" fillId="4" borderId="32" xfId="0" applyNumberFormat="1" applyFont="1" applyFill="1" applyBorder="1" applyAlignment="1">
      <alignment horizontal="center" vertical="center"/>
    </xf>
    <xf numFmtId="0" fontId="6" fillId="4" borderId="10" xfId="0" applyFont="1" applyFill="1" applyBorder="1" applyAlignment="1">
      <alignment vertical="center"/>
    </xf>
    <xf numFmtId="3" fontId="6" fillId="4" borderId="11" xfId="0" applyNumberFormat="1" applyFont="1" applyFill="1" applyBorder="1" applyAlignment="1">
      <alignment vertical="center"/>
    </xf>
    <xf numFmtId="4" fontId="6" fillId="4" borderId="11" xfId="0" applyNumberFormat="1" applyFont="1" applyFill="1" applyBorder="1" applyAlignment="1">
      <alignment vertical="center"/>
    </xf>
    <xf numFmtId="3" fontId="13" fillId="4" borderId="11" xfId="0" applyNumberFormat="1" applyFont="1" applyFill="1" applyBorder="1" applyAlignment="1">
      <alignment vertical="center"/>
    </xf>
    <xf numFmtId="1" fontId="3" fillId="4" borderId="33" xfId="0" applyNumberFormat="1" applyFont="1" applyFill="1" applyBorder="1" applyAlignment="1">
      <alignment horizontal="center" vertical="center"/>
    </xf>
    <xf numFmtId="10" fontId="0" fillId="0" borderId="0" xfId="0" applyNumberFormat="1"/>
    <xf numFmtId="0" fontId="6" fillId="4" borderId="0" xfId="0" applyFont="1" applyFill="1" applyBorder="1" applyAlignment="1">
      <alignment horizontal="center" vertical="center"/>
    </xf>
    <xf numFmtId="0" fontId="7" fillId="12" borderId="25"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12" borderId="36" xfId="0" applyFont="1" applyFill="1" applyBorder="1" applyAlignment="1">
      <alignment horizontal="center" vertical="center" wrapText="1"/>
    </xf>
    <xf numFmtId="3" fontId="3" fillId="4" borderId="21" xfId="0" applyNumberFormat="1" applyFont="1" applyFill="1" applyBorder="1" applyAlignment="1">
      <alignment horizontal="center" vertical="center"/>
    </xf>
    <xf numFmtId="3" fontId="3" fillId="4" borderId="37" xfId="0" applyNumberFormat="1" applyFont="1" applyFill="1" applyBorder="1" applyAlignment="1">
      <alignment horizontal="center" vertical="center"/>
    </xf>
    <xf numFmtId="167" fontId="3" fillId="7" borderId="5" xfId="0" applyNumberFormat="1" applyFont="1" applyFill="1" applyBorder="1" applyAlignment="1">
      <alignment horizontal="center" vertical="center"/>
    </xf>
    <xf numFmtId="3" fontId="3" fillId="13" borderId="38"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0" fontId="3" fillId="7" borderId="39" xfId="0" applyFont="1" applyFill="1" applyBorder="1" applyAlignment="1">
      <alignment horizontal="center" vertical="center"/>
    </xf>
    <xf numFmtId="168" fontId="3" fillId="4" borderId="0" xfId="1" applyFont="1" applyFill="1" applyBorder="1" applyAlignment="1" applyProtection="1">
      <alignment vertical="center"/>
    </xf>
    <xf numFmtId="0" fontId="3" fillId="14" borderId="5" xfId="0" applyFont="1" applyFill="1" applyBorder="1" applyAlignment="1">
      <alignment horizontal="center" vertical="center"/>
    </xf>
    <xf numFmtId="3" fontId="3" fillId="13" borderId="5" xfId="0" applyNumberFormat="1" applyFont="1" applyFill="1" applyBorder="1" applyAlignment="1">
      <alignment horizontal="center" vertical="center"/>
    </xf>
    <xf numFmtId="3" fontId="3" fillId="13" borderId="21" xfId="0" applyNumberFormat="1" applyFont="1" applyFill="1" applyBorder="1" applyAlignment="1">
      <alignment horizontal="center" vertical="center"/>
    </xf>
    <xf numFmtId="167" fontId="3" fillId="14" borderId="5" xfId="0" applyNumberFormat="1" applyFont="1" applyFill="1" applyBorder="1" applyAlignment="1">
      <alignment horizontal="center" vertical="center"/>
    </xf>
    <xf numFmtId="3" fontId="8" fillId="4" borderId="38" xfId="0" applyNumberFormat="1" applyFont="1" applyFill="1" applyBorder="1" applyAlignment="1">
      <alignment horizontal="center" vertical="center"/>
    </xf>
    <xf numFmtId="3" fontId="3" fillId="14" borderId="5" xfId="0" applyNumberFormat="1" applyFont="1" applyFill="1" applyBorder="1" applyAlignment="1">
      <alignment horizontal="center" vertical="center"/>
    </xf>
    <xf numFmtId="3" fontId="8" fillId="7" borderId="23" xfId="0" applyNumberFormat="1" applyFont="1" applyFill="1" applyBorder="1" applyAlignment="1">
      <alignment horizontal="center" vertical="center"/>
    </xf>
    <xf numFmtId="9" fontId="8" fillId="7" borderId="23" xfId="2" applyFont="1" applyFill="1" applyBorder="1" applyAlignment="1" applyProtection="1">
      <alignment horizontal="center" vertical="center"/>
    </xf>
    <xf numFmtId="3" fontId="3" fillId="4" borderId="24" xfId="0" applyNumberFormat="1" applyFont="1" applyFill="1" applyBorder="1" applyAlignment="1">
      <alignment horizontal="center" vertical="center"/>
    </xf>
    <xf numFmtId="3" fontId="3" fillId="4" borderId="40" xfId="0" applyNumberFormat="1" applyFont="1" applyFill="1" applyBorder="1" applyAlignment="1">
      <alignment horizontal="center" vertical="center"/>
    </xf>
    <xf numFmtId="3" fontId="3" fillId="14" borderId="23" xfId="0" applyNumberFormat="1" applyFont="1" applyFill="1" applyBorder="1" applyAlignment="1">
      <alignment horizontal="center" vertical="center"/>
    </xf>
    <xf numFmtId="3" fontId="3" fillId="7" borderId="24" xfId="0" applyNumberFormat="1" applyFont="1" applyFill="1" applyBorder="1" applyAlignment="1">
      <alignment horizontal="center" vertical="center"/>
    </xf>
    <xf numFmtId="3" fontId="3" fillId="13" borderId="41" xfId="0" applyNumberFormat="1" applyFont="1" applyFill="1" applyBorder="1" applyAlignment="1">
      <alignment horizontal="center" vertical="center"/>
    </xf>
    <xf numFmtId="10" fontId="3" fillId="4" borderId="23" xfId="2" applyNumberFormat="1" applyFont="1" applyFill="1" applyBorder="1" applyAlignment="1" applyProtection="1">
      <alignment horizontal="center" vertical="center"/>
    </xf>
    <xf numFmtId="3" fontId="3" fillId="4" borderId="24" xfId="0" applyNumberFormat="1" applyFont="1" applyFill="1" applyBorder="1" applyAlignment="1">
      <alignment horizontal="center" vertical="center" wrapText="1"/>
    </xf>
    <xf numFmtId="0" fontId="3" fillId="7" borderId="42" xfId="0" applyFont="1" applyFill="1" applyBorder="1" applyAlignment="1">
      <alignment horizontal="center" vertical="center"/>
    </xf>
    <xf numFmtId="0" fontId="8" fillId="4" borderId="0" xfId="0" applyFont="1" applyFill="1" applyBorder="1" applyAlignment="1">
      <alignment vertical="center"/>
    </xf>
    <xf numFmtId="0" fontId="8" fillId="4" borderId="0" xfId="0" applyFont="1" applyFill="1" applyBorder="1" applyAlignment="1">
      <alignment horizontal="center"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9" fontId="8" fillId="4" borderId="0" xfId="0" applyNumberFormat="1" applyFont="1" applyFill="1" applyAlignment="1">
      <alignment horizontal="center" vertical="center"/>
    </xf>
    <xf numFmtId="3" fontId="8" fillId="4" borderId="0" xfId="0" applyNumberFormat="1" applyFont="1" applyFill="1" applyBorder="1" applyAlignment="1">
      <alignment horizontal="center" vertical="center"/>
    </xf>
    <xf numFmtId="2" fontId="10" fillId="4" borderId="0" xfId="0" applyNumberFormat="1" applyFont="1" applyFill="1" applyBorder="1" applyAlignment="1">
      <alignment vertical="center"/>
    </xf>
    <xf numFmtId="10" fontId="10" fillId="4" borderId="0" xfId="2" applyNumberFormat="1" applyFont="1" applyFill="1" applyBorder="1" applyAlignment="1" applyProtection="1">
      <alignment horizontal="center" vertical="center"/>
    </xf>
    <xf numFmtId="169" fontId="10" fillId="4" borderId="0" xfId="0" applyNumberFormat="1" applyFont="1" applyFill="1" applyBorder="1" applyAlignment="1">
      <alignment vertical="center"/>
    </xf>
    <xf numFmtId="0" fontId="7" fillId="4" borderId="0" xfId="6" applyNumberFormat="1" applyFont="1" applyFill="1" applyBorder="1" applyAlignment="1" applyProtection="1">
      <alignment vertical="center"/>
    </xf>
    <xf numFmtId="0" fontId="7" fillId="4" borderId="0" xfId="6" applyNumberFormat="1" applyFont="1" applyFill="1" applyBorder="1" applyAlignment="1" applyProtection="1">
      <alignment horizontal="center" vertical="center"/>
    </xf>
    <xf numFmtId="0" fontId="10" fillId="4" borderId="0" xfId="6" applyNumberFormat="1" applyFont="1" applyFill="1" applyBorder="1" applyAlignment="1" applyProtection="1">
      <alignment vertical="center"/>
    </xf>
    <xf numFmtId="9" fontId="8" fillId="4" borderId="0" xfId="2" applyFont="1" applyFill="1" applyBorder="1" applyAlignment="1" applyProtection="1">
      <alignment horizontal="center" vertical="center"/>
    </xf>
    <xf numFmtId="165" fontId="8" fillId="4" borderId="0" xfId="7" applyNumberFormat="1" applyFont="1" applyFill="1" applyBorder="1" applyAlignment="1" applyProtection="1">
      <alignment horizontal="right" vertical="center"/>
    </xf>
    <xf numFmtId="165" fontId="8" fillId="4" borderId="0" xfId="5" applyNumberFormat="1" applyFont="1" applyFill="1" applyBorder="1" applyAlignment="1" applyProtection="1">
      <alignment horizontal="right" vertical="center"/>
    </xf>
    <xf numFmtId="3" fontId="8" fillId="4" borderId="0" xfId="7" applyNumberFormat="1" applyFont="1" applyFill="1" applyBorder="1" applyAlignment="1" applyProtection="1">
      <alignment horizontal="right" vertical="center"/>
    </xf>
    <xf numFmtId="3" fontId="8" fillId="4" borderId="0" xfId="2" applyNumberFormat="1" applyFont="1" applyFill="1" applyBorder="1" applyAlignment="1" applyProtection="1">
      <alignment horizontal="right" vertical="center"/>
    </xf>
    <xf numFmtId="9" fontId="8" fillId="4" borderId="0" xfId="2" applyFont="1" applyFill="1" applyBorder="1" applyAlignment="1" applyProtection="1">
      <alignment horizontal="right" vertical="center"/>
    </xf>
    <xf numFmtId="0" fontId="3" fillId="4" borderId="0" xfId="0" applyFont="1" applyFill="1" applyBorder="1" applyAlignment="1">
      <alignment horizontal="right" vertical="center"/>
    </xf>
    <xf numFmtId="0" fontId="8" fillId="4" borderId="0" xfId="7" applyNumberFormat="1" applyFont="1" applyFill="1" applyBorder="1" applyAlignment="1" applyProtection="1">
      <alignment horizontal="right" vertical="center"/>
    </xf>
    <xf numFmtId="3" fontId="8" fillId="4" borderId="0" xfId="2" applyNumberFormat="1" applyFont="1" applyFill="1" applyBorder="1" applyAlignment="1" applyProtection="1">
      <alignment horizontal="center" vertical="center"/>
    </xf>
    <xf numFmtId="3" fontId="8" fillId="4" borderId="0" xfId="7" applyNumberFormat="1" applyFont="1" applyFill="1" applyBorder="1" applyAlignment="1" applyProtection="1">
      <alignment horizontal="center" vertical="center"/>
    </xf>
    <xf numFmtId="0" fontId="7" fillId="4" borderId="0" xfId="6" applyNumberFormat="1" applyFont="1" applyFill="1" applyBorder="1" applyAlignment="1" applyProtection="1">
      <alignment horizontal="left" vertical="center"/>
    </xf>
    <xf numFmtId="3" fontId="8" fillId="4" borderId="0" xfId="7" applyNumberFormat="1" applyFont="1" applyFill="1" applyBorder="1" applyAlignment="1" applyProtection="1">
      <alignment vertical="center"/>
    </xf>
    <xf numFmtId="9" fontId="8" fillId="4" borderId="0" xfId="2" applyFont="1" applyFill="1" applyBorder="1" applyAlignment="1" applyProtection="1">
      <alignment vertical="center"/>
    </xf>
    <xf numFmtId="0" fontId="0" fillId="4" borderId="0" xfId="0" applyFill="1"/>
    <xf numFmtId="0" fontId="0" fillId="4" borderId="0" xfId="0" applyFill="1" applyAlignment="1">
      <alignment horizontal="left"/>
    </xf>
    <xf numFmtId="0" fontId="18" fillId="4" borderId="0" xfId="0" applyFont="1" applyFill="1"/>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0" fillId="4" borderId="13" xfId="0" applyFont="1" applyFill="1" applyBorder="1"/>
    <xf numFmtId="0" fontId="0" fillId="4" borderId="4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26" xfId="0" applyFont="1" applyFill="1" applyBorder="1" applyAlignment="1">
      <alignment horizontal="center" vertical="center"/>
    </xf>
    <xf numFmtId="0" fontId="20" fillId="4" borderId="0" xfId="0" applyFont="1" applyFill="1" applyAlignment="1">
      <alignment horizontal="left" vertical="center"/>
    </xf>
    <xf numFmtId="0" fontId="0" fillId="4" borderId="34" xfId="0" applyFont="1" applyFill="1" applyBorder="1"/>
    <xf numFmtId="0" fontId="0" fillId="4" borderId="34"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43" xfId="0" applyFont="1" applyFill="1" applyBorder="1" applyAlignment="1">
      <alignment vertical="center"/>
    </xf>
    <xf numFmtId="167" fontId="21" fillId="4" borderId="43" xfId="8" applyNumberFormat="1" applyFill="1" applyBorder="1" applyAlignment="1" applyProtection="1">
      <alignment horizontal="center" vertical="center"/>
    </xf>
    <xf numFmtId="10" fontId="21" fillId="4" borderId="0" xfId="8" applyNumberFormat="1" applyFill="1" applyBorder="1" applyAlignment="1" applyProtection="1">
      <alignment horizontal="center" vertical="center"/>
    </xf>
    <xf numFmtId="0" fontId="18" fillId="4" borderId="0" xfId="0" applyFont="1" applyFill="1" applyAlignment="1">
      <alignment horizontal="left" vertical="center" wrapText="1"/>
    </xf>
    <xf numFmtId="0" fontId="0" fillId="4" borderId="43" xfId="0" applyFont="1" applyFill="1" applyBorder="1" applyAlignment="1">
      <alignment vertical="center" wrapText="1"/>
    </xf>
    <xf numFmtId="170" fontId="21" fillId="4" borderId="43" xfId="8" applyNumberFormat="1" applyFill="1" applyBorder="1" applyAlignment="1" applyProtection="1">
      <alignment horizontal="center" vertical="center"/>
    </xf>
    <xf numFmtId="170" fontId="21" fillId="4" borderId="0" xfId="8" applyNumberFormat="1" applyFill="1" applyBorder="1" applyAlignment="1" applyProtection="1">
      <alignment horizontal="center" vertical="center"/>
    </xf>
    <xf numFmtId="0" fontId="22" fillId="4" borderId="0" xfId="0" applyFont="1" applyFill="1" applyAlignment="1">
      <alignment horizontal="left" vertical="center" wrapText="1"/>
    </xf>
    <xf numFmtId="10" fontId="0" fillId="4" borderId="43" xfId="0" applyNumberFormat="1" applyFill="1" applyBorder="1" applyAlignment="1">
      <alignment horizontal="center" vertical="center"/>
    </xf>
    <xf numFmtId="10" fontId="0" fillId="4" borderId="0" xfId="0" applyNumberFormat="1" applyFill="1" applyAlignment="1">
      <alignment horizontal="center" vertical="center"/>
    </xf>
    <xf numFmtId="171" fontId="0" fillId="4" borderId="43" xfId="0" applyNumberFormat="1" applyFill="1" applyBorder="1" applyAlignment="1">
      <alignment horizontal="center" vertical="center"/>
    </xf>
    <xf numFmtId="0" fontId="0" fillId="4" borderId="0" xfId="0" applyFill="1" applyAlignment="1">
      <alignment horizontal="center" vertical="center"/>
    </xf>
    <xf numFmtId="170" fontId="20" fillId="4" borderId="0" xfId="0" applyNumberFormat="1" applyFont="1" applyFill="1" applyAlignment="1">
      <alignment horizontal="left" vertical="center"/>
    </xf>
    <xf numFmtId="1" fontId="0" fillId="4" borderId="43" xfId="0" applyNumberFormat="1" applyFill="1" applyBorder="1" applyAlignment="1">
      <alignment horizontal="center" vertical="center"/>
    </xf>
    <xf numFmtId="1" fontId="0" fillId="4" borderId="0" xfId="0" applyNumberFormat="1" applyFill="1" applyAlignment="1">
      <alignment horizontal="center" vertical="center"/>
    </xf>
    <xf numFmtId="172" fontId="0" fillId="4" borderId="0" xfId="0" applyNumberFormat="1" applyFill="1" applyAlignment="1">
      <alignment horizontal="center" vertical="center"/>
    </xf>
    <xf numFmtId="171" fontId="0" fillId="4" borderId="0" xfId="0" applyNumberFormat="1" applyFill="1" applyAlignment="1">
      <alignment horizontal="center" vertical="center"/>
    </xf>
    <xf numFmtId="173" fontId="0" fillId="4" borderId="43" xfId="2" applyNumberFormat="1" applyFont="1" applyFill="1" applyBorder="1" applyAlignment="1" applyProtection="1">
      <alignment horizontal="center" vertical="center"/>
    </xf>
    <xf numFmtId="173" fontId="0" fillId="4" borderId="0" xfId="2" applyNumberFormat="1" applyFont="1" applyFill="1" applyBorder="1" applyAlignment="1" applyProtection="1">
      <alignment horizontal="center" vertical="center"/>
    </xf>
    <xf numFmtId="0" fontId="20" fillId="4" borderId="0" xfId="0" applyFont="1" applyFill="1" applyAlignment="1">
      <alignment horizontal="left"/>
    </xf>
    <xf numFmtId="0" fontId="0" fillId="4" borderId="43" xfId="0" applyFill="1" applyBorder="1" applyAlignment="1">
      <alignment horizontal="center" vertical="center"/>
    </xf>
    <xf numFmtId="173" fontId="23" fillId="4" borderId="43" xfId="0" applyNumberFormat="1" applyFont="1" applyFill="1" applyBorder="1" applyAlignment="1">
      <alignment horizontal="center" vertical="center"/>
    </xf>
    <xf numFmtId="173" fontId="0" fillId="4" borderId="0" xfId="0" applyNumberFormat="1" applyFill="1" applyAlignment="1">
      <alignment horizontal="center" vertical="center"/>
    </xf>
    <xf numFmtId="173" fontId="20" fillId="4" borderId="0" xfId="0" applyNumberFormat="1" applyFont="1" applyFill="1" applyAlignment="1">
      <alignment horizontal="left" vertical="center"/>
    </xf>
    <xf numFmtId="173" fontId="21" fillId="4" borderId="43" xfId="8" applyNumberFormat="1" applyFill="1" applyBorder="1" applyAlignment="1" applyProtection="1">
      <alignment horizontal="center" vertical="center"/>
    </xf>
    <xf numFmtId="173" fontId="21" fillId="4" borderId="0" xfId="8" applyNumberFormat="1" applyFill="1" applyBorder="1" applyAlignment="1" applyProtection="1">
      <alignment horizontal="center" vertical="center"/>
    </xf>
    <xf numFmtId="2" fontId="0" fillId="4" borderId="0" xfId="0" applyNumberFormat="1" applyFill="1"/>
    <xf numFmtId="173" fontId="0" fillId="4" borderId="43" xfId="0" applyNumberFormat="1" applyFill="1" applyBorder="1" applyAlignment="1">
      <alignment horizontal="center" vertical="center"/>
    </xf>
    <xf numFmtId="0" fontId="23" fillId="4" borderId="43" xfId="0" applyFont="1" applyFill="1" applyBorder="1" applyAlignment="1">
      <alignment vertical="center" wrapText="1"/>
    </xf>
    <xf numFmtId="173" fontId="23" fillId="4" borderId="0" xfId="0" applyNumberFormat="1" applyFont="1" applyFill="1" applyAlignment="1">
      <alignment horizontal="center" vertical="center"/>
    </xf>
    <xf numFmtId="0" fontId="23" fillId="4" borderId="43" xfId="0" applyFont="1" applyFill="1" applyBorder="1" applyAlignment="1">
      <alignment vertical="center"/>
    </xf>
    <xf numFmtId="0" fontId="24" fillId="4" borderId="0" xfId="0" applyFont="1" applyFill="1" applyAlignment="1">
      <alignment wrapText="1"/>
    </xf>
    <xf numFmtId="0" fontId="25" fillId="4" borderId="0" xfId="0" applyFont="1" applyFill="1" applyAlignment="1">
      <alignment horizontal="center" vertical="center"/>
    </xf>
    <xf numFmtId="10" fontId="25" fillId="4" borderId="0" xfId="0" applyNumberFormat="1" applyFont="1" applyFill="1" applyAlignment="1">
      <alignment horizontal="center" vertical="center"/>
    </xf>
    <xf numFmtId="173" fontId="25" fillId="4" borderId="43" xfId="0" applyNumberFormat="1" applyFont="1" applyFill="1" applyBorder="1" applyAlignment="1">
      <alignment horizontal="center" vertical="center"/>
    </xf>
    <xf numFmtId="0" fontId="0" fillId="4" borderId="31" xfId="0" applyFont="1" applyFill="1" applyBorder="1" applyAlignment="1">
      <alignment vertical="center" wrapText="1"/>
    </xf>
    <xf numFmtId="173" fontId="23" fillId="4" borderId="31" xfId="0" applyNumberFormat="1" applyFont="1" applyFill="1" applyBorder="1" applyAlignment="1">
      <alignment horizontal="center" vertical="center"/>
    </xf>
    <xf numFmtId="0" fontId="18" fillId="4" borderId="0" xfId="0" applyFont="1" applyFill="1" applyAlignment="1">
      <alignment horizontal="left"/>
    </xf>
    <xf numFmtId="0" fontId="0" fillId="4" borderId="0" xfId="0" applyFont="1" applyFill="1" applyAlignment="1">
      <alignment horizontal="center"/>
    </xf>
    <xf numFmtId="9" fontId="8" fillId="4" borderId="0" xfId="0" applyNumberFormat="1" applyFont="1" applyFill="1" applyBorder="1" applyAlignment="1">
      <alignment horizontal="center" vertical="center"/>
    </xf>
    <xf numFmtId="0" fontId="30" fillId="16" borderId="5" xfId="0" applyFont="1" applyFill="1" applyBorder="1" applyAlignment="1">
      <alignment horizontal="center" vertical="center"/>
    </xf>
    <xf numFmtId="0" fontId="30" fillId="17" borderId="5" xfId="0" applyFont="1" applyFill="1" applyBorder="1" applyAlignment="1">
      <alignment horizontal="center" vertical="center"/>
    </xf>
    <xf numFmtId="0" fontId="30" fillId="18" borderId="5" xfId="0" applyFont="1" applyFill="1" applyBorder="1" applyAlignment="1">
      <alignment horizontal="center" vertical="center"/>
    </xf>
    <xf numFmtId="0" fontId="3" fillId="18" borderId="5" xfId="0" applyFont="1" applyFill="1" applyBorder="1" applyAlignment="1">
      <alignment horizontal="center" vertical="center"/>
    </xf>
    <xf numFmtId="0" fontId="0" fillId="0" borderId="0" xfId="0" applyAlignment="1">
      <alignment horizontal="left"/>
    </xf>
    <xf numFmtId="0" fontId="3" fillId="4" borderId="0" xfId="0" applyFont="1" applyFill="1" applyBorder="1" applyAlignment="1">
      <alignment horizontal="left" vertical="center"/>
    </xf>
    <xf numFmtId="3" fontId="6" fillId="4" borderId="11" xfId="0" applyNumberFormat="1" applyFont="1" applyFill="1" applyBorder="1" applyAlignment="1">
      <alignment horizontal="left" vertical="center"/>
    </xf>
    <xf numFmtId="0" fontId="7" fillId="12" borderId="28" xfId="0" applyFont="1" applyFill="1" applyBorder="1" applyAlignment="1">
      <alignment horizontal="left" vertical="center" wrapText="1"/>
    </xf>
    <xf numFmtId="0" fontId="3" fillId="7" borderId="20" xfId="0" applyFont="1" applyFill="1" applyBorder="1" applyAlignment="1">
      <alignment horizontal="left" vertical="center"/>
    </xf>
    <xf numFmtId="0" fontId="3" fillId="7" borderId="22" xfId="0" applyFont="1" applyFill="1" applyBorder="1" applyAlignment="1">
      <alignment horizontal="left" vertical="center"/>
    </xf>
    <xf numFmtId="3" fontId="8" fillId="4" borderId="0" xfId="0" applyNumberFormat="1" applyFont="1" applyFill="1" applyBorder="1" applyAlignment="1">
      <alignment horizontal="left" vertical="center"/>
    </xf>
    <xf numFmtId="2" fontId="10" fillId="4" borderId="0" xfId="0" applyNumberFormat="1" applyFont="1" applyFill="1" applyBorder="1" applyAlignment="1">
      <alignment horizontal="left" vertical="center"/>
    </xf>
    <xf numFmtId="0" fontId="0" fillId="4" borderId="0" xfId="0" applyFont="1" applyFill="1" applyAlignment="1">
      <alignment horizontal="left"/>
    </xf>
    <xf numFmtId="0" fontId="8" fillId="4" borderId="0" xfId="0" applyFont="1" applyFill="1" applyBorder="1" applyAlignment="1">
      <alignment horizontal="left" vertical="center"/>
    </xf>
    <xf numFmtId="0" fontId="3" fillId="7" borderId="38" xfId="0" applyFont="1" applyFill="1" applyBorder="1" applyAlignment="1">
      <alignment horizontal="left" vertical="center"/>
    </xf>
    <xf numFmtId="0" fontId="3" fillId="14" borderId="38" xfId="0" applyFont="1" applyFill="1" applyBorder="1" applyAlignment="1">
      <alignment horizontal="left" vertical="center"/>
    </xf>
    <xf numFmtId="0" fontId="6" fillId="8" borderId="0" xfId="0" applyFont="1" applyFill="1" applyBorder="1" applyAlignment="1">
      <alignment horizontal="center" vertical="center"/>
    </xf>
    <xf numFmtId="0" fontId="4" fillId="5" borderId="2" xfId="0" applyFont="1" applyFill="1" applyBorder="1" applyAlignment="1">
      <alignment horizontal="center" vertical="center"/>
    </xf>
    <xf numFmtId="0" fontId="6" fillId="2" borderId="5"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29" fillId="15" borderId="0" xfId="0" applyFont="1" applyFill="1" applyBorder="1" applyAlignment="1">
      <alignment horizontal="center" vertical="center"/>
    </xf>
    <xf numFmtId="14" fontId="8" fillId="4" borderId="37" xfId="0" applyNumberFormat="1" applyFont="1" applyFill="1" applyBorder="1" applyAlignment="1">
      <alignment horizontal="left" vertical="center"/>
    </xf>
    <xf numFmtId="3" fontId="3" fillId="4" borderId="37" xfId="0" applyNumberFormat="1" applyFont="1" applyFill="1" applyBorder="1" applyAlignment="1">
      <alignment horizontal="center" vertical="center"/>
    </xf>
    <xf numFmtId="3" fontId="3" fillId="13" borderId="37" xfId="0" applyNumberFormat="1" applyFont="1" applyFill="1" applyBorder="1" applyAlignment="1">
      <alignment horizontal="center" vertical="center"/>
    </xf>
    <xf numFmtId="14" fontId="8" fillId="4" borderId="40" xfId="0" applyNumberFormat="1" applyFont="1" applyFill="1" applyBorder="1" applyAlignment="1">
      <alignment horizontal="left" vertical="center"/>
    </xf>
    <xf numFmtId="3" fontId="3" fillId="4" borderId="40" xfId="0" applyNumberFormat="1" applyFont="1" applyFill="1" applyBorder="1" applyAlignment="1">
      <alignment horizontal="center" vertical="center"/>
    </xf>
    <xf numFmtId="14" fontId="10" fillId="11" borderId="34" xfId="0" applyNumberFormat="1" applyFont="1" applyFill="1" applyBorder="1" applyAlignment="1">
      <alignment horizontal="center" vertical="center"/>
    </xf>
    <xf numFmtId="0" fontId="14" fillId="11" borderId="31" xfId="0" applyFont="1" applyFill="1" applyBorder="1" applyAlignment="1">
      <alignment horizontal="center" vertical="center" wrapText="1"/>
    </xf>
    <xf numFmtId="0" fontId="11" fillId="11" borderId="2" xfId="0" applyFont="1" applyFill="1" applyBorder="1" applyAlignment="1">
      <alignment horizontal="center" vertical="center"/>
    </xf>
    <xf numFmtId="0" fontId="11" fillId="11" borderId="35" xfId="0" applyFont="1" applyFill="1" applyBorder="1" applyAlignment="1">
      <alignment horizontal="center" vertical="center" wrapText="1"/>
    </xf>
    <xf numFmtId="0" fontId="7" fillId="12" borderId="28" xfId="0" applyFont="1" applyFill="1" applyBorder="1" applyAlignment="1">
      <alignment horizontal="left" vertical="center" wrapText="1"/>
    </xf>
    <xf numFmtId="0" fontId="7" fillId="12" borderId="27"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14" fillId="4" borderId="2" xfId="0" applyFont="1" applyFill="1" applyBorder="1" applyAlignment="1">
      <alignment horizontal="center" vertical="center"/>
    </xf>
    <xf numFmtId="0" fontId="7" fillId="12" borderId="35"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1" fillId="4" borderId="14" xfId="0" applyFont="1" applyFill="1" applyBorder="1" applyAlignment="1">
      <alignment horizontal="left" vertical="center"/>
    </xf>
    <xf numFmtId="0" fontId="3" fillId="4" borderId="16" xfId="0" applyFont="1" applyFill="1" applyBorder="1" applyAlignment="1">
      <alignment horizontal="left" vertical="center"/>
    </xf>
    <xf numFmtId="9" fontId="8" fillId="10" borderId="23" xfId="2" applyFont="1" applyFill="1" applyBorder="1" applyAlignment="1" applyProtection="1">
      <alignment horizontal="center" vertical="center"/>
    </xf>
    <xf numFmtId="0" fontId="7" fillId="6" borderId="2" xfId="0" applyFont="1" applyFill="1" applyBorder="1" applyAlignment="1">
      <alignment horizontal="center" vertical="center"/>
    </xf>
    <xf numFmtId="0" fontId="6" fillId="4" borderId="20" xfId="0" applyFont="1" applyFill="1" applyBorder="1" applyAlignment="1">
      <alignment horizontal="left" vertical="center"/>
    </xf>
    <xf numFmtId="0" fontId="3" fillId="4" borderId="21" xfId="0" applyFont="1" applyFill="1" applyBorder="1" applyAlignment="1">
      <alignment horizontal="left" vertical="center"/>
    </xf>
    <xf numFmtId="9" fontId="8" fillId="4" borderId="5" xfId="2" applyFont="1" applyFill="1" applyBorder="1" applyAlignment="1" applyProtection="1">
      <alignment horizontal="center" vertical="center"/>
    </xf>
    <xf numFmtId="0" fontId="6" fillId="4" borderId="22" xfId="0" applyFont="1" applyFill="1" applyBorder="1" applyAlignment="1">
      <alignment horizontal="left" vertical="center"/>
    </xf>
    <xf numFmtId="0" fontId="3" fillId="4" borderId="24" xfId="0" applyFont="1" applyFill="1" applyBorder="1" applyAlignment="1">
      <alignment horizontal="left" vertical="center"/>
    </xf>
    <xf numFmtId="0" fontId="10" fillId="2" borderId="2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8" fillId="0" borderId="21" xfId="0" applyFont="1" applyFill="1" applyBorder="1" applyAlignment="1">
      <alignment horizontal="left" vertical="center"/>
    </xf>
    <xf numFmtId="3" fontId="6" fillId="4" borderId="24" xfId="0" applyNumberFormat="1" applyFont="1" applyFill="1" applyBorder="1" applyAlignment="1">
      <alignment horizontal="center" vertical="center"/>
    </xf>
    <xf numFmtId="0" fontId="3" fillId="4" borderId="21" xfId="0" applyFont="1" applyFill="1" applyBorder="1" applyAlignment="1">
      <alignment horizontal="center" vertical="center"/>
    </xf>
    <xf numFmtId="0" fontId="6" fillId="9" borderId="2" xfId="0" applyFont="1" applyFill="1" applyBorder="1" applyAlignment="1">
      <alignment horizontal="left" vertical="center"/>
    </xf>
    <xf numFmtId="0" fontId="3" fillId="4" borderId="2" xfId="0" applyFont="1" applyFill="1" applyBorder="1" applyAlignment="1">
      <alignment horizontal="left" vertical="center"/>
    </xf>
    <xf numFmtId="0" fontId="6" fillId="4" borderId="17" xfId="0" applyFont="1" applyFill="1" applyBorder="1" applyAlignment="1">
      <alignment horizontal="left" vertical="center"/>
    </xf>
    <xf numFmtId="0" fontId="3" fillId="4" borderId="19" xfId="0" applyFont="1" applyFill="1" applyBorder="1" applyAlignment="1">
      <alignment horizontal="left" vertical="center"/>
    </xf>
    <xf numFmtId="3" fontId="6" fillId="4" borderId="22" xfId="0" applyNumberFormat="1" applyFont="1" applyFill="1" applyBorder="1" applyAlignment="1">
      <alignment horizontal="center" vertical="center"/>
    </xf>
    <xf numFmtId="3" fontId="6" fillId="4" borderId="23" xfId="0" applyNumberFormat="1" applyFont="1" applyFill="1" applyBorder="1" applyAlignment="1">
      <alignment horizontal="center" vertical="center"/>
    </xf>
    <xf numFmtId="0" fontId="6" fillId="4" borderId="17" xfId="0" applyFont="1" applyFill="1" applyBorder="1" applyAlignment="1">
      <alignment horizontal="center" vertical="center"/>
    </xf>
    <xf numFmtId="14" fontId="10" fillId="2" borderId="2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10" fillId="0" borderId="20" xfId="0" applyFont="1" applyFill="1" applyBorder="1" applyAlignment="1">
      <alignment horizontal="left" vertical="center"/>
    </xf>
    <xf numFmtId="0" fontId="11" fillId="9" borderId="2" xfId="0" applyFont="1" applyFill="1" applyBorder="1" applyAlignment="1">
      <alignment horizontal="left" vertical="center"/>
    </xf>
    <xf numFmtId="0" fontId="6" fillId="2" borderId="2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8" fillId="0" borderId="19" xfId="0" applyFont="1" applyFill="1" applyBorder="1" applyAlignment="1">
      <alignment horizontal="left" vertical="center"/>
    </xf>
    <xf numFmtId="0" fontId="3" fillId="0" borderId="21"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20" xfId="0" applyFont="1" applyFill="1" applyBorder="1" applyAlignment="1">
      <alignment horizontal="left" vertical="center"/>
    </xf>
    <xf numFmtId="0" fontId="10" fillId="0" borderId="22" xfId="0" applyFont="1" applyFill="1" applyBorder="1" applyAlignment="1">
      <alignment horizontal="left" vertical="center"/>
    </xf>
    <xf numFmtId="0" fontId="7" fillId="6" borderId="13"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8" fillId="4" borderId="2" xfId="0" applyFont="1" applyFill="1" applyBorder="1" applyAlignment="1">
      <alignment horizontal="center" vertical="center" wrapText="1"/>
    </xf>
    <xf numFmtId="0" fontId="3" fillId="4" borderId="19" xfId="0" applyFont="1" applyFill="1" applyBorder="1" applyAlignment="1">
      <alignment horizontal="center" vertical="center"/>
    </xf>
    <xf numFmtId="0" fontId="0" fillId="4" borderId="0" xfId="0" applyFont="1" applyFill="1" applyBorder="1" applyAlignment="1">
      <alignment horizontal="left" vertical="top" wrapText="1"/>
    </xf>
  </cellXfs>
  <cellStyles count="9">
    <cellStyle name="Comma 2" xfId="3"/>
    <cellStyle name="Excel Built-in Good" xfId="8"/>
    <cellStyle name="Excel Built-in Heading 1" xfId="6"/>
    <cellStyle name="Excel Built-in Title" xfId="7"/>
    <cellStyle name="Normal" xfId="0" builtinId="0"/>
    <cellStyle name="Normal 3" xfId="4"/>
    <cellStyle name="Procent" xfId="2" builtinId="5"/>
    <cellStyle name="Title 2" xfId="5"/>
    <cellStyle name="Tusental" xfId="1" builtinId="3"/>
  </cellStyles>
  <dxfs count="16">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
      <font>
        <b val="0"/>
        <condense val="0"/>
        <extend val="0"/>
        <sz val="11"/>
        <color indexed="8"/>
      </font>
      <fill>
        <patternFill patternType="solid">
          <fgColor indexed="16"/>
          <bgColor indexed="10"/>
        </patternFill>
      </fill>
    </dxf>
    <dxf>
      <font>
        <b val="0"/>
        <condense val="0"/>
        <extend val="0"/>
        <sz val="11"/>
        <color indexed="8"/>
      </font>
      <fill>
        <patternFill patternType="solid">
          <fgColor indexed="52"/>
          <bgColor indexed="51"/>
        </patternFill>
      </fill>
    </dxf>
    <dxf>
      <font>
        <b val="0"/>
        <condense val="0"/>
        <extend val="0"/>
        <sz val="11"/>
        <color indexed="8"/>
      </font>
      <fill>
        <patternFill patternType="solid">
          <fgColor indexed="50"/>
          <bgColor indexed="57"/>
        </patternFill>
      </fill>
    </dxf>
    <dxf>
      <font>
        <color rgb="FFFF0000"/>
      </font>
      <fill>
        <patternFill>
          <bgColor theme="7"/>
        </patternFill>
      </fill>
    </dxf>
    <dxf>
      <font>
        <b val="0"/>
        <condense val="0"/>
        <extend val="0"/>
        <sz val="11"/>
        <color indexed="8"/>
      </font>
      <fill>
        <patternFill patternType="solid">
          <fgColor indexed="52"/>
          <bgColor indexed="51"/>
        </patternFill>
      </fill>
    </dxf>
    <dxf>
      <font>
        <b val="0"/>
        <condense val="0"/>
        <extend val="0"/>
        <sz val="11"/>
        <color indexed="8"/>
      </font>
      <fill>
        <patternFill patternType="solid">
          <fgColor indexed="16"/>
          <bgColor indexed="10"/>
        </patternFill>
      </fill>
    </dxf>
    <dxf>
      <font>
        <b val="0"/>
        <condense val="0"/>
        <extend val="0"/>
        <sz val="11"/>
        <color indexed="8"/>
      </font>
      <fill>
        <patternFill patternType="solid">
          <fgColor indexed="52"/>
          <bgColor indexed="51"/>
        </patternFill>
      </fill>
    </dxf>
    <dxf>
      <font>
        <b val="0"/>
        <condense val="0"/>
        <extend val="0"/>
        <sz val="11"/>
        <color indexed="8"/>
      </font>
      <fill>
        <patternFill patternType="solid">
          <fgColor indexed="50"/>
          <bgColor indexed="57"/>
        </patternFill>
      </fill>
    </dxf>
    <dxf>
      <font>
        <b val="0"/>
        <condense val="0"/>
        <extend val="0"/>
        <sz val="11"/>
        <color indexed="8"/>
      </font>
      <fill>
        <patternFill patternType="solid">
          <fgColor indexed="57"/>
          <bgColor indexed="50"/>
        </patternFill>
      </fill>
    </dxf>
    <dxf>
      <font>
        <b val="0"/>
        <condense val="0"/>
        <extend val="0"/>
        <sz val="11"/>
        <color indexed="9"/>
      </font>
      <fill>
        <patternFill patternType="solid">
          <fgColor indexed="16"/>
          <bgColor indexed="10"/>
        </patternFill>
      </fill>
    </dxf>
    <dxf>
      <font>
        <b val="0"/>
        <condense val="0"/>
        <extend val="0"/>
        <sz val="11"/>
        <color indexed="10"/>
      </font>
    </dxf>
    <dxf>
      <font>
        <b val="0"/>
        <condense val="0"/>
        <extend val="0"/>
        <sz val="11"/>
        <color indexed="8"/>
      </font>
      <fill>
        <patternFill patternType="solid">
          <fgColor indexed="16"/>
          <bgColor indexed="10"/>
        </patternFill>
      </fill>
    </dxf>
    <dxf>
      <font>
        <b val="0"/>
        <condense val="0"/>
        <extend val="0"/>
        <sz val="11"/>
        <color indexed="8"/>
      </font>
      <fill>
        <patternFill patternType="solid">
          <fgColor indexed="52"/>
          <bgColor indexed="51"/>
        </patternFill>
      </fill>
    </dxf>
    <dxf>
      <font>
        <b val="0"/>
        <condense val="0"/>
        <extend val="0"/>
        <sz val="11"/>
        <color indexed="8"/>
      </font>
      <fill>
        <patternFill patternType="solid">
          <fgColor indexed="50"/>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7F7966"/>
      <rgbColor rgb="00800080"/>
      <rgbColor rgb="00008080"/>
      <rgbColor rgb="00BFBFBF"/>
      <rgbColor rgb="00808080"/>
      <rgbColor rgb="00A5A5A5"/>
      <rgbColor rgb="00993366"/>
      <rgbColor rgb="00FFF2CC"/>
      <rgbColor rgb="00E2F0D9"/>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E7E6E6"/>
      <rgbColor rgb="00C6EFCE"/>
      <rgbColor rgb="00FFFF99"/>
      <rgbColor rgb="0099CCFF"/>
      <rgbColor rgb="00FF99CC"/>
      <rgbColor rgb="00CC99FF"/>
      <rgbColor rgb="00FFC7CE"/>
      <rgbColor rgb="004472C4"/>
      <rgbColor rgb="005B9BD5"/>
      <rgbColor rgb="0092D050"/>
      <rgbColor rgb="00FFC000"/>
      <rgbColor rgb="00FF9900"/>
      <rgbColor rgb="00ED7D31"/>
      <rgbColor rgb="007F7F80"/>
      <rgbColor rgb="008B8B8B"/>
      <rgbColor rgb="00003366"/>
      <rgbColor rgb="0070AD47"/>
      <rgbColor rgb="00003300"/>
      <rgbColor rgb="00333300"/>
      <rgbColor rgb="00993300"/>
      <rgbColor rgb="00993366"/>
      <rgbColor rgb="0044546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Distribution of user fees per actor</a:t>
            </a:r>
          </a:p>
        </c:rich>
      </c:tx>
      <c:layout>
        <c:manualLayout>
          <c:xMode val="edge"/>
          <c:yMode val="edge"/>
          <c:x val="0.14832553211621108"/>
          <c:y val="4.2654127143177817E-2"/>
        </c:manualLayout>
      </c:layout>
      <c:overlay val="0"/>
      <c:spPr>
        <a:noFill/>
        <a:ln w="25400">
          <a:noFill/>
        </a:ln>
      </c:spPr>
    </c:title>
    <c:autoTitleDeleted val="0"/>
    <c:plotArea>
      <c:layout>
        <c:manualLayout>
          <c:layoutTarget val="inner"/>
          <c:xMode val="edge"/>
          <c:yMode val="edge"/>
          <c:x val="6.4593376889317725E-2"/>
          <c:y val="0.43128061889213126"/>
          <c:w val="0.2583735075572709"/>
          <c:h val="0.5118495257181338"/>
        </c:manualLayout>
      </c:layout>
      <c:pieChart>
        <c:varyColors val="1"/>
        <c:ser>
          <c:idx val="0"/>
          <c:order val="0"/>
          <c:spPr>
            <a:solidFill>
              <a:srgbClr val="4472C4"/>
            </a:solidFill>
            <a:ln w="25400">
              <a:noFill/>
            </a:ln>
          </c:spPr>
          <c:dPt>
            <c:idx val="0"/>
            <c:bubble3D val="0"/>
            <c:spPr>
              <a:solidFill>
                <a:srgbClr val="70AD47"/>
              </a:solidFill>
              <a:ln w="25400">
                <a:solidFill>
                  <a:srgbClr val="FFFFFF"/>
                </a:solidFill>
                <a:prstDash val="solid"/>
              </a:ln>
            </c:spPr>
            <c:extLst>
              <c:ext xmlns:c16="http://schemas.microsoft.com/office/drawing/2014/chart" uri="{C3380CC4-5D6E-409C-BE32-E72D297353CC}">
                <c16:uniqueId val="{00000001-24B4-4F1B-B046-171B9C245143}"/>
              </c:ext>
            </c:extLst>
          </c:dPt>
          <c:dPt>
            <c:idx val="1"/>
            <c:bubble3D val="0"/>
            <c:spPr>
              <a:solidFill>
                <a:srgbClr val="ED7D31"/>
              </a:solidFill>
              <a:ln w="25400">
                <a:solidFill>
                  <a:srgbClr val="FFFFFF"/>
                </a:solidFill>
                <a:prstDash val="solid"/>
              </a:ln>
            </c:spPr>
            <c:extLst>
              <c:ext xmlns:c16="http://schemas.microsoft.com/office/drawing/2014/chart" uri="{C3380CC4-5D6E-409C-BE32-E72D297353CC}">
                <c16:uniqueId val="{00000003-24B4-4F1B-B046-171B9C245143}"/>
              </c:ext>
            </c:extLst>
          </c:dPt>
          <c:dPt>
            <c:idx val="2"/>
            <c:bubble3D val="0"/>
            <c:spPr>
              <a:solidFill>
                <a:srgbClr val="A5A5A5"/>
              </a:solidFill>
              <a:ln w="25400">
                <a:solidFill>
                  <a:srgbClr val="FFFFFF"/>
                </a:solidFill>
                <a:prstDash val="solid"/>
              </a:ln>
            </c:spPr>
            <c:extLst>
              <c:ext xmlns:c16="http://schemas.microsoft.com/office/drawing/2014/chart" uri="{C3380CC4-5D6E-409C-BE32-E72D297353CC}">
                <c16:uniqueId val="{00000005-24B4-4F1B-B046-171B9C245143}"/>
              </c:ext>
            </c:extLst>
          </c:dPt>
          <c:dPt>
            <c:idx val="3"/>
            <c:bubble3D val="0"/>
            <c:spPr>
              <a:solidFill>
                <a:srgbClr val="FFC000"/>
              </a:solidFill>
              <a:ln w="25400">
                <a:solidFill>
                  <a:srgbClr val="FFFFFF"/>
                </a:solidFill>
                <a:prstDash val="solid"/>
              </a:ln>
            </c:spPr>
            <c:extLst>
              <c:ext xmlns:c16="http://schemas.microsoft.com/office/drawing/2014/chart" uri="{C3380CC4-5D6E-409C-BE32-E72D297353CC}">
                <c16:uniqueId val="{00000007-24B4-4F1B-B046-171B9C245143}"/>
              </c:ext>
            </c:extLst>
          </c:dPt>
          <c:dPt>
            <c:idx val="4"/>
            <c:bubble3D val="0"/>
            <c:spPr>
              <a:solidFill>
                <a:srgbClr val="5B9BD5"/>
              </a:solidFill>
              <a:ln w="25400">
                <a:solidFill>
                  <a:srgbClr val="FFFFFF"/>
                </a:solidFill>
                <a:prstDash val="solid"/>
              </a:ln>
            </c:spPr>
            <c:extLst>
              <c:ext xmlns:c16="http://schemas.microsoft.com/office/drawing/2014/chart" uri="{C3380CC4-5D6E-409C-BE32-E72D297353CC}">
                <c16:uniqueId val="{00000009-24B4-4F1B-B046-171B9C245143}"/>
              </c:ext>
            </c:extLst>
          </c:dPt>
          <c:dPt>
            <c:idx val="5"/>
            <c:bubble3D val="0"/>
            <c:spPr>
              <a:solidFill>
                <a:srgbClr val="70AD47"/>
              </a:solidFill>
              <a:ln w="25400">
                <a:solidFill>
                  <a:srgbClr val="FFFFFF"/>
                </a:solidFill>
                <a:prstDash val="solid"/>
              </a:ln>
            </c:spPr>
            <c:extLst>
              <c:ext xmlns:c16="http://schemas.microsoft.com/office/drawing/2014/chart" uri="{C3380CC4-5D6E-409C-BE32-E72D297353CC}">
                <c16:uniqueId val="{0000000B-24B4-4F1B-B046-171B9C245143}"/>
              </c:ext>
            </c:extLst>
          </c:dPt>
          <c:dLbls>
            <c:dLbl>
              <c:idx val="0"/>
              <c:spPr>
                <a:noFill/>
                <a:ln w="25400">
                  <a:noFill/>
                </a:ln>
              </c:spPr>
              <c:txPr>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1-24B4-4F1B-B046-171B9C245143}"/>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3-24B4-4F1B-B046-171B9C245143}"/>
                </c:ext>
              </c:extLst>
            </c:dLbl>
            <c:dLbl>
              <c:idx val="2"/>
              <c:spPr>
                <a:noFill/>
                <a:ln w="25400">
                  <a:noFill/>
                </a:ln>
              </c:spPr>
              <c:txPr>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5-24B4-4F1B-B046-171B9C245143}"/>
                </c:ext>
              </c:extLst>
            </c:dLbl>
            <c:dLbl>
              <c:idx val="3"/>
              <c:spPr>
                <a:noFill/>
                <a:ln w="25400">
                  <a:noFill/>
                </a:ln>
              </c:spPr>
              <c:txPr>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7-24B4-4F1B-B046-171B9C245143}"/>
                </c:ext>
              </c:extLst>
            </c:dLbl>
            <c:dLbl>
              <c:idx val="4"/>
              <c:spPr>
                <a:noFill/>
                <a:ln w="25400">
                  <a:noFill/>
                </a:ln>
              </c:spPr>
              <c:txPr>
                <a:bodyPr/>
                <a:lstStyle/>
                <a:p>
                  <a:pPr>
                    <a:defRPr sz="10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9-24B4-4F1B-B046-171B9C245143}"/>
                </c:ext>
              </c:extLst>
            </c:dLbl>
            <c:dLbl>
              <c:idx val="5"/>
              <c:spPr>
                <a:noFill/>
                <a:ln w="25400">
                  <a:noFill/>
                </a:ln>
              </c:spPr>
              <c:txPr>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extLst>
                <c:ext xmlns:c16="http://schemas.microsoft.com/office/drawing/2014/chart" uri="{C3380CC4-5D6E-409C-BE32-E72D297353CC}">
                  <c16:uniqueId val="{0000000B-24B4-4F1B-B046-171B9C24514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sv-SE"/>
              </a:p>
            </c:txPr>
            <c:showLegendKey val="0"/>
            <c:showVal val="0"/>
            <c:showCatName val="0"/>
            <c:showSerName val="0"/>
            <c:showPercent val="1"/>
            <c:showBubbleSize val="0"/>
            <c:showLeaderLines val="0"/>
            <c:extLst>
              <c:ext xmlns:c15="http://schemas.microsoft.com/office/drawing/2012/chart" uri="{CE6537A1-D6FC-4f65-9D91-7224C49458BB}"/>
            </c:extLst>
          </c:dLbls>
          <c:cat>
            <c:strRef>
              <c:f>'Calculation model'!$P$26:$P$31</c:f>
              <c:strCache>
                <c:ptCount val="6"/>
                <c:pt idx="0">
                  <c:v>Operator</c:v>
                </c:pt>
                <c:pt idx="1">
                  <c:v>Swedish Transport Administration</c:v>
                </c:pt>
                <c:pt idx="2">
                  <c:v>Haulage contractor</c:v>
                </c:pt>
                <c:pt idx="3">
                  <c:v>Electricity grid operator</c:v>
                </c:pt>
                <c:pt idx="4">
                  <c:v>Electricity supplier</c:v>
                </c:pt>
                <c:pt idx="5">
                  <c:v>Vehicle manufacturer</c:v>
                </c:pt>
              </c:strCache>
            </c:strRef>
          </c:cat>
          <c:val>
            <c:numRef>
              <c:f>'Calculation model'!$T$26:$T$31</c:f>
              <c:numCache>
                <c:formatCode>#,##0.00</c:formatCode>
                <c:ptCount val="6"/>
                <c:pt idx="0">
                  <c:v>1.1388629588271815</c:v>
                </c:pt>
                <c:pt idx="1">
                  <c:v>0</c:v>
                </c:pt>
                <c:pt idx="2">
                  <c:v>2.2634754178715895</c:v>
                </c:pt>
                <c:pt idx="3">
                  <c:v>1.1375</c:v>
                </c:pt>
                <c:pt idx="4">
                  <c:v>0</c:v>
                </c:pt>
                <c:pt idx="5">
                  <c:v>0</c:v>
                </c:pt>
              </c:numCache>
            </c:numRef>
          </c:val>
          <c:extLst>
            <c:ext xmlns:c16="http://schemas.microsoft.com/office/drawing/2014/chart" uri="{C3380CC4-5D6E-409C-BE32-E72D297353CC}">
              <c16:uniqueId val="{0000000C-24B4-4F1B-B046-171B9C245143}"/>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41866077613446673"/>
          <c:y val="0.42180192397142507"/>
          <c:w val="0.53827814074431435"/>
          <c:h val="0.45497735619389668"/>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sv-SE"/>
        </a:p>
      </c:txPr>
    </c:legend>
    <c:plotVisOnly val="1"/>
    <c:dispBlanksAs val="zero"/>
    <c:showDLblsOverMax val="0"/>
  </c:chart>
  <c:spPr>
    <a:solidFill>
      <a:srgbClr val="FFFFFF"/>
    </a:solidFill>
    <a:ln w="25400">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sv-SE"/>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Result per actor</a:t>
            </a:r>
          </a:p>
        </c:rich>
      </c:tx>
      <c:layout>
        <c:manualLayout>
          <c:xMode val="edge"/>
          <c:yMode val="edge"/>
          <c:x val="0.3502938767943875"/>
          <c:y val="4.4776336949709214E-2"/>
        </c:manualLayout>
      </c:layout>
      <c:overlay val="0"/>
      <c:spPr>
        <a:noFill/>
        <a:ln w="25400">
          <a:noFill/>
        </a:ln>
      </c:spPr>
    </c:title>
    <c:autoTitleDeleted val="0"/>
    <c:plotArea>
      <c:layout>
        <c:manualLayout>
          <c:layoutTarget val="inner"/>
          <c:xMode val="edge"/>
          <c:yMode val="edge"/>
          <c:x val="0.17025456581626658"/>
          <c:y val="0.33333495284783526"/>
          <c:w val="0.8003921542396899"/>
          <c:h val="0.23880713039844914"/>
        </c:manualLayout>
      </c:layout>
      <c:barChart>
        <c:barDir val="col"/>
        <c:grouping val="clustered"/>
        <c:varyColors val="0"/>
        <c:ser>
          <c:idx val="0"/>
          <c:order val="0"/>
          <c:spPr>
            <a:solidFill>
              <a:srgbClr val="4472C4"/>
            </a:solidFill>
            <a:ln w="25400">
              <a:noFill/>
            </a:ln>
          </c:spPr>
          <c:invertIfNegative val="0"/>
          <c:dPt>
            <c:idx val="0"/>
            <c:invertIfNegative val="0"/>
            <c:bubble3D val="0"/>
            <c:spPr>
              <a:solidFill>
                <a:srgbClr val="70AD47"/>
              </a:solidFill>
              <a:ln w="25400">
                <a:noFill/>
              </a:ln>
            </c:spPr>
            <c:extLst>
              <c:ext xmlns:c16="http://schemas.microsoft.com/office/drawing/2014/chart" uri="{C3380CC4-5D6E-409C-BE32-E72D297353CC}">
                <c16:uniqueId val="{00000001-BF91-4873-AADB-5F2B5C1AD37E}"/>
              </c:ext>
            </c:extLst>
          </c:dPt>
          <c:dPt>
            <c:idx val="1"/>
            <c:invertIfNegative val="0"/>
            <c:bubble3D val="0"/>
            <c:spPr>
              <a:solidFill>
                <a:srgbClr val="ED7D31"/>
              </a:solidFill>
              <a:ln w="25400">
                <a:noFill/>
              </a:ln>
            </c:spPr>
            <c:extLst>
              <c:ext xmlns:c16="http://schemas.microsoft.com/office/drawing/2014/chart" uri="{C3380CC4-5D6E-409C-BE32-E72D297353CC}">
                <c16:uniqueId val="{00000003-BF91-4873-AADB-5F2B5C1AD37E}"/>
              </c:ext>
            </c:extLst>
          </c:dPt>
          <c:dPt>
            <c:idx val="2"/>
            <c:invertIfNegative val="0"/>
            <c:bubble3D val="0"/>
            <c:spPr>
              <a:solidFill>
                <a:srgbClr val="A5A5A5"/>
              </a:solidFill>
              <a:ln w="25400">
                <a:noFill/>
              </a:ln>
            </c:spPr>
            <c:extLst>
              <c:ext xmlns:c16="http://schemas.microsoft.com/office/drawing/2014/chart" uri="{C3380CC4-5D6E-409C-BE32-E72D297353CC}">
                <c16:uniqueId val="{00000005-BF91-4873-AADB-5F2B5C1AD37E}"/>
              </c:ext>
            </c:extLst>
          </c:dPt>
          <c:dPt>
            <c:idx val="3"/>
            <c:invertIfNegative val="0"/>
            <c:bubble3D val="0"/>
            <c:spPr>
              <a:solidFill>
                <a:srgbClr val="FFC000"/>
              </a:solidFill>
              <a:ln w="25400">
                <a:noFill/>
              </a:ln>
            </c:spPr>
            <c:extLst>
              <c:ext xmlns:c16="http://schemas.microsoft.com/office/drawing/2014/chart" uri="{C3380CC4-5D6E-409C-BE32-E72D297353CC}">
                <c16:uniqueId val="{00000007-BF91-4873-AADB-5F2B5C1AD37E}"/>
              </c:ext>
            </c:extLst>
          </c:dPt>
          <c:dPt>
            <c:idx val="4"/>
            <c:invertIfNegative val="0"/>
            <c:bubble3D val="0"/>
            <c:spPr>
              <a:solidFill>
                <a:srgbClr val="5B9BD5"/>
              </a:solidFill>
              <a:ln w="25400">
                <a:noFill/>
              </a:ln>
            </c:spPr>
            <c:extLst>
              <c:ext xmlns:c16="http://schemas.microsoft.com/office/drawing/2014/chart" uri="{C3380CC4-5D6E-409C-BE32-E72D297353CC}">
                <c16:uniqueId val="{00000009-BF91-4873-AADB-5F2B5C1AD37E}"/>
              </c:ext>
            </c:extLst>
          </c:dPt>
          <c:cat>
            <c:strRef>
              <c:f>'Calculation model'!$P$26:$P$32</c:f>
              <c:strCache>
                <c:ptCount val="7"/>
                <c:pt idx="0">
                  <c:v>Operator</c:v>
                </c:pt>
                <c:pt idx="1">
                  <c:v>Swedish Transport Administration</c:v>
                </c:pt>
                <c:pt idx="2">
                  <c:v>Haulage contractor</c:v>
                </c:pt>
                <c:pt idx="3">
                  <c:v>Electricity grid operator</c:v>
                </c:pt>
                <c:pt idx="4">
                  <c:v>Electricity supplier</c:v>
                </c:pt>
                <c:pt idx="5">
                  <c:v>Vehicle manufacturer</c:v>
                </c:pt>
                <c:pt idx="6">
                  <c:v>The State</c:v>
                </c:pt>
              </c:strCache>
            </c:strRef>
          </c:cat>
          <c:val>
            <c:numRef>
              <c:f>'Calculation model'!$U$26:$U$32</c:f>
              <c:numCache>
                <c:formatCode>#,##0</c:formatCode>
                <c:ptCount val="7"/>
                <c:pt idx="0">
                  <c:v>-16348687.441037741</c:v>
                </c:pt>
                <c:pt idx="1">
                  <c:v>-4125000.0000000009</c:v>
                </c:pt>
                <c:pt idx="2">
                  <c:v>-3903971.5624999981</c:v>
                </c:pt>
                <c:pt idx="3">
                  <c:v>-10443046.875</c:v>
                </c:pt>
                <c:pt idx="4">
                  <c:v>0</c:v>
                </c:pt>
                <c:pt idx="5">
                  <c:v>0</c:v>
                </c:pt>
                <c:pt idx="6">
                  <c:v>-1520077.2890625005</c:v>
                </c:pt>
              </c:numCache>
            </c:numRef>
          </c:val>
          <c:extLst>
            <c:ext xmlns:c16="http://schemas.microsoft.com/office/drawing/2014/chart" uri="{C3380CC4-5D6E-409C-BE32-E72D297353CC}">
              <c16:uniqueId val="{0000000A-BF91-4873-AADB-5F2B5C1AD37E}"/>
            </c:ext>
          </c:extLst>
        </c:ser>
        <c:dLbls>
          <c:showLegendKey val="0"/>
          <c:showVal val="0"/>
          <c:showCatName val="0"/>
          <c:showSerName val="0"/>
          <c:showPercent val="0"/>
          <c:showBubbleSize val="0"/>
        </c:dLbls>
        <c:gapWidth val="219"/>
        <c:overlap val="-27"/>
        <c:axId val="159261440"/>
        <c:axId val="159262976"/>
      </c:barChart>
      <c:catAx>
        <c:axId val="159261440"/>
        <c:scaling>
          <c:orientation val="minMax"/>
        </c:scaling>
        <c:delete val="0"/>
        <c:axPos val="b"/>
        <c:numFmt formatCode="General" sourceLinked="1"/>
        <c:majorTickMark val="none"/>
        <c:minorTickMark val="none"/>
        <c:tickLblPos val="low"/>
        <c:spPr>
          <a:ln w="12700">
            <a:solidFill>
              <a:srgbClr val="D9D9D9"/>
            </a:solidFill>
            <a:prstDash val="solid"/>
          </a:ln>
        </c:spPr>
        <c:txPr>
          <a:bodyPr rot="-5400000" vert="horz"/>
          <a:lstStyle/>
          <a:p>
            <a:pPr>
              <a:defRPr sz="800" b="0" i="0" u="none" strike="noStrike" baseline="0">
                <a:solidFill>
                  <a:srgbClr val="000000"/>
                </a:solidFill>
                <a:latin typeface="Arial"/>
                <a:ea typeface="Arial"/>
                <a:cs typeface="Arial"/>
              </a:defRPr>
            </a:pPr>
            <a:endParaRPr lang="sv-SE"/>
          </a:p>
        </c:txPr>
        <c:crossAx val="159262976"/>
        <c:crossesAt val="0"/>
        <c:auto val="1"/>
        <c:lblAlgn val="ctr"/>
        <c:lblOffset val="100"/>
        <c:tickLblSkip val="1"/>
        <c:tickMarkSkip val="1"/>
        <c:noMultiLvlLbl val="0"/>
      </c:catAx>
      <c:valAx>
        <c:axId val="159262976"/>
        <c:scaling>
          <c:orientation val="minMax"/>
        </c:scaling>
        <c:delete val="0"/>
        <c:axPos val="l"/>
        <c:majorGridlines>
          <c:spPr>
            <a:ln w="12700">
              <a:solidFill>
                <a:srgbClr val="D9D9D9"/>
              </a:solidFill>
              <a:prstDash val="solid"/>
            </a:ln>
          </c:spPr>
        </c:majorGridlines>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sv-SE"/>
          </a:p>
        </c:txPr>
        <c:crossAx val="159261440"/>
        <c:crossesAt val="1"/>
        <c:crossBetween val="between"/>
      </c:valAx>
      <c:spPr>
        <a:noFill/>
        <a:ln w="25400">
          <a:noFill/>
        </a:ln>
      </c:spPr>
    </c:plotArea>
    <c:plotVisOnly val="1"/>
    <c:dispBlanksAs val="gap"/>
    <c:showDLblsOverMax val="0"/>
  </c:chart>
  <c:spPr>
    <a:solidFill>
      <a:srgbClr val="FFFFFF"/>
    </a:solidFill>
    <a:ln w="25400">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sv-SE"/>
    </a:p>
  </c:txPr>
  <c:printSettings>
    <c:headerFooter alignWithMargins="0"/>
    <c:pageMargins b="1" l="0.75" r="0.75" t="1" header="0.51180555555555551" footer="0.51180555555555551"/>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Reduced emissions (tonnes CO2/year)</a:t>
            </a:r>
          </a:p>
        </c:rich>
      </c:tx>
      <c:layout>
        <c:manualLayout>
          <c:xMode val="edge"/>
          <c:yMode val="edge"/>
          <c:x val="0.13815789473684212"/>
          <c:y val="2.9850746268656716E-2"/>
        </c:manualLayout>
      </c:layout>
      <c:overlay val="0"/>
      <c:spPr>
        <a:noFill/>
        <a:ln w="25400">
          <a:noFill/>
        </a:ln>
      </c:spPr>
    </c:title>
    <c:autoTitleDeleted val="0"/>
    <c:plotArea>
      <c:layout>
        <c:manualLayout>
          <c:layoutTarget val="inner"/>
          <c:xMode val="edge"/>
          <c:yMode val="edge"/>
          <c:x val="0.38815789473684209"/>
          <c:y val="0.23880597014925373"/>
          <c:w val="0.51315789473684215"/>
          <c:h val="0.67537313432835822"/>
        </c:manualLayout>
      </c:layout>
      <c:barChart>
        <c:barDir val="col"/>
        <c:grouping val="clustered"/>
        <c:varyColors val="0"/>
        <c:ser>
          <c:idx val="0"/>
          <c:order val="0"/>
          <c:tx>
            <c:strRef>
              <c:f>'Calculation model'!$U$17</c:f>
              <c:strCache>
                <c:ptCount val="1"/>
                <c:pt idx="0">
                  <c:v>Annual emissions reduction if selected ERS section is electrified (tonnes CO2)</c:v>
                </c:pt>
              </c:strCache>
            </c:strRef>
          </c:tx>
          <c:spPr>
            <a:solidFill>
              <a:srgbClr val="4472C4"/>
            </a:solidFill>
            <a:ln w="25400">
              <a:noFill/>
            </a:ln>
          </c:spPr>
          <c:invertIfNegative val="0"/>
          <c:dPt>
            <c:idx val="0"/>
            <c:invertIfNegative val="0"/>
            <c:bubble3D val="0"/>
            <c:spPr>
              <a:solidFill>
                <a:srgbClr val="808080"/>
              </a:solidFill>
              <a:ln w="25400">
                <a:noFill/>
              </a:ln>
            </c:spPr>
            <c:extLst>
              <c:ext xmlns:c16="http://schemas.microsoft.com/office/drawing/2014/chart" uri="{C3380CC4-5D6E-409C-BE32-E72D297353CC}">
                <c16:uniqueId val="{00000001-A6BD-433E-ACD0-D9008A48D53B}"/>
              </c:ext>
            </c:extLst>
          </c:dPt>
          <c:val>
            <c:numRef>
              <c:f>'Calculation model'!$U$20</c:f>
              <c:numCache>
                <c:formatCode>#,##0</c:formatCode>
                <c:ptCount val="1"/>
                <c:pt idx="0">
                  <c:v>1286.625</c:v>
                </c:pt>
              </c:numCache>
            </c:numRef>
          </c:val>
          <c:extLst>
            <c:ext xmlns:c16="http://schemas.microsoft.com/office/drawing/2014/chart" uri="{C3380CC4-5D6E-409C-BE32-E72D297353CC}">
              <c16:uniqueId val="{00000002-A6BD-433E-ACD0-D9008A48D53B}"/>
            </c:ext>
          </c:extLst>
        </c:ser>
        <c:dLbls>
          <c:showLegendKey val="0"/>
          <c:showVal val="0"/>
          <c:showCatName val="0"/>
          <c:showSerName val="0"/>
          <c:showPercent val="0"/>
          <c:showBubbleSize val="0"/>
        </c:dLbls>
        <c:gapWidth val="219"/>
        <c:overlap val="-27"/>
        <c:axId val="159974528"/>
        <c:axId val="159976064"/>
      </c:barChart>
      <c:catAx>
        <c:axId val="159974528"/>
        <c:scaling>
          <c:orientation val="minMax"/>
        </c:scaling>
        <c:delete val="0"/>
        <c:axPos val="b"/>
        <c:numFmt formatCode="General" sourceLinked="1"/>
        <c:majorTickMark val="none"/>
        <c:minorTickMark val="none"/>
        <c:tickLblPos val="nextTo"/>
        <c:spPr>
          <a:ln w="12700">
            <a:solidFill>
              <a:srgbClr val="8B8B8B"/>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59976064"/>
        <c:crossesAt val="0"/>
        <c:auto val="1"/>
        <c:lblAlgn val="ctr"/>
        <c:lblOffset val="100"/>
        <c:tickLblSkip val="1"/>
        <c:tickMarkSkip val="1"/>
        <c:noMultiLvlLbl val="0"/>
      </c:catAx>
      <c:valAx>
        <c:axId val="159976064"/>
        <c:scaling>
          <c:orientation val="minMax"/>
        </c:scaling>
        <c:delete val="0"/>
        <c:axPos val="l"/>
        <c:majorGridlines>
          <c:spPr>
            <a:ln w="12700">
              <a:solidFill>
                <a:srgbClr val="D9D9D9"/>
              </a:solidFill>
              <a:prstDash val="solid"/>
            </a:ln>
          </c:spPr>
        </c:majorGridlines>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Arial"/>
                <a:ea typeface="Arial"/>
                <a:cs typeface="Arial"/>
              </a:defRPr>
            </a:pPr>
            <a:endParaRPr lang="sv-SE"/>
          </a:p>
        </c:txPr>
        <c:crossAx val="159974528"/>
        <c:crossesAt val="1"/>
        <c:crossBetween val="between"/>
      </c:valAx>
      <c:spPr>
        <a:noFill/>
        <a:ln w="25400">
          <a:noFill/>
        </a:ln>
      </c:spPr>
    </c:plotArea>
    <c:plotVisOnly val="1"/>
    <c:dispBlanksAs val="gap"/>
    <c:showDLblsOverMax val="0"/>
  </c:chart>
  <c:spPr>
    <a:solidFill>
      <a:srgbClr val="FFFFFF"/>
    </a:solidFill>
    <a:ln w="25400">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sv-SE"/>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180975</xdr:colOff>
      <xdr:row>2</xdr:row>
      <xdr:rowOff>133350</xdr:rowOff>
    </xdr:from>
    <xdr:to>
      <xdr:col>19</xdr:col>
      <xdr:colOff>704850</xdr:colOff>
      <xdr:row>13</xdr:row>
      <xdr:rowOff>152400</xdr:rowOff>
    </xdr:to>
    <xdr:graphicFrame macro="">
      <xdr:nvGraphicFramePr>
        <xdr:cNvPr id="20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219075</xdr:colOff>
      <xdr:row>32</xdr:row>
      <xdr:rowOff>38100</xdr:rowOff>
    </xdr:from>
    <xdr:to>
      <xdr:col>21</xdr:col>
      <xdr:colOff>600075</xdr:colOff>
      <xdr:row>33</xdr:row>
      <xdr:rowOff>142875</xdr:rowOff>
    </xdr:to>
    <xdr:sp macro="" textlink="">
      <xdr:nvSpPr>
        <xdr:cNvPr id="2057" name="Arrow: Down 2"/>
        <xdr:cNvSpPr>
          <a:spLocks noChangeArrowheads="1"/>
        </xdr:cNvSpPr>
      </xdr:nvSpPr>
      <xdr:spPr bwMode="auto">
        <a:xfrm>
          <a:off x="17773650" y="5886450"/>
          <a:ext cx="381000" cy="295275"/>
        </a:xfrm>
        <a:custGeom>
          <a:avLst/>
          <a:gdLst>
            <a:gd name="G0" fmla="+- 886 0 0"/>
            <a:gd name="G1" fmla="+- 60864 0 0"/>
            <a:gd name="G2" fmla="*/ G1 1 G0"/>
            <a:gd name="G3" fmla="*/ 50000 65535 1"/>
            <a:gd name="G4" fmla="+- 34464 0 50000"/>
            <a:gd name="G5" fmla="?: G4 50000 34464"/>
            <a:gd name="G6" fmla="?: G3 0 G4"/>
            <a:gd name="G7" fmla="*/ 50000 65535 1"/>
            <a:gd name="G8" fmla="+- G2 0 50000"/>
            <a:gd name="G9" fmla="?: G8 50000 G2"/>
            <a:gd name="G10" fmla="?: G7 0 G8"/>
            <a:gd name="G11" fmla="*/ G0 G10 1"/>
            <a:gd name="G12" fmla="*/ G11 1 34464"/>
            <a:gd name="G13" fmla="+- 886 0 G12"/>
            <a:gd name="G14" fmla="*/ 1121 G6 1"/>
            <a:gd name="G15" fmla="*/ G14 1 3392"/>
            <a:gd name="G16" fmla="*/ 1 1121 2"/>
            <a:gd name="G17" fmla="+- G16 0 G15"/>
            <a:gd name="G18" fmla="+- G16 G15 0"/>
            <a:gd name="G19" fmla="*/ 1 1121 2"/>
            <a:gd name="G20" fmla="*/ G17 G12 1"/>
            <a:gd name="G21" fmla="*/ G20 1 G19"/>
            <a:gd name="G22" fmla="+- G13 G21 0"/>
            <a:gd name="G23" fmla="+- 886 0 0"/>
            <a:gd name="G24" fmla="+- 1121 0 0"/>
          </a:gdLst>
          <a:ahLst/>
          <a:cxnLst>
            <a:cxn ang="0">
              <a:pos x="r" y="vc"/>
            </a:cxn>
            <a:cxn ang="5400000">
              <a:pos x="hc" y="b"/>
            </a:cxn>
            <a:cxn ang="10800000">
              <a:pos x="l" y="vc"/>
            </a:cxn>
            <a:cxn ang="16200000">
              <a:pos x="hc" y="t"/>
            </a:cxn>
          </a:cxnLst>
          <a:rect l="0" t="0" r="0" b="0"/>
          <a:pathLst>
            <a:path>
              <a:moveTo>
                <a:pt x="0" y="886"/>
              </a:moveTo>
              <a:lnTo>
                <a:pt x="561" y="886"/>
              </a:lnTo>
              <a:lnTo>
                <a:pt x="561" y="0"/>
              </a:lnTo>
              <a:lnTo>
                <a:pt x="561" y="886"/>
              </a:lnTo>
              <a:lnTo>
                <a:pt x="1121" y="886"/>
              </a:lnTo>
              <a:lnTo>
                <a:pt x="561" y="886"/>
              </a:lnTo>
              <a:close/>
            </a:path>
          </a:pathLst>
        </a:custGeom>
        <a:solidFill>
          <a:srgbClr val="4472C4"/>
        </a:solidFill>
        <a:ln w="12600" cap="flat">
          <a:solidFill>
            <a:srgbClr val="32549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895350</xdr:colOff>
      <xdr:row>3</xdr:row>
      <xdr:rowOff>9525</xdr:rowOff>
    </xdr:from>
    <xdr:to>
      <xdr:col>26</xdr:col>
      <xdr:colOff>76200</xdr:colOff>
      <xdr:row>13</xdr:row>
      <xdr:rowOff>123825</xdr:rowOff>
    </xdr:to>
    <xdr:graphicFrame macro="">
      <xdr:nvGraphicFramePr>
        <xdr:cNvPr id="205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161925</xdr:colOff>
      <xdr:row>2</xdr:row>
      <xdr:rowOff>190500</xdr:rowOff>
    </xdr:from>
    <xdr:to>
      <xdr:col>28</xdr:col>
      <xdr:colOff>752475</xdr:colOff>
      <xdr:row>30</xdr:row>
      <xdr:rowOff>171450</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190500</xdr:colOff>
      <xdr:row>32</xdr:row>
      <xdr:rowOff>28575</xdr:rowOff>
    </xdr:from>
    <xdr:to>
      <xdr:col>5</xdr:col>
      <xdr:colOff>571500</xdr:colOff>
      <xdr:row>33</xdr:row>
      <xdr:rowOff>95250</xdr:rowOff>
    </xdr:to>
    <xdr:sp macro="" textlink="">
      <xdr:nvSpPr>
        <xdr:cNvPr id="2060" name="Arrow: Down 5"/>
        <xdr:cNvSpPr>
          <a:spLocks noChangeArrowheads="1"/>
        </xdr:cNvSpPr>
      </xdr:nvSpPr>
      <xdr:spPr bwMode="auto">
        <a:xfrm>
          <a:off x="5514975" y="5876925"/>
          <a:ext cx="381000" cy="257175"/>
        </a:xfrm>
        <a:custGeom>
          <a:avLst/>
          <a:gdLst>
            <a:gd name="G0" fmla="+- 747 0 0"/>
            <a:gd name="G1" fmla="+- 54496 0 0"/>
            <a:gd name="G2" fmla="*/ G1 1 G0"/>
            <a:gd name="G3" fmla="*/ 50000 65535 1"/>
            <a:gd name="G4" fmla="+- 34464 0 50000"/>
            <a:gd name="G5" fmla="?: G4 50000 34464"/>
            <a:gd name="G6" fmla="?: G3 0 G4"/>
            <a:gd name="G7" fmla="*/ 50000 65535 1"/>
            <a:gd name="G8" fmla="+- G2 0 50000"/>
            <a:gd name="G9" fmla="?: G8 50000 G2"/>
            <a:gd name="G10" fmla="?: G7 0 G8"/>
            <a:gd name="G11" fmla="*/ G0 G10 1"/>
            <a:gd name="G12" fmla="*/ G11 1 34464"/>
            <a:gd name="G13" fmla="+- 747 0 G12"/>
            <a:gd name="G14" fmla="*/ 1121 G6 1"/>
            <a:gd name="G15" fmla="*/ G14 1 3392"/>
            <a:gd name="G16" fmla="*/ 1 1121 2"/>
            <a:gd name="G17" fmla="+- G16 0 G15"/>
            <a:gd name="G18" fmla="+- G16 G15 0"/>
            <a:gd name="G19" fmla="*/ 1 1121 2"/>
            <a:gd name="G20" fmla="*/ G17 G12 1"/>
            <a:gd name="G21" fmla="*/ G20 1 G19"/>
            <a:gd name="G22" fmla="+- G13 G21 0"/>
            <a:gd name="G23" fmla="+- 747 0 0"/>
            <a:gd name="G24" fmla="+- 1121 0 0"/>
          </a:gdLst>
          <a:ahLst/>
          <a:cxnLst>
            <a:cxn ang="0">
              <a:pos x="r" y="vc"/>
            </a:cxn>
            <a:cxn ang="5400000">
              <a:pos x="hc" y="b"/>
            </a:cxn>
            <a:cxn ang="10800000">
              <a:pos x="l" y="vc"/>
            </a:cxn>
            <a:cxn ang="16200000">
              <a:pos x="hc" y="t"/>
            </a:cxn>
          </a:cxnLst>
          <a:rect l="0" t="0" r="0" b="0"/>
          <a:pathLst>
            <a:path>
              <a:moveTo>
                <a:pt x="0" y="747"/>
              </a:moveTo>
              <a:lnTo>
                <a:pt x="561" y="747"/>
              </a:lnTo>
              <a:lnTo>
                <a:pt x="561" y="0"/>
              </a:lnTo>
              <a:lnTo>
                <a:pt x="561" y="747"/>
              </a:lnTo>
              <a:lnTo>
                <a:pt x="1121" y="747"/>
              </a:lnTo>
              <a:lnTo>
                <a:pt x="561" y="747"/>
              </a:lnTo>
              <a:close/>
            </a:path>
          </a:pathLst>
        </a:custGeom>
        <a:solidFill>
          <a:srgbClr val="4472C4"/>
        </a:solidFill>
        <a:ln w="12600" cap="flat">
          <a:solidFill>
            <a:srgbClr val="32549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0.16983</cdr:x>
      <cdr:y>0.56939</cdr:y>
    </cdr:from>
    <cdr:to>
      <cdr:x>0.16983</cdr:x>
      <cdr:y>0.56939</cdr:y>
    </cdr:to>
    <cdr:sp macro="" textlink="">
      <cdr:nvSpPr>
        <cdr:cNvPr id="5121" name="Text Box 1"/>
        <cdr:cNvSpPr txBox="1">
          <a:spLocks xmlns:a="http://schemas.openxmlformats.org/drawingml/2006/main" noChangeArrowheads="1"/>
        </cdr:cNvSpPr>
      </cdr:nvSpPr>
      <cdr:spPr bwMode="auto">
        <a:xfrm xmlns:a="http://schemas.openxmlformats.org/drawingml/2006/main">
          <a:off x="831388" y="10987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0.16983</cdr:x>
      <cdr:y>0.56939</cdr:y>
    </cdr:from>
    <cdr:to>
      <cdr:x>0.16983</cdr:x>
      <cdr:y>0.56939</cdr:y>
    </cdr:to>
    <cdr:sp macro="" textlink="">
      <cdr:nvSpPr>
        <cdr:cNvPr id="5122" name="Text Box 2"/>
        <cdr:cNvSpPr txBox="1">
          <a:spLocks xmlns:a="http://schemas.openxmlformats.org/drawingml/2006/main" noChangeArrowheads="1"/>
        </cdr:cNvSpPr>
      </cdr:nvSpPr>
      <cdr:spPr bwMode="auto">
        <a:xfrm xmlns:a="http://schemas.openxmlformats.org/drawingml/2006/main">
          <a:off x="831388" y="10987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0.16983</cdr:x>
      <cdr:y>0.56939</cdr:y>
    </cdr:from>
    <cdr:to>
      <cdr:x>0.16983</cdr:x>
      <cdr:y>0.56939</cdr:y>
    </cdr:to>
    <cdr:sp macro="" textlink="">
      <cdr:nvSpPr>
        <cdr:cNvPr id="5123" name="Text Box 3"/>
        <cdr:cNvSpPr txBox="1">
          <a:spLocks xmlns:a="http://schemas.openxmlformats.org/drawingml/2006/main" noChangeArrowheads="1"/>
        </cdr:cNvSpPr>
      </cdr:nvSpPr>
      <cdr:spPr bwMode="auto">
        <a:xfrm xmlns:a="http://schemas.openxmlformats.org/drawingml/2006/main">
          <a:off x="831388" y="10987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0.16983</cdr:x>
      <cdr:y>0.56939</cdr:y>
    </cdr:from>
    <cdr:to>
      <cdr:x>0.16983</cdr:x>
      <cdr:y>0.56939</cdr:y>
    </cdr:to>
    <cdr:sp macro="" textlink="">
      <cdr:nvSpPr>
        <cdr:cNvPr id="5124" name="Text Box 4"/>
        <cdr:cNvSpPr txBox="1">
          <a:spLocks xmlns:a="http://schemas.openxmlformats.org/drawingml/2006/main" noChangeArrowheads="1"/>
        </cdr:cNvSpPr>
      </cdr:nvSpPr>
      <cdr:spPr bwMode="auto">
        <a:xfrm xmlns:a="http://schemas.openxmlformats.org/drawingml/2006/main">
          <a:off x="831388" y="10987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0.16983</cdr:x>
      <cdr:y>0.56939</cdr:y>
    </cdr:from>
    <cdr:to>
      <cdr:x>0.16983</cdr:x>
      <cdr:y>0.56939</cdr:y>
    </cdr:to>
    <cdr:sp macro="" textlink="">
      <cdr:nvSpPr>
        <cdr:cNvPr id="5125" name="Text Box 5"/>
        <cdr:cNvSpPr txBox="1">
          <a:spLocks xmlns:a="http://schemas.openxmlformats.org/drawingml/2006/main" noChangeArrowheads="1"/>
        </cdr:cNvSpPr>
      </cdr:nvSpPr>
      <cdr:spPr bwMode="auto">
        <a:xfrm xmlns:a="http://schemas.openxmlformats.org/drawingml/2006/main">
          <a:off x="831388" y="1098702"/>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0.38551</cdr:x>
      <cdr:y>0.91242</cdr:y>
    </cdr:from>
    <cdr:to>
      <cdr:x>0.38551</cdr:x>
      <cdr:y>0.91242</cdr:y>
    </cdr:to>
    <cdr:sp macro="" textlink="">
      <cdr:nvSpPr>
        <cdr:cNvPr id="6145" name="Text Box 1"/>
        <cdr:cNvSpPr txBox="1">
          <a:spLocks xmlns:a="http://schemas.openxmlformats.org/drawingml/2006/main" noChangeArrowheads="1"/>
        </cdr:cNvSpPr>
      </cdr:nvSpPr>
      <cdr:spPr bwMode="auto">
        <a:xfrm xmlns:a="http://schemas.openxmlformats.org/drawingml/2006/main">
          <a:off x="564983" y="4670156"/>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H30"/>
  <sheetViews>
    <sheetView topLeftCell="A3" workbookViewId="0">
      <selection activeCell="C22" sqref="C22"/>
    </sheetView>
  </sheetViews>
  <sheetFormatPr defaultRowHeight="15" x14ac:dyDescent="0.25"/>
  <cols>
    <col min="1" max="1" width="1.7109375" style="1" customWidth="1"/>
    <col min="2" max="2" width="2.140625" style="1" customWidth="1"/>
    <col min="3" max="3" width="9.140625" style="1"/>
    <col min="4" max="4" width="1.5703125" style="1" customWidth="1"/>
    <col min="5" max="5" width="139.7109375" style="1" customWidth="1"/>
    <col min="6" max="7" width="9.140625" style="1"/>
    <col min="8" max="8" width="2.140625" style="1" customWidth="1"/>
    <col min="9" max="16384" width="9.140625" style="1"/>
  </cols>
  <sheetData>
    <row r="1" spans="1:8" ht="8.25" customHeight="1" x14ac:dyDescent="0.25">
      <c r="A1" s="2"/>
      <c r="B1"/>
      <c r="C1"/>
      <c r="D1"/>
      <c r="E1"/>
      <c r="F1"/>
      <c r="G1"/>
      <c r="H1"/>
    </row>
    <row r="2" spans="1:8" ht="17.25" customHeight="1" x14ac:dyDescent="0.25">
      <c r="B2" s="202" t="s">
        <v>0</v>
      </c>
      <c r="C2" s="202"/>
      <c r="D2" s="202"/>
      <c r="E2" s="202"/>
      <c r="F2" s="202"/>
      <c r="G2" s="202"/>
      <c r="H2" s="202"/>
    </row>
    <row r="3" spans="1:8" ht="7.5" customHeight="1" x14ac:dyDescent="0.25">
      <c r="B3" s="3"/>
      <c r="C3" s="4"/>
      <c r="D3" s="4"/>
      <c r="E3" s="4"/>
      <c r="F3" s="4"/>
      <c r="G3" s="4"/>
      <c r="H3" s="5"/>
    </row>
    <row r="4" spans="1:8" x14ac:dyDescent="0.25">
      <c r="B4" s="3"/>
      <c r="C4" s="203" t="s">
        <v>169</v>
      </c>
      <c r="D4" s="203"/>
      <c r="E4" s="203"/>
      <c r="F4" s="203"/>
      <c r="G4" s="203"/>
      <c r="H4" s="5"/>
    </row>
    <row r="5" spans="1:8" ht="6" customHeight="1" x14ac:dyDescent="0.25">
      <c r="B5" s="3"/>
      <c r="C5" s="6"/>
      <c r="D5" s="4"/>
      <c r="E5" s="4"/>
      <c r="F5" s="4"/>
      <c r="G5" s="4"/>
      <c r="H5" s="5"/>
    </row>
    <row r="6" spans="1:8" ht="13.9" customHeight="1" x14ac:dyDescent="0.25">
      <c r="B6" s="3"/>
      <c r="C6" s="204" t="s">
        <v>176</v>
      </c>
      <c r="D6" s="204"/>
      <c r="E6" s="204"/>
      <c r="F6" s="204"/>
      <c r="G6" s="204"/>
      <c r="H6" s="5"/>
    </row>
    <row r="7" spans="1:8" x14ac:dyDescent="0.25">
      <c r="B7" s="3"/>
      <c r="C7" s="204"/>
      <c r="D7" s="204"/>
      <c r="E7" s="204"/>
      <c r="F7" s="204"/>
      <c r="G7" s="204"/>
      <c r="H7" s="5"/>
    </row>
    <row r="8" spans="1:8" ht="103.5" customHeight="1" x14ac:dyDescent="0.25">
      <c r="B8" s="3"/>
      <c r="C8" s="204"/>
      <c r="D8" s="204"/>
      <c r="E8" s="204"/>
      <c r="F8" s="204"/>
      <c r="G8" s="204"/>
      <c r="H8" s="5"/>
    </row>
    <row r="9" spans="1:8" x14ac:dyDescent="0.25">
      <c r="B9" s="3"/>
      <c r="C9"/>
      <c r="D9" s="4"/>
      <c r="E9" s="4"/>
      <c r="F9" s="4"/>
      <c r="G9" s="4"/>
      <c r="H9" s="5"/>
    </row>
    <row r="10" spans="1:8" x14ac:dyDescent="0.25">
      <c r="B10" s="3"/>
      <c r="C10" s="203" t="s">
        <v>168</v>
      </c>
      <c r="D10" s="203"/>
      <c r="E10" s="203"/>
      <c r="F10" s="203"/>
      <c r="G10" s="203"/>
      <c r="H10" s="5"/>
    </row>
    <row r="11" spans="1:8" ht="6" customHeight="1" x14ac:dyDescent="0.25">
      <c r="B11" s="3"/>
      <c r="C11" s="6"/>
      <c r="D11" s="4"/>
      <c r="E11" s="4"/>
      <c r="F11" s="4"/>
      <c r="G11" s="4"/>
      <c r="H11" s="5"/>
    </row>
    <row r="12" spans="1:8" x14ac:dyDescent="0.25">
      <c r="B12" s="3"/>
      <c r="C12" s="7">
        <v>1</v>
      </c>
      <c r="D12" s="4"/>
      <c r="E12" s="4" t="s">
        <v>175</v>
      </c>
      <c r="F12" s="4"/>
      <c r="G12" s="4"/>
      <c r="H12" s="5"/>
    </row>
    <row r="13" spans="1:8" x14ac:dyDescent="0.25">
      <c r="B13" s="3"/>
      <c r="C13" s="8"/>
      <c r="D13" s="4"/>
      <c r="E13" s="4"/>
      <c r="F13" s="4"/>
      <c r="G13" s="4"/>
      <c r="H13" s="5"/>
    </row>
    <row r="14" spans="1:8" x14ac:dyDescent="0.25">
      <c r="B14" s="3"/>
      <c r="C14" s="7">
        <v>2</v>
      </c>
      <c r="D14" s="4"/>
      <c r="E14" s="4" t="s">
        <v>174</v>
      </c>
      <c r="F14" s="4"/>
      <c r="G14" s="4"/>
      <c r="H14" s="5"/>
    </row>
    <row r="15" spans="1:8" x14ac:dyDescent="0.25">
      <c r="B15" s="3"/>
      <c r="C15" s="8"/>
      <c r="D15" s="4"/>
      <c r="E15" s="4"/>
      <c r="F15" s="4"/>
      <c r="G15" s="4"/>
      <c r="H15" s="5"/>
    </row>
    <row r="16" spans="1:8" x14ac:dyDescent="0.25">
      <c r="B16" s="3"/>
      <c r="C16" s="7">
        <v>3</v>
      </c>
      <c r="D16" s="4"/>
      <c r="E16" s="4" t="s">
        <v>173</v>
      </c>
      <c r="F16" s="4"/>
      <c r="G16" s="4"/>
      <c r="H16" s="5"/>
    </row>
    <row r="17" spans="2:8" x14ac:dyDescent="0.25">
      <c r="B17" s="3"/>
      <c r="C17" s="4"/>
      <c r="D17" s="4"/>
      <c r="E17" s="4"/>
      <c r="F17" s="4"/>
      <c r="G17" s="4"/>
      <c r="H17" s="5"/>
    </row>
    <row r="18" spans="2:8" x14ac:dyDescent="0.25">
      <c r="B18" s="3"/>
      <c r="C18" s="203" t="s">
        <v>167</v>
      </c>
      <c r="D18" s="203"/>
      <c r="E18" s="203"/>
      <c r="F18" s="203"/>
      <c r="G18" s="203"/>
      <c r="H18" s="5"/>
    </row>
    <row r="19" spans="2:8" ht="6" customHeight="1" x14ac:dyDescent="0.25">
      <c r="B19" s="3"/>
      <c r="C19" s="6"/>
      <c r="D19" s="4"/>
      <c r="E19" s="4"/>
      <c r="F19" s="4"/>
      <c r="G19" s="4"/>
      <c r="H19" s="5"/>
    </row>
    <row r="20" spans="2:8" x14ac:dyDescent="0.25">
      <c r="B20" s="3"/>
      <c r="C20" s="9"/>
      <c r="D20"/>
      <c r="E20" s="10" t="s">
        <v>172</v>
      </c>
      <c r="F20" s="11"/>
      <c r="G20" s="12"/>
      <c r="H20" s="5"/>
    </row>
    <row r="21" spans="2:8" x14ac:dyDescent="0.25">
      <c r="B21" s="3"/>
      <c r="C21" s="13"/>
      <c r="D21"/>
      <c r="E21" s="10" t="s">
        <v>171</v>
      </c>
      <c r="F21" s="11"/>
      <c r="G21" s="12"/>
      <c r="H21" s="5"/>
    </row>
    <row r="22" spans="2:8" x14ac:dyDescent="0.25">
      <c r="B22" s="3"/>
      <c r="C22" s="185" t="s">
        <v>135</v>
      </c>
      <c r="D22" s="4"/>
      <c r="E22" s="205" t="s">
        <v>170</v>
      </c>
      <c r="F22" s="205"/>
      <c r="G22" s="205"/>
      <c r="H22" s="5"/>
    </row>
    <row r="23" spans="2:8" x14ac:dyDescent="0.25">
      <c r="B23" s="3"/>
      <c r="C23" s="186" t="s">
        <v>136</v>
      </c>
      <c r="D23" s="4"/>
      <c r="E23" s="205"/>
      <c r="F23" s="205"/>
      <c r="G23" s="205"/>
      <c r="H23" s="5"/>
    </row>
    <row r="24" spans="2:8" x14ac:dyDescent="0.25">
      <c r="B24" s="3"/>
      <c r="C24" s="187" t="s">
        <v>125</v>
      </c>
      <c r="D24" s="4"/>
      <c r="E24" s="205"/>
      <c r="F24" s="205"/>
      <c r="G24" s="205"/>
      <c r="H24" s="5"/>
    </row>
    <row r="25" spans="2:8" x14ac:dyDescent="0.25">
      <c r="B25" s="3"/>
      <c r="C25" s="4"/>
      <c r="D25" s="4"/>
      <c r="E25" s="4"/>
      <c r="F25" s="4"/>
      <c r="G25" s="4"/>
      <c r="H25" s="5"/>
    </row>
    <row r="26" spans="2:8" ht="18.75" customHeight="1" x14ac:dyDescent="0.25">
      <c r="B26" s="3"/>
      <c r="C26" s="201" t="s">
        <v>166</v>
      </c>
      <c r="D26" s="201"/>
      <c r="E26" s="201"/>
      <c r="F26" s="201"/>
      <c r="G26" s="201"/>
      <c r="H26" s="5"/>
    </row>
    <row r="27" spans="2:8" x14ac:dyDescent="0.25">
      <c r="B27" s="14"/>
      <c r="C27" s="15"/>
      <c r="D27" s="15"/>
      <c r="E27" s="15"/>
      <c r="F27" s="15"/>
      <c r="G27" s="15"/>
      <c r="H27" s="16"/>
    </row>
    <row r="28" spans="2:8" x14ac:dyDescent="0.25">
      <c r="C28" s="183"/>
    </row>
    <row r="29" spans="2:8" x14ac:dyDescent="0.25">
      <c r="C29" s="183"/>
    </row>
    <row r="30" spans="2:8" x14ac:dyDescent="0.25">
      <c r="C30" s="183"/>
    </row>
  </sheetData>
  <sheetProtection selectLockedCells="1" selectUnlockedCells="1"/>
  <mergeCells count="7">
    <mergeCell ref="C26:G26"/>
    <mergeCell ref="B2:H2"/>
    <mergeCell ref="C4:G4"/>
    <mergeCell ref="C6:G8"/>
    <mergeCell ref="C10:G10"/>
    <mergeCell ref="C18:G18"/>
    <mergeCell ref="E22:G24"/>
  </mergeCells>
  <conditionalFormatting sqref="C22:C24">
    <cfRule type="cellIs" dxfId="15" priority="1" stopIfTrue="1" operator="equal">
      <formula>"Low"</formula>
    </cfRule>
    <cfRule type="cellIs" dxfId="14" priority="2" stopIfTrue="1" operator="equal">
      <formula>"Medium"</formula>
    </cfRule>
    <cfRule type="cellIs" dxfId="13" priority="3" stopIfTrue="1" operator="equal">
      <formula>"High"</formula>
    </cfRule>
  </conditionalFormatting>
  <dataValidations count="3">
    <dataValidation type="list" allowBlank="1" showErrorMessage="1" sqref="C24">
      <formula1>"Välj,Low,Medium,High"</formula1>
    </dataValidation>
    <dataValidation type="list" allowBlank="1" showErrorMessage="1" sqref="D23">
      <formula1>"Välj,Low,Middle,High"</formula1>
    </dataValidation>
    <dataValidation type="list" allowBlank="1" showErrorMessage="1" sqref="C22 C23">
      <formula1>"Välj,Low,Medium,High"</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sheetPr>
  <dimension ref="A1:IV191"/>
  <sheetViews>
    <sheetView tabSelected="1" topLeftCell="B10" zoomScale="85" zoomScaleNormal="85" workbookViewId="0">
      <selection activeCell="R28" sqref="R28"/>
    </sheetView>
  </sheetViews>
  <sheetFormatPr defaultRowHeight="15" x14ac:dyDescent="0.25"/>
  <cols>
    <col min="1" max="1" width="2.28515625" style="1" customWidth="1"/>
    <col min="2" max="2" width="11.5703125" style="1" customWidth="1"/>
    <col min="3" max="3" width="36" style="1" customWidth="1"/>
    <col min="4" max="4" width="17.42578125" style="197" customWidth="1"/>
    <col min="5" max="5" width="12.5703125" style="1" customWidth="1"/>
    <col min="6" max="6" width="13.7109375" style="1" customWidth="1"/>
    <col min="7" max="7" width="13" style="1" customWidth="1"/>
    <col min="8" max="8" width="12.5703125" style="1" customWidth="1"/>
    <col min="9" max="9" width="11.5703125" style="1" customWidth="1"/>
    <col min="10" max="10" width="12.140625" style="1" customWidth="1"/>
    <col min="11" max="11" width="10" style="1" customWidth="1"/>
    <col min="12" max="12" width="15.42578125" style="1" customWidth="1"/>
    <col min="13" max="13" width="1.5703125" style="1" customWidth="1"/>
    <col min="14" max="14" width="11.85546875" style="1" customWidth="1"/>
    <col min="15" max="15" width="1.7109375" style="1" customWidth="1"/>
    <col min="16" max="16" width="17.42578125" style="1" customWidth="1"/>
    <col min="17" max="17" width="13.42578125" style="1" customWidth="1"/>
    <col min="18" max="18" width="12.85546875" style="1" customWidth="1"/>
    <col min="19" max="19" width="12.140625" style="1" customWidth="1"/>
    <col min="20" max="20" width="14.42578125" style="1" customWidth="1"/>
    <col min="21" max="21" width="13.5703125" style="1" customWidth="1"/>
    <col min="22" max="22" width="14.140625" style="1" customWidth="1"/>
    <col min="23" max="23" width="1.5703125" style="1" customWidth="1"/>
    <col min="24" max="24" width="12.7109375" style="197" customWidth="1"/>
    <col min="25" max="25" width="13.85546875" style="1" customWidth="1"/>
    <col min="26" max="26" width="15" style="1" customWidth="1"/>
    <col min="27" max="27" width="11.140625" style="1" customWidth="1"/>
    <col min="28" max="28" width="1.7109375" style="1" customWidth="1"/>
    <col min="29" max="29" width="12.7109375" style="1" customWidth="1"/>
    <col min="30" max="31" width="14.85546875" style="1" customWidth="1"/>
    <col min="32" max="32" width="2.7109375" style="1" customWidth="1"/>
    <col min="33" max="16384" width="9.140625" style="1"/>
  </cols>
  <sheetData>
    <row r="1" spans="1:256" ht="11.25" customHeight="1" x14ac:dyDescent="0.25">
      <c r="A1"/>
      <c r="B1"/>
      <c r="C1"/>
      <c r="D1" s="189"/>
      <c r="E1" s="17"/>
      <c r="F1" s="18"/>
      <c r="G1"/>
      <c r="H1"/>
      <c r="I1"/>
      <c r="J1"/>
      <c r="K1"/>
      <c r="L1"/>
      <c r="M1"/>
      <c r="N1"/>
      <c r="O1"/>
      <c r="P1" s="19"/>
      <c r="Q1"/>
      <c r="R1"/>
      <c r="S1"/>
      <c r="T1"/>
      <c r="U1"/>
      <c r="V1"/>
      <c r="W1"/>
      <c r="X1" s="18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ustomHeight="1" x14ac:dyDescent="0.25">
      <c r="A2" s="4"/>
      <c r="B2" s="259" t="s">
        <v>1</v>
      </c>
      <c r="C2" s="259"/>
      <c r="D2" s="259"/>
      <c r="E2" s="259"/>
      <c r="F2" s="259"/>
      <c r="G2" s="259"/>
      <c r="H2" s="259"/>
      <c r="I2" s="259"/>
      <c r="J2" s="259"/>
      <c r="K2" s="259"/>
      <c r="L2" s="259"/>
      <c r="M2" s="259"/>
      <c r="N2" s="259"/>
      <c r="O2" s="4"/>
      <c r="P2" s="228" t="s">
        <v>132</v>
      </c>
      <c r="Q2" s="228"/>
      <c r="R2" s="228"/>
      <c r="S2" s="228"/>
      <c r="T2" s="228"/>
      <c r="U2" s="228"/>
      <c r="V2" s="228"/>
      <c r="W2" s="228"/>
      <c r="X2" s="228"/>
      <c r="Y2" s="228"/>
      <c r="Z2" s="228"/>
      <c r="AA2" s="228"/>
      <c r="AB2" s="228"/>
      <c r="AC2" s="228"/>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x14ac:dyDescent="0.25">
      <c r="A3" s="4"/>
      <c r="B3" s="20" t="s">
        <v>2</v>
      </c>
      <c r="C3" s="260" t="s">
        <v>3</v>
      </c>
      <c r="D3" s="260"/>
      <c r="E3" s="21" t="s">
        <v>4</v>
      </c>
      <c r="F3" s="21" t="s">
        <v>5</v>
      </c>
      <c r="G3" s="261" t="s">
        <v>6</v>
      </c>
      <c r="H3" s="261"/>
      <c r="I3" s="261"/>
      <c r="J3" s="261"/>
      <c r="K3" s="261"/>
      <c r="L3" s="261"/>
      <c r="M3" s="261"/>
      <c r="N3" s="261"/>
      <c r="O3" s="4"/>
      <c r="P3" s="3"/>
      <c r="Q3" s="4"/>
      <c r="R3" s="4"/>
      <c r="S3" s="4"/>
      <c r="T3" s="4"/>
      <c r="U3" s="4"/>
      <c r="V3" s="4"/>
      <c r="W3" s="4"/>
      <c r="X3" s="190"/>
      <c r="Y3" s="4"/>
      <c r="Z3" s="4"/>
      <c r="AA3" s="4"/>
      <c r="AB3" s="4"/>
      <c r="AC3" s="5"/>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x14ac:dyDescent="0.25">
      <c r="A4" s="4"/>
      <c r="B4" s="262"/>
      <c r="C4" s="242" t="s">
        <v>7</v>
      </c>
      <c r="D4" s="242"/>
      <c r="E4" s="22">
        <v>365</v>
      </c>
      <c r="F4" s="23" t="s">
        <v>8</v>
      </c>
      <c r="G4" s="263"/>
      <c r="H4" s="263"/>
      <c r="I4" s="263"/>
      <c r="J4" s="263"/>
      <c r="K4" s="263"/>
      <c r="L4" s="263"/>
      <c r="M4" s="263"/>
      <c r="N4" s="263"/>
      <c r="O4" s="24"/>
      <c r="P4" s="3"/>
      <c r="Q4" s="4"/>
      <c r="R4" s="4"/>
      <c r="S4" s="4"/>
      <c r="T4" s="4"/>
      <c r="U4" s="4"/>
      <c r="V4" s="4"/>
      <c r="W4" s="4"/>
      <c r="X4" s="190"/>
      <c r="Y4" s="4"/>
      <c r="Z4" s="4"/>
      <c r="AA4" s="4"/>
      <c r="AB4" s="4"/>
      <c r="AC4" s="5"/>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5">
      <c r="A5" s="4"/>
      <c r="B5" s="262"/>
      <c r="C5" s="229" t="s">
        <v>9</v>
      </c>
      <c r="D5" s="229"/>
      <c r="E5" s="25">
        <v>25</v>
      </c>
      <c r="F5" s="26" t="s">
        <v>10</v>
      </c>
      <c r="G5" s="230" t="s">
        <v>11</v>
      </c>
      <c r="H5" s="230"/>
      <c r="I5" s="230"/>
      <c r="J5" s="230"/>
      <c r="K5" s="230"/>
      <c r="L5" s="230"/>
      <c r="M5" s="230"/>
      <c r="N5" s="230"/>
      <c r="O5" s="24"/>
      <c r="P5" s="3"/>
      <c r="Q5" s="4"/>
      <c r="R5" s="4"/>
      <c r="S5" s="4"/>
      <c r="T5" s="4"/>
      <c r="U5" s="4"/>
      <c r="V5" s="4"/>
      <c r="W5" s="4"/>
      <c r="X5" s="190"/>
      <c r="Y5" s="4"/>
      <c r="Z5" s="4"/>
      <c r="AA5" s="4"/>
      <c r="AB5" s="4"/>
      <c r="AC5" s="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x14ac:dyDescent="0.25">
      <c r="A6" s="4"/>
      <c r="B6" s="262"/>
      <c r="C6" s="232" t="s">
        <v>12</v>
      </c>
      <c r="D6" s="232"/>
      <c r="E6" s="27">
        <v>0.60000000000000009</v>
      </c>
      <c r="F6" s="28" t="s">
        <v>13</v>
      </c>
      <c r="G6" s="233" t="s">
        <v>14</v>
      </c>
      <c r="H6" s="233"/>
      <c r="I6" s="233"/>
      <c r="J6" s="233"/>
      <c r="K6" s="233"/>
      <c r="L6" s="233"/>
      <c r="M6" s="233"/>
      <c r="N6" s="233"/>
      <c r="O6" s="24"/>
      <c r="P6" s="3"/>
      <c r="Q6" s="4"/>
      <c r="R6" s="4"/>
      <c r="S6" s="4"/>
      <c r="T6" s="4"/>
      <c r="U6" s="4"/>
      <c r="V6" s="4"/>
      <c r="W6" s="4"/>
      <c r="X6" s="190"/>
      <c r="Y6" s="4"/>
      <c r="Z6" s="4"/>
      <c r="AA6" s="4"/>
      <c r="AB6" s="4"/>
      <c r="AC6" s="5"/>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x14ac:dyDescent="0.25">
      <c r="A7" s="4"/>
      <c r="B7" s="241" t="s">
        <v>15</v>
      </c>
      <c r="C7" s="256" t="s">
        <v>16</v>
      </c>
      <c r="D7" s="256"/>
      <c r="E7" s="30">
        <f>E10*E4*E5</f>
        <v>1368750</v>
      </c>
      <c r="F7" s="30" t="s">
        <v>17</v>
      </c>
      <c r="G7" s="243" t="s">
        <v>18</v>
      </c>
      <c r="H7" s="243"/>
      <c r="I7" s="243"/>
      <c r="J7" s="243"/>
      <c r="K7" s="243"/>
      <c r="L7" s="243"/>
      <c r="M7" s="243"/>
      <c r="N7" s="243"/>
      <c r="O7" s="24"/>
      <c r="P7" s="3"/>
      <c r="Q7" s="4"/>
      <c r="R7" s="4"/>
      <c r="S7" s="4"/>
      <c r="T7" s="4"/>
      <c r="U7" s="4"/>
      <c r="V7" s="4"/>
      <c r="W7" s="4"/>
      <c r="X7" s="190"/>
      <c r="Y7" s="4"/>
      <c r="Z7" s="4"/>
      <c r="AA7" s="4"/>
      <c r="AB7" s="4"/>
      <c r="AC7" s="5"/>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ustomHeight="1" x14ac:dyDescent="0.25">
      <c r="A8" s="4"/>
      <c r="B8" s="241"/>
      <c r="C8" s="257" t="s">
        <v>19</v>
      </c>
      <c r="D8" s="257"/>
      <c r="E8" s="30">
        <f>E15*E19</f>
        <v>2281249.9999999995</v>
      </c>
      <c r="F8" s="30" t="s">
        <v>17</v>
      </c>
      <c r="G8" s="230" t="s">
        <v>20</v>
      </c>
      <c r="H8" s="230"/>
      <c r="I8" s="230"/>
      <c r="J8" s="230"/>
      <c r="K8" s="230"/>
      <c r="L8" s="230"/>
      <c r="M8" s="230"/>
      <c r="N8" s="230"/>
      <c r="O8" s="24"/>
      <c r="P8" s="3"/>
      <c r="Q8" s="4"/>
      <c r="R8" s="4"/>
      <c r="S8" s="4"/>
      <c r="T8" s="4"/>
      <c r="U8" s="4"/>
      <c r="V8" s="4"/>
      <c r="W8" s="4"/>
      <c r="X8" s="190"/>
      <c r="Y8" s="4"/>
      <c r="Z8" s="4"/>
      <c r="AA8" s="4"/>
      <c r="AB8" s="4"/>
      <c r="AC8" s="5"/>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5">
      <c r="A9" s="4"/>
      <c r="B9" s="241"/>
      <c r="C9" s="257" t="s">
        <v>21</v>
      </c>
      <c r="D9" s="257"/>
      <c r="E9" s="31">
        <f>E7/(E19*E16)</f>
        <v>1.3449048372358091E-4</v>
      </c>
      <c r="F9" s="31" t="s">
        <v>13</v>
      </c>
      <c r="G9" s="230" t="s">
        <v>22</v>
      </c>
      <c r="H9" s="230"/>
      <c r="I9" s="230"/>
      <c r="J9" s="230"/>
      <c r="K9" s="230"/>
      <c r="L9" s="230"/>
      <c r="M9" s="230"/>
      <c r="N9" s="230"/>
      <c r="O9" s="24"/>
      <c r="P9" s="3"/>
      <c r="Q9" s="4"/>
      <c r="R9" s="4"/>
      <c r="S9" s="4"/>
      <c r="T9" s="4"/>
      <c r="U9" s="4"/>
      <c r="V9" s="4"/>
      <c r="W9" s="4"/>
      <c r="X9" s="190"/>
      <c r="Y9" s="4"/>
      <c r="Z9" s="4"/>
      <c r="AA9" s="4"/>
      <c r="AB9" s="4"/>
      <c r="AC9" s="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x14ac:dyDescent="0.25">
      <c r="A10" s="4"/>
      <c r="B10" s="241"/>
      <c r="C10" s="229" t="s">
        <v>23</v>
      </c>
      <c r="D10" s="229"/>
      <c r="E10" s="25">
        <v>150</v>
      </c>
      <c r="F10" s="26" t="s">
        <v>24</v>
      </c>
      <c r="G10" s="230" t="s">
        <v>25</v>
      </c>
      <c r="H10" s="230"/>
      <c r="I10" s="230"/>
      <c r="J10" s="230"/>
      <c r="K10" s="230"/>
      <c r="L10" s="230"/>
      <c r="M10" s="230"/>
      <c r="N10" s="230"/>
      <c r="O10" s="24"/>
      <c r="P10" s="3"/>
      <c r="Q10" s="4"/>
      <c r="R10" s="4"/>
      <c r="S10" s="4"/>
      <c r="T10" s="4"/>
      <c r="U10" s="4"/>
      <c r="V10" s="4"/>
      <c r="W10" s="4"/>
      <c r="X10" s="190"/>
      <c r="Y10" s="4"/>
      <c r="Z10" s="4"/>
      <c r="AA10" s="4"/>
      <c r="AB10" s="4"/>
      <c r="AC10" s="5"/>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x14ac:dyDescent="0.25">
      <c r="A11" s="4"/>
      <c r="B11" s="241"/>
      <c r="C11" s="229" t="s">
        <v>26</v>
      </c>
      <c r="D11" s="229"/>
      <c r="E11" s="32">
        <f>((E12)*(E19/E4))/E5</f>
        <v>6.5753424657534252</v>
      </c>
      <c r="F11" s="32" t="s">
        <v>24</v>
      </c>
      <c r="G11" s="230" t="s">
        <v>27</v>
      </c>
      <c r="H11" s="230"/>
      <c r="I11" s="230"/>
      <c r="J11" s="230"/>
      <c r="K11" s="230"/>
      <c r="L11" s="230"/>
      <c r="M11" s="230"/>
      <c r="N11" s="230"/>
      <c r="O11" s="24"/>
      <c r="P11" s="3"/>
      <c r="Q11" s="4"/>
      <c r="R11" s="4"/>
      <c r="S11" s="4"/>
      <c r="T11" s="4"/>
      <c r="U11" s="4"/>
      <c r="V11" s="4"/>
      <c r="W11" s="4"/>
      <c r="X11" s="190"/>
      <c r="Y11" s="4"/>
      <c r="Z11" s="4"/>
      <c r="AA11" s="4"/>
      <c r="AB11" s="4"/>
      <c r="AC11" s="5"/>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x14ac:dyDescent="0.25">
      <c r="A12" s="4"/>
      <c r="B12" s="241"/>
      <c r="C12" s="249" t="s">
        <v>28</v>
      </c>
      <c r="D12" s="249"/>
      <c r="E12" s="33">
        <v>0.60000000000000009</v>
      </c>
      <c r="F12" s="34" t="s">
        <v>13</v>
      </c>
      <c r="G12" s="255" t="s">
        <v>29</v>
      </c>
      <c r="H12" s="255"/>
      <c r="I12" s="255"/>
      <c r="J12" s="255"/>
      <c r="K12" s="255"/>
      <c r="L12" s="255"/>
      <c r="M12" s="255"/>
      <c r="N12" s="255"/>
      <c r="O12" s="24"/>
      <c r="P12" s="3"/>
      <c r="Q12" s="4"/>
      <c r="R12" s="4"/>
      <c r="S12" s="4"/>
      <c r="T12" s="4"/>
      <c r="U12" s="4"/>
      <c r="V12" s="4"/>
      <c r="W12" s="4"/>
      <c r="X12" s="190"/>
      <c r="Y12" s="4"/>
      <c r="Z12" s="4"/>
      <c r="AA12" s="4"/>
      <c r="AB12" s="4"/>
      <c r="AC12" s="5"/>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5">
      <c r="A13" s="4"/>
      <c r="B13" s="241"/>
      <c r="C13" s="249" t="s">
        <v>30</v>
      </c>
      <c r="D13" s="249"/>
      <c r="E13" s="35">
        <f>(E7/66.25)*3</f>
        <v>61981.132075471694</v>
      </c>
      <c r="F13" s="36" t="s">
        <v>31</v>
      </c>
      <c r="G13" s="230"/>
      <c r="H13" s="230"/>
      <c r="I13" s="230"/>
      <c r="J13" s="230"/>
      <c r="K13" s="230"/>
      <c r="L13" s="230"/>
      <c r="M13" s="230"/>
      <c r="N13" s="230"/>
      <c r="O13" s="24"/>
      <c r="P13" s="3"/>
      <c r="Q13" s="4"/>
      <c r="R13" s="4"/>
      <c r="S13" s="4"/>
      <c r="T13" s="4"/>
      <c r="U13" s="4"/>
      <c r="V13" s="4"/>
      <c r="W13" s="4"/>
      <c r="X13" s="190"/>
      <c r="Y13" s="4"/>
      <c r="Z13" s="4"/>
      <c r="AA13" s="4"/>
      <c r="AB13" s="4"/>
      <c r="AC13" s="5"/>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x14ac:dyDescent="0.25">
      <c r="A14" s="4"/>
      <c r="B14" s="241"/>
      <c r="C14" s="258" t="s">
        <v>32</v>
      </c>
      <c r="D14" s="258"/>
      <c r="E14" s="37">
        <v>0.03</v>
      </c>
      <c r="F14" s="38" t="s">
        <v>33</v>
      </c>
      <c r="G14" s="233"/>
      <c r="H14" s="233"/>
      <c r="I14" s="233"/>
      <c r="J14" s="233"/>
      <c r="K14" s="233"/>
      <c r="L14" s="233"/>
      <c r="M14" s="233"/>
      <c r="N14" s="233"/>
      <c r="O14" s="24"/>
      <c r="P14" s="3"/>
      <c r="Q14" s="4"/>
      <c r="R14" s="4"/>
      <c r="S14" s="4"/>
      <c r="T14" s="4"/>
      <c r="U14" s="4"/>
      <c r="V14" s="4"/>
      <c r="W14" s="4"/>
      <c r="X14" s="190"/>
      <c r="Y14" s="4"/>
      <c r="Z14" s="4"/>
      <c r="AA14" s="4"/>
      <c r="AB14" s="4"/>
      <c r="AC14" s="5"/>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x14ac:dyDescent="0.25">
      <c r="A15" s="4"/>
      <c r="B15" s="253" t="s">
        <v>34</v>
      </c>
      <c r="C15" s="242" t="s">
        <v>35</v>
      </c>
      <c r="D15" s="242"/>
      <c r="E15" s="39">
        <f>(E10*E5*E4)/(E12*E19)</f>
        <v>22.812499999999996</v>
      </c>
      <c r="F15" s="39" t="s">
        <v>36</v>
      </c>
      <c r="G15" s="254" t="s">
        <v>37</v>
      </c>
      <c r="H15" s="254"/>
      <c r="I15" s="254"/>
      <c r="J15" s="254"/>
      <c r="K15" s="254"/>
      <c r="L15" s="254"/>
      <c r="M15" s="254"/>
      <c r="N15" s="254"/>
      <c r="O15" s="24"/>
      <c r="P15" s="3"/>
      <c r="Q15" s="4"/>
      <c r="R15" s="4"/>
      <c r="S15" s="4"/>
      <c r="T15" s="4"/>
      <c r="U15" s="4"/>
      <c r="V15" s="4"/>
      <c r="W15" s="4"/>
      <c r="X15" s="190"/>
      <c r="Y15" s="4"/>
      <c r="Z15" s="4"/>
      <c r="AA15" s="4"/>
      <c r="AB15" s="4"/>
      <c r="AC15" s="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x14ac:dyDescent="0.25">
      <c r="A16" s="4"/>
      <c r="B16" s="253"/>
      <c r="C16" s="229" t="s">
        <v>38</v>
      </c>
      <c r="D16" s="229"/>
      <c r="E16" s="40">
        <v>101773</v>
      </c>
      <c r="F16" s="41" t="s">
        <v>36</v>
      </c>
      <c r="G16" s="230" t="s">
        <v>39</v>
      </c>
      <c r="H16" s="230"/>
      <c r="I16" s="230"/>
      <c r="J16" s="230"/>
      <c r="K16" s="230"/>
      <c r="L16" s="230"/>
      <c r="M16" s="230"/>
      <c r="N16" s="230"/>
      <c r="O16" s="24"/>
      <c r="P16" s="250" t="s">
        <v>40</v>
      </c>
      <c r="Q16" s="250"/>
      <c r="R16" s="250"/>
      <c r="S16" s="250"/>
      <c r="T16" s="250"/>
      <c r="U16" s="250"/>
      <c r="V16" s="250"/>
      <c r="W16" s="250"/>
      <c r="X16" s="250"/>
      <c r="Y16" s="250"/>
      <c r="Z16" s="250"/>
      <c r="AA16" s="4"/>
      <c r="AB16" s="4"/>
      <c r="AC16" s="5"/>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x14ac:dyDescent="0.25">
      <c r="A17" s="4"/>
      <c r="B17" s="253"/>
      <c r="C17" s="229" t="s">
        <v>41</v>
      </c>
      <c r="D17" s="229"/>
      <c r="E17" s="42">
        <f>E15/E16</f>
        <v>2.2415080620596814E-4</v>
      </c>
      <c r="F17" s="42" t="s">
        <v>13</v>
      </c>
      <c r="G17" s="230" t="s">
        <v>42</v>
      </c>
      <c r="H17" s="230"/>
      <c r="I17" s="230"/>
      <c r="J17" s="230"/>
      <c r="K17" s="230"/>
      <c r="L17" s="230"/>
      <c r="M17" s="230"/>
      <c r="N17" s="230"/>
      <c r="O17" s="24"/>
      <c r="P17" s="251" t="s">
        <v>43</v>
      </c>
      <c r="Q17" s="251"/>
      <c r="R17" s="251"/>
      <c r="S17" s="235" t="s">
        <v>44</v>
      </c>
      <c r="T17" s="235"/>
      <c r="U17" s="235" t="s">
        <v>45</v>
      </c>
      <c r="V17" s="235"/>
      <c r="W17" s="252" t="s">
        <v>46</v>
      </c>
      <c r="X17" s="252"/>
      <c r="Y17" s="252"/>
      <c r="Z17" s="252"/>
      <c r="AA17" s="4"/>
      <c r="AB17" s="4"/>
      <c r="AC17" s="5"/>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x14ac:dyDescent="0.25">
      <c r="A18" s="4"/>
      <c r="B18" s="253"/>
      <c r="C18" s="229" t="s">
        <v>47</v>
      </c>
      <c r="D18" s="229"/>
      <c r="E18" s="35">
        <v>400000</v>
      </c>
      <c r="F18" s="36" t="s">
        <v>48</v>
      </c>
      <c r="G18" s="230" t="s">
        <v>49</v>
      </c>
      <c r="H18" s="230"/>
      <c r="I18" s="230"/>
      <c r="J18" s="230"/>
      <c r="K18" s="230"/>
      <c r="L18" s="230"/>
      <c r="M18" s="230"/>
      <c r="N18" s="230"/>
      <c r="O18" s="24"/>
      <c r="P18" s="251"/>
      <c r="Q18" s="251"/>
      <c r="R18" s="251"/>
      <c r="S18" s="235"/>
      <c r="T18" s="235"/>
      <c r="U18" s="235"/>
      <c r="V18" s="235"/>
      <c r="W18" s="252"/>
      <c r="X18" s="252"/>
      <c r="Y18" s="252"/>
      <c r="Z18" s="252"/>
      <c r="AA18" s="4"/>
      <c r="AB18" s="4"/>
      <c r="AC18" s="5"/>
      <c r="AD18"/>
      <c r="AE18" s="4"/>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x14ac:dyDescent="0.25">
      <c r="A19" s="4"/>
      <c r="B19" s="253"/>
      <c r="C19" s="232" t="s">
        <v>50</v>
      </c>
      <c r="D19" s="232"/>
      <c r="E19" s="43">
        <v>100000</v>
      </c>
      <c r="F19" s="44" t="s">
        <v>17</v>
      </c>
      <c r="G19" s="233" t="s">
        <v>51</v>
      </c>
      <c r="H19" s="233"/>
      <c r="I19" s="233"/>
      <c r="J19" s="233"/>
      <c r="K19" s="233"/>
      <c r="L19" s="233"/>
      <c r="M19" s="233"/>
      <c r="N19" s="233"/>
      <c r="O19" s="24"/>
      <c r="P19" s="251"/>
      <c r="Q19" s="251"/>
      <c r="R19" s="251"/>
      <c r="S19" s="235"/>
      <c r="T19" s="235"/>
      <c r="U19" s="235"/>
      <c r="V19" s="235"/>
      <c r="W19" s="252"/>
      <c r="X19" s="252"/>
      <c r="Y19" s="252"/>
      <c r="Z19" s="252"/>
      <c r="AA19" s="4"/>
      <c r="AB19" s="4"/>
      <c r="AC19" s="5"/>
      <c r="AD19"/>
      <c r="AE19" s="4"/>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x14ac:dyDescent="0.25">
      <c r="A20" s="4"/>
      <c r="B20" s="241" t="s">
        <v>52</v>
      </c>
      <c r="C20" s="242" t="s">
        <v>53</v>
      </c>
      <c r="D20" s="242"/>
      <c r="E20" s="45">
        <v>13</v>
      </c>
      <c r="F20" s="46" t="s">
        <v>54</v>
      </c>
      <c r="G20" s="243" t="s">
        <v>55</v>
      </c>
      <c r="H20" s="243"/>
      <c r="I20" s="243"/>
      <c r="J20" s="243"/>
      <c r="K20" s="243"/>
      <c r="L20" s="243"/>
      <c r="M20" s="243"/>
      <c r="N20" s="243"/>
      <c r="O20" s="24"/>
      <c r="P20" s="244">
        <f>E19*E15*E33</f>
        <v>2144.3749999999995</v>
      </c>
      <c r="Q20" s="244"/>
      <c r="R20" s="244"/>
      <c r="S20" s="245">
        <f>E19*E15*(1-E12)*E33</f>
        <v>857.74999999999966</v>
      </c>
      <c r="T20" s="245"/>
      <c r="U20" s="245">
        <f>P20-S20</f>
        <v>1286.625</v>
      </c>
      <c r="V20" s="245"/>
      <c r="W20" s="238">
        <f>-(U27+U32)/U20</f>
        <v>4387.5078512095615</v>
      </c>
      <c r="X20" s="238"/>
      <c r="Y20" s="238"/>
      <c r="Z20" s="238"/>
      <c r="AA20" s="4"/>
      <c r="AB20" s="4"/>
      <c r="AC20" s="5"/>
      <c r="AD20"/>
      <c r="AE20" s="4"/>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x14ac:dyDescent="0.25">
      <c r="A21" s="4"/>
      <c r="B21" s="241"/>
      <c r="C21" s="229" t="s">
        <v>56</v>
      </c>
      <c r="D21" s="229"/>
      <c r="E21" s="47">
        <v>0.35</v>
      </c>
      <c r="F21" s="32" t="s">
        <v>57</v>
      </c>
      <c r="G21" s="230" t="s">
        <v>58</v>
      </c>
      <c r="H21" s="230"/>
      <c r="I21" s="230"/>
      <c r="J21" s="230"/>
      <c r="K21" s="230"/>
      <c r="L21" s="230"/>
      <c r="M21" s="230"/>
      <c r="N21" s="230"/>
      <c r="O21" s="48"/>
      <c r="P21" s="3"/>
      <c r="Q21" s="4"/>
      <c r="R21" s="4"/>
      <c r="S21" s="4"/>
      <c r="T21" s="4"/>
      <c r="U21" s="4"/>
      <c r="V21" s="4"/>
      <c r="W21" s="4"/>
      <c r="X21" s="190"/>
      <c r="Y21" s="4"/>
      <c r="Z21" s="4"/>
      <c r="AA21" s="4"/>
      <c r="AB21" s="4"/>
      <c r="AC21" s="5"/>
      <c r="AD21" s="4"/>
      <c r="AE21" s="4"/>
      <c r="AF21" s="4"/>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x14ac:dyDescent="0.25">
      <c r="A22" s="4"/>
      <c r="B22" s="241"/>
      <c r="C22" s="229" t="s">
        <v>59</v>
      </c>
      <c r="D22" s="229"/>
      <c r="E22" s="33">
        <v>0.25</v>
      </c>
      <c r="F22" s="32" t="s">
        <v>13</v>
      </c>
      <c r="G22" s="239"/>
      <c r="H22" s="239"/>
      <c r="I22" s="239"/>
      <c r="J22" s="239"/>
      <c r="K22" s="239"/>
      <c r="L22" s="239"/>
      <c r="M22" s="239"/>
      <c r="N22" s="239"/>
      <c r="O22" s="24"/>
      <c r="P22" s="240" t="s">
        <v>179</v>
      </c>
      <c r="Q22" s="240"/>
      <c r="R22" s="240"/>
      <c r="S22" s="240"/>
      <c r="T22" s="240"/>
      <c r="U22" s="240"/>
      <c r="V22" s="240"/>
      <c r="W22" s="240"/>
      <c r="X22" s="240"/>
      <c r="Y22" s="240"/>
      <c r="Z22" s="240"/>
      <c r="AA22" s="4"/>
      <c r="AB22" s="4"/>
      <c r="AC22" s="5"/>
      <c r="AD22" s="4"/>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x14ac:dyDescent="0.25">
      <c r="A23" s="4"/>
      <c r="B23" s="241"/>
      <c r="C23" s="229" t="s">
        <v>60</v>
      </c>
      <c r="D23" s="229"/>
      <c r="E23" s="33">
        <v>0.34</v>
      </c>
      <c r="F23" s="34" t="s">
        <v>13</v>
      </c>
      <c r="G23" s="230" t="s">
        <v>61</v>
      </c>
      <c r="H23" s="230"/>
      <c r="I23" s="230"/>
      <c r="J23" s="230"/>
      <c r="K23" s="230"/>
      <c r="L23" s="230"/>
      <c r="M23" s="230"/>
      <c r="N23" s="230"/>
      <c r="O23" s="24"/>
      <c r="P23" s="246"/>
      <c r="Q23" s="247" t="s">
        <v>143</v>
      </c>
      <c r="R23" s="247" t="s">
        <v>142</v>
      </c>
      <c r="S23" s="235" t="s">
        <v>91</v>
      </c>
      <c r="T23" s="234" t="s">
        <v>141</v>
      </c>
      <c r="U23" s="235" t="s">
        <v>92</v>
      </c>
      <c r="V23" s="235" t="s">
        <v>140</v>
      </c>
      <c r="W23" s="236" t="s">
        <v>139</v>
      </c>
      <c r="X23" s="236"/>
      <c r="Y23" s="235" t="s">
        <v>138</v>
      </c>
      <c r="Z23" s="248" t="s">
        <v>137</v>
      </c>
      <c r="AA23" s="4"/>
      <c r="AB23" s="4"/>
      <c r="AC23" s="5"/>
      <c r="AD23" s="4"/>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x14ac:dyDescent="0.25">
      <c r="A24" s="4"/>
      <c r="B24" s="241"/>
      <c r="C24" s="249" t="s">
        <v>62</v>
      </c>
      <c r="D24" s="249"/>
      <c r="E24" s="33">
        <v>0.48814504881450493</v>
      </c>
      <c r="F24" s="34" t="s">
        <v>13</v>
      </c>
      <c r="G24" s="230" t="s">
        <v>63</v>
      </c>
      <c r="H24" s="230"/>
      <c r="I24" s="230"/>
      <c r="J24" s="230"/>
      <c r="K24" s="230"/>
      <c r="L24" s="230"/>
      <c r="M24" s="230"/>
      <c r="N24" s="230"/>
      <c r="O24" s="49"/>
      <c r="P24" s="246"/>
      <c r="Q24" s="247"/>
      <c r="R24" s="247"/>
      <c r="S24" s="235"/>
      <c r="T24" s="234"/>
      <c r="U24" s="235"/>
      <c r="V24" s="235"/>
      <c r="W24" s="236"/>
      <c r="X24" s="236"/>
      <c r="Y24" s="235"/>
      <c r="Z24" s="248"/>
      <c r="AA24" s="4"/>
      <c r="AB24" s="4"/>
      <c r="AC24" s="5"/>
      <c r="AD24" s="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5">
      <c r="A25" s="4"/>
      <c r="B25" s="241"/>
      <c r="C25" s="229" t="s">
        <v>64</v>
      </c>
      <c r="D25" s="229"/>
      <c r="E25" s="32">
        <f>E21*E20</f>
        <v>4.55</v>
      </c>
      <c r="F25" s="32" t="s">
        <v>65</v>
      </c>
      <c r="G25" s="230" t="s">
        <v>177</v>
      </c>
      <c r="H25" s="230"/>
      <c r="I25" s="230"/>
      <c r="J25" s="230"/>
      <c r="K25" s="230"/>
      <c r="L25" s="230"/>
      <c r="M25" s="230"/>
      <c r="N25" s="230"/>
      <c r="O25" s="49"/>
      <c r="P25" s="246"/>
      <c r="Q25" s="247"/>
      <c r="R25" s="247"/>
      <c r="S25" s="235"/>
      <c r="T25" s="234"/>
      <c r="U25" s="235"/>
      <c r="V25" s="235"/>
      <c r="W25" s="236"/>
      <c r="X25" s="236"/>
      <c r="Y25" s="235"/>
      <c r="Z25" s="248"/>
      <c r="AA25" s="4"/>
      <c r="AB25" s="4"/>
      <c r="AC25" s="5"/>
      <c r="AD25" s="4"/>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5">
      <c r="A26" s="4"/>
      <c r="B26" s="241"/>
      <c r="C26" s="229" t="s">
        <v>66</v>
      </c>
      <c r="D26" s="229"/>
      <c r="E26" s="50">
        <f>(1.8/0.4)*E21</f>
        <v>1.575</v>
      </c>
      <c r="F26" s="51" t="s">
        <v>67</v>
      </c>
      <c r="G26" s="230" t="s">
        <v>68</v>
      </c>
      <c r="H26" s="230"/>
      <c r="I26" s="230"/>
      <c r="J26" s="230"/>
      <c r="K26" s="230"/>
      <c r="L26" s="230"/>
      <c r="M26" s="230"/>
      <c r="N26" s="230"/>
      <c r="O26" s="49"/>
      <c r="P26" s="52" t="s">
        <v>119</v>
      </c>
      <c r="Q26" s="53">
        <f t="shared" ref="Q26:Q31" si="0">SUMIFS($L$41:$L$46,$D$41:$D$46,""&amp;$P26)</f>
        <v>270500000.00000006</v>
      </c>
      <c r="R26" s="53">
        <f t="shared" ref="R26:R31" si="1">SUMIFS($R$41:$R$46,$P$41:$P$46,""&amp;$P26)-SUMIFS($R$41:$R$46,$D$41:$D$46,""&amp;$P26)+SUMIFS($V$41:$V$46,$D$41:$D$46,""&amp;$P26)</f>
        <v>17907500.000000004</v>
      </c>
      <c r="S26" s="53">
        <f t="shared" ref="S26:S31" si="2">SUMIFS($AA$41:$AA$46,$X$41:$X$46,""&amp;$P26)+SUMIFS($Z$41:$Z$46,$X$41:$X$46,""&amp;$P26)</f>
        <v>1558812.5589622641</v>
      </c>
      <c r="T26" s="54">
        <f t="shared" ref="T26:T31" si="3">SUMIFS($Y$41:$Y$46,$X$41:$X$46,""&amp;$P26)*$E$31</f>
        <v>1.1388629588271815</v>
      </c>
      <c r="U26" s="53">
        <f t="shared" ref="U26:U32" si="4">S26-R26</f>
        <v>-16348687.441037741</v>
      </c>
      <c r="V26" s="42">
        <f t="shared" ref="V26:V32" si="5">IFERROR((U26+SUMIFS($T$41:$T$46,$D$41:$D$46,""&amp;$P26))/Q26,"")</f>
        <v>-4.5438770576849308E-2</v>
      </c>
      <c r="W26" s="231">
        <f t="shared" ref="W26:W32" si="6">IFERROR(U26/S26,"")</f>
        <v>-10.487911036540162</v>
      </c>
      <c r="X26" s="231"/>
      <c r="Y26" s="55">
        <f t="shared" ref="Y26:Y31" si="7">IF(U26&lt;0,U26,"")</f>
        <v>-16348687.441037741</v>
      </c>
      <c r="Z26" s="56" t="str">
        <f t="shared" ref="Z26:Z31" si="8">IFERROR(IF(Q26/U26&gt;0,Q26/U26,""),"")</f>
        <v/>
      </c>
      <c r="AA26" s="4"/>
      <c r="AB26" s="4"/>
      <c r="AC26" s="5"/>
      <c r="AD26" s="4"/>
      <c r="AE26" s="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x14ac:dyDescent="0.25">
      <c r="A27" s="4"/>
      <c r="B27" s="241"/>
      <c r="C27" s="229" t="s">
        <v>69</v>
      </c>
      <c r="D27" s="229"/>
      <c r="E27" s="50">
        <v>0.71700000000000008</v>
      </c>
      <c r="F27" s="51" t="s">
        <v>70</v>
      </c>
      <c r="G27" s="237" t="s">
        <v>71</v>
      </c>
      <c r="H27" s="237"/>
      <c r="I27" s="237"/>
      <c r="J27" s="237"/>
      <c r="K27" s="237"/>
      <c r="L27" s="237"/>
      <c r="M27" s="237"/>
      <c r="N27" s="237"/>
      <c r="O27" s="49"/>
      <c r="P27" s="52" t="s">
        <v>121</v>
      </c>
      <c r="Q27" s="53">
        <f t="shared" si="0"/>
        <v>75000000.000000015</v>
      </c>
      <c r="R27" s="53">
        <f t="shared" si="1"/>
        <v>4125000.0000000009</v>
      </c>
      <c r="S27" s="53">
        <f t="shared" si="2"/>
        <v>0</v>
      </c>
      <c r="T27" s="54">
        <f t="shared" si="3"/>
        <v>0</v>
      </c>
      <c r="U27" s="53">
        <f t="shared" si="4"/>
        <v>-4125000.0000000009</v>
      </c>
      <c r="V27" s="42">
        <f t="shared" si="5"/>
        <v>-4.0000000000000008E-2</v>
      </c>
      <c r="W27" s="231" t="str">
        <f t="shared" si="6"/>
        <v/>
      </c>
      <c r="X27" s="231"/>
      <c r="Y27" s="55">
        <f t="shared" si="7"/>
        <v>-4125000.0000000009</v>
      </c>
      <c r="Z27" s="56" t="str">
        <f t="shared" si="8"/>
        <v/>
      </c>
      <c r="AA27" s="4"/>
      <c r="AB27" s="4"/>
      <c r="AC27" s="5"/>
      <c r="AD27" s="4"/>
      <c r="AE27" s="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x14ac:dyDescent="0.25">
      <c r="A28" s="4"/>
      <c r="B28" s="241"/>
      <c r="C28" s="229" t="s">
        <v>72</v>
      </c>
      <c r="D28" s="229"/>
      <c r="E28" s="51">
        <f>((E27+E29)*E26)</f>
        <v>1.444275</v>
      </c>
      <c r="F28" s="32" t="s">
        <v>65</v>
      </c>
      <c r="G28" s="230" t="s">
        <v>73</v>
      </c>
      <c r="H28" s="230"/>
      <c r="I28" s="230"/>
      <c r="J28" s="230"/>
      <c r="K28" s="230"/>
      <c r="L28" s="230"/>
      <c r="M28" s="230"/>
      <c r="N28" s="230"/>
      <c r="O28" s="49"/>
      <c r="P28" s="52" t="s">
        <v>123</v>
      </c>
      <c r="Q28" s="53">
        <f t="shared" si="0"/>
        <v>25093749.999999993</v>
      </c>
      <c r="R28" s="53">
        <f t="shared" si="1"/>
        <v>6995601.4062499981</v>
      </c>
      <c r="S28" s="53">
        <f t="shared" si="2"/>
        <v>3091629.84375</v>
      </c>
      <c r="T28" s="54">
        <f t="shared" si="3"/>
        <v>2.2634754178715895</v>
      </c>
      <c r="U28" s="53">
        <f t="shared" si="4"/>
        <v>-3903971.5624999981</v>
      </c>
      <c r="V28" s="42">
        <f t="shared" si="5"/>
        <v>-5.5575454545454504E-2</v>
      </c>
      <c r="W28" s="231">
        <f t="shared" si="6"/>
        <v>-1.2627551679229057</v>
      </c>
      <c r="X28" s="231"/>
      <c r="Y28" s="55">
        <f t="shared" si="7"/>
        <v>-3903971.5624999981</v>
      </c>
      <c r="Z28" s="56" t="str">
        <f t="shared" si="8"/>
        <v/>
      </c>
      <c r="AA28" s="4"/>
      <c r="AB28" s="4"/>
      <c r="AC28" s="5"/>
      <c r="AD28" s="4"/>
      <c r="AE28" s="4"/>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x14ac:dyDescent="0.25">
      <c r="A29" s="4"/>
      <c r="B29" s="241"/>
      <c r="C29" s="229" t="s">
        <v>74</v>
      </c>
      <c r="D29" s="229"/>
      <c r="E29" s="50">
        <v>0.2</v>
      </c>
      <c r="F29" s="32" t="s">
        <v>70</v>
      </c>
      <c r="G29" s="230" t="s">
        <v>51</v>
      </c>
      <c r="H29" s="230"/>
      <c r="I29" s="230"/>
      <c r="J29" s="230"/>
      <c r="K29" s="230"/>
      <c r="L29" s="230"/>
      <c r="M29" s="230"/>
      <c r="N29" s="230"/>
      <c r="O29" s="49"/>
      <c r="P29" s="57" t="s">
        <v>117</v>
      </c>
      <c r="Q29" s="53">
        <f t="shared" si="0"/>
        <v>200000000</v>
      </c>
      <c r="R29" s="53">
        <f t="shared" si="1"/>
        <v>12000000</v>
      </c>
      <c r="S29" s="53">
        <f t="shared" si="2"/>
        <v>1556953.125</v>
      </c>
      <c r="T29" s="54">
        <f t="shared" si="3"/>
        <v>1.1375</v>
      </c>
      <c r="U29" s="53">
        <f t="shared" si="4"/>
        <v>-10443046.875</v>
      </c>
      <c r="V29" s="42">
        <f t="shared" si="5"/>
        <v>-3.7215234375000003E-2</v>
      </c>
      <c r="W29" s="231">
        <f t="shared" si="6"/>
        <v>-6.7073611320186659</v>
      </c>
      <c r="X29" s="231"/>
      <c r="Y29" s="55">
        <f t="shared" si="7"/>
        <v>-10443046.875</v>
      </c>
      <c r="Z29" s="56" t="str">
        <f t="shared" si="8"/>
        <v/>
      </c>
      <c r="AA29" s="4"/>
      <c r="AB29" s="4"/>
      <c r="AC29" s="5"/>
      <c r="AD29" s="4"/>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x14ac:dyDescent="0.25">
      <c r="A30" s="4"/>
      <c r="B30" s="241"/>
      <c r="C30" s="229" t="s">
        <v>75</v>
      </c>
      <c r="D30" s="229"/>
      <c r="E30" s="50">
        <v>0</v>
      </c>
      <c r="F30" s="51" t="s">
        <v>65</v>
      </c>
      <c r="G30" s="230" t="s">
        <v>76</v>
      </c>
      <c r="H30" s="230"/>
      <c r="I30" s="230"/>
      <c r="J30" s="230"/>
      <c r="K30" s="230"/>
      <c r="L30" s="230"/>
      <c r="M30" s="230"/>
      <c r="N30" s="230"/>
      <c r="O30" s="48"/>
      <c r="P30" s="57" t="s">
        <v>133</v>
      </c>
      <c r="Q30" s="53">
        <f t="shared" si="0"/>
        <v>0</v>
      </c>
      <c r="R30" s="53">
        <f t="shared" si="1"/>
        <v>0</v>
      </c>
      <c r="S30" s="53">
        <f t="shared" si="2"/>
        <v>0</v>
      </c>
      <c r="T30" s="54">
        <f t="shared" si="3"/>
        <v>0</v>
      </c>
      <c r="U30" s="53">
        <f t="shared" si="4"/>
        <v>0</v>
      </c>
      <c r="V30" s="42" t="str">
        <f t="shared" si="5"/>
        <v/>
      </c>
      <c r="W30" s="231" t="str">
        <f t="shared" si="6"/>
        <v/>
      </c>
      <c r="X30" s="231"/>
      <c r="Y30" s="55" t="str">
        <f t="shared" si="7"/>
        <v/>
      </c>
      <c r="Z30" s="56" t="str">
        <f t="shared" si="8"/>
        <v/>
      </c>
      <c r="AA30" s="4"/>
      <c r="AB30" s="4"/>
      <c r="AC30" s="5"/>
      <c r="AD30" s="4"/>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5">
      <c r="A31" s="4"/>
      <c r="B31" s="241"/>
      <c r="C31" s="232" t="s">
        <v>77</v>
      </c>
      <c r="D31" s="232"/>
      <c r="E31" s="58">
        <f>E25+E30</f>
        <v>4.55</v>
      </c>
      <c r="F31" s="58" t="s">
        <v>65</v>
      </c>
      <c r="G31" s="233" t="s">
        <v>78</v>
      </c>
      <c r="H31" s="233"/>
      <c r="I31" s="233"/>
      <c r="J31" s="233"/>
      <c r="K31" s="233"/>
      <c r="L31" s="233"/>
      <c r="M31" s="233"/>
      <c r="N31" s="233"/>
      <c r="O31" s="59"/>
      <c r="P31" s="57" t="s">
        <v>178</v>
      </c>
      <c r="Q31" s="53">
        <f t="shared" si="0"/>
        <v>0</v>
      </c>
      <c r="R31" s="53">
        <f t="shared" si="1"/>
        <v>0</v>
      </c>
      <c r="S31" s="53">
        <f t="shared" si="2"/>
        <v>0</v>
      </c>
      <c r="T31" s="54">
        <f t="shared" si="3"/>
        <v>0</v>
      </c>
      <c r="U31" s="53">
        <f t="shared" si="4"/>
        <v>0</v>
      </c>
      <c r="V31" s="42" t="str">
        <f t="shared" si="5"/>
        <v/>
      </c>
      <c r="W31" s="231" t="str">
        <f t="shared" si="6"/>
        <v/>
      </c>
      <c r="X31" s="231"/>
      <c r="Y31" s="55" t="str">
        <f t="shared" si="7"/>
        <v/>
      </c>
      <c r="Z31" s="56" t="str">
        <f t="shared" si="8"/>
        <v/>
      </c>
      <c r="AA31" s="4"/>
      <c r="AB31" s="4"/>
      <c r="AC31" s="5"/>
      <c r="AD31" s="4"/>
      <c r="AE31" s="4"/>
      <c r="AF31" s="4"/>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5">
      <c r="A32" s="4"/>
      <c r="B32" s="29" t="s">
        <v>79</v>
      </c>
      <c r="C32" s="225" t="s">
        <v>80</v>
      </c>
      <c r="D32" s="225"/>
      <c r="E32" s="60">
        <v>0</v>
      </c>
      <c r="F32" s="61" t="s">
        <v>13</v>
      </c>
      <c r="G32" s="226" t="s">
        <v>81</v>
      </c>
      <c r="H32" s="226"/>
      <c r="I32" s="226"/>
      <c r="J32" s="226"/>
      <c r="K32" s="226"/>
      <c r="L32" s="226"/>
      <c r="M32" s="226"/>
      <c r="N32" s="226"/>
      <c r="O32" s="24"/>
      <c r="P32" s="62" t="s">
        <v>134</v>
      </c>
      <c r="Q32" s="63">
        <f>MIN(MAX(IF(E44="Low",F44,IF(E44="Middle",G44,IF(E44="High",H44,""))),0),E18)*E15</f>
        <v>9124999.9999999981</v>
      </c>
      <c r="R32" s="63">
        <f>(E21*E20*E7*E23*E12)+(E21*E20*E7*E22*E12)</f>
        <v>2204645.6250000005</v>
      </c>
      <c r="S32" s="63">
        <f>(E7*E12*E27*E26*E24)+(E7*E12*E27*E26*E22)</f>
        <v>684568.33593750012</v>
      </c>
      <c r="T32" s="64">
        <f>SUMIFS($AA$41:$AA$46,$X$41:$X$46,""&amp;$P32)+SUMIFS($Y$41:$Y$46,$X$41:$X$46,""&amp;$P32)</f>
        <v>0</v>
      </c>
      <c r="U32" s="63">
        <f t="shared" si="4"/>
        <v>-1520077.2890625005</v>
      </c>
      <c r="V32" s="65">
        <f t="shared" si="5"/>
        <v>-0.16658381250000009</v>
      </c>
      <c r="W32" s="227">
        <f t="shared" si="6"/>
        <v>-2.2204902115152474</v>
      </c>
      <c r="X32" s="227"/>
      <c r="Y32" s="66"/>
      <c r="Z32" s="67" t="str">
        <f>IF(Q32/U32&gt;0,Q32/U32,"")</f>
        <v/>
      </c>
      <c r="AA32" s="4"/>
      <c r="AB32" s="4"/>
      <c r="AC32" s="5"/>
      <c r="AD32" s="4"/>
      <c r="AE32" s="4"/>
      <c r="AF32" s="4"/>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5">
      <c r="A33" s="4"/>
      <c r="B33" s="68" t="s">
        <v>82</v>
      </c>
      <c r="C33" s="225" t="s">
        <v>83</v>
      </c>
      <c r="D33" s="225"/>
      <c r="E33" s="69">
        <f>(940/1000)/1000</f>
        <v>9.3999999999999997E-4</v>
      </c>
      <c r="F33" s="70" t="s">
        <v>84</v>
      </c>
      <c r="G33" s="226" t="s">
        <v>85</v>
      </c>
      <c r="H33" s="226"/>
      <c r="I33" s="226"/>
      <c r="J33" s="226"/>
      <c r="K33" s="226"/>
      <c r="L33" s="226"/>
      <c r="M33" s="226"/>
      <c r="N33" s="226"/>
      <c r="O33" s="24"/>
      <c r="P33" s="71" t="s">
        <v>86</v>
      </c>
      <c r="Q33" s="72">
        <f>SUM(Q26:Q31)</f>
        <v>570593750</v>
      </c>
      <c r="R33" s="72">
        <f>SUM(R26:R31)</f>
        <v>41028101.40625</v>
      </c>
      <c r="S33" s="72">
        <f>SUM(S26:S31)</f>
        <v>6207395.5277122641</v>
      </c>
      <c r="T33" s="73">
        <f>SUM(T26:T31)</f>
        <v>4.5398383766987713</v>
      </c>
      <c r="U33" s="72">
        <f>SUM(U26:U31)</f>
        <v>-34820705.878537737</v>
      </c>
      <c r="V33" s="72"/>
      <c r="W33" s="72"/>
      <c r="X33" s="191"/>
      <c r="Y33" s="74">
        <f>SUM(Y26:Y31)</f>
        <v>-34820705.878537737</v>
      </c>
      <c r="Z33" s="75" t="str">
        <f>IFERROR(IF(Q33/U33&gt;0,Q33/U33,""),"")</f>
        <v/>
      </c>
      <c r="AA33" s="15"/>
      <c r="AB33" s="15"/>
      <c r="AC33" s="16"/>
      <c r="AD33" s="4"/>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4"/>
      <c r="B34"/>
      <c r="C34"/>
      <c r="D34" s="189"/>
      <c r="E34"/>
      <c r="F34"/>
      <c r="G34"/>
      <c r="H34"/>
      <c r="I34"/>
      <c r="J34"/>
      <c r="K34"/>
      <c r="L34"/>
      <c r="M34"/>
      <c r="N34"/>
      <c r="O34"/>
      <c r="P34" s="4"/>
      <c r="Q34" s="4"/>
      <c r="R34" s="4"/>
      <c r="S34" s="4"/>
      <c r="T34" s="4"/>
      <c r="U34" s="4"/>
      <c r="V34" s="4"/>
      <c r="W34" s="4"/>
      <c r="X34" s="190"/>
      <c r="Y34" s="4"/>
      <c r="Z34" s="4"/>
      <c r="AA34" s="4"/>
      <c r="AB34" s="4"/>
      <c r="AC34" s="4"/>
      <c r="AD34" s="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5">
      <c r="A35" s="4"/>
      <c r="B35"/>
      <c r="C35"/>
      <c r="D35" s="189"/>
      <c r="E35"/>
      <c r="F35" s="76">
        <v>0</v>
      </c>
      <c r="G35"/>
      <c r="H35"/>
      <c r="I35"/>
      <c r="J35"/>
      <c r="K35"/>
      <c r="L35"/>
      <c r="M35"/>
      <c r="N35"/>
      <c r="O35"/>
      <c r="P35" s="4"/>
      <c r="Q35" s="4"/>
      <c r="R35" s="4"/>
      <c r="S35" s="4"/>
      <c r="T35" s="4"/>
      <c r="U35" s="4"/>
      <c r="V35" s="4"/>
      <c r="W35" s="4"/>
      <c r="X35" s="190"/>
      <c r="Y35" s="4"/>
      <c r="Z35" s="4"/>
      <c r="AA35" s="4"/>
      <c r="AB35" s="4"/>
      <c r="AC35" s="4"/>
      <c r="AD35" s="4"/>
      <c r="AE35" s="4"/>
      <c r="AF35" s="4"/>
      <c r="AG35" s="4"/>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5">
      <c r="A36" s="4"/>
      <c r="B36"/>
      <c r="C36"/>
      <c r="D36" s="189"/>
      <c r="E36"/>
      <c r="F36">
        <v>9.0000000000000008E-4</v>
      </c>
      <c r="G36"/>
      <c r="H36"/>
      <c r="I36"/>
      <c r="J36"/>
      <c r="K36"/>
      <c r="L36"/>
      <c r="M36"/>
      <c r="N36"/>
      <c r="O36"/>
      <c r="P36"/>
      <c r="Q36"/>
      <c r="R36"/>
      <c r="S36"/>
      <c r="T36"/>
      <c r="U36"/>
      <c r="V36"/>
      <c r="W36"/>
      <c r="X36" s="189"/>
      <c r="Y36"/>
      <c r="Z36"/>
      <c r="AA36"/>
      <c r="AB36"/>
      <c r="AC36"/>
      <c r="AD36" s="4"/>
      <c r="AE36" s="4"/>
      <c r="AF36" s="4"/>
      <c r="AG36" s="4"/>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x14ac:dyDescent="0.25">
      <c r="A37" s="4"/>
      <c r="B37" s="228" t="s">
        <v>87</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4"/>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ustomHeight="1" x14ac:dyDescent="0.25">
      <c r="A38" s="4"/>
      <c r="B38" s="212" t="s">
        <v>88</v>
      </c>
      <c r="C38" s="212"/>
      <c r="D38" s="213" t="s">
        <v>89</v>
      </c>
      <c r="E38" s="213"/>
      <c r="F38" s="213"/>
      <c r="G38" s="213"/>
      <c r="H38" s="213"/>
      <c r="I38" s="213"/>
      <c r="J38" s="213"/>
      <c r="K38" s="213"/>
      <c r="L38" s="213"/>
      <c r="M38" s="4"/>
      <c r="N38" s="214" t="s">
        <v>90</v>
      </c>
      <c r="O38" s="214"/>
      <c r="P38" s="214"/>
      <c r="Q38" s="214"/>
      <c r="R38" s="214"/>
      <c r="S38" s="214"/>
      <c r="T38" s="214"/>
      <c r="U38" s="214"/>
      <c r="V38" s="214"/>
      <c r="W38" s="77"/>
      <c r="X38" s="214" t="s">
        <v>91</v>
      </c>
      <c r="Y38" s="214"/>
      <c r="Z38" s="214"/>
      <c r="AA38" s="214"/>
      <c r="AB38" s="77"/>
      <c r="AC38" s="215" t="s">
        <v>92</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x14ac:dyDescent="0.25">
      <c r="A39" s="4"/>
      <c r="B39" s="212"/>
      <c r="C39" s="212"/>
      <c r="D39" s="216" t="s">
        <v>93</v>
      </c>
      <c r="E39" s="217" t="s">
        <v>94</v>
      </c>
      <c r="F39" s="218" t="s">
        <v>95</v>
      </c>
      <c r="G39" s="218" t="s">
        <v>96</v>
      </c>
      <c r="H39" s="218" t="s">
        <v>97</v>
      </c>
      <c r="I39" s="218" t="s">
        <v>98</v>
      </c>
      <c r="J39" s="218" t="s">
        <v>99</v>
      </c>
      <c r="K39" s="218" t="s">
        <v>100</v>
      </c>
      <c r="L39" s="220" t="s">
        <v>101</v>
      </c>
      <c r="M39" s="4"/>
      <c r="N39" s="223" t="s">
        <v>102</v>
      </c>
      <c r="O39" s="223"/>
      <c r="P39" s="224" t="s">
        <v>103</v>
      </c>
      <c r="Q39" s="224"/>
      <c r="R39" s="224"/>
      <c r="S39" s="219" t="s">
        <v>104</v>
      </c>
      <c r="T39" s="218" t="s">
        <v>105</v>
      </c>
      <c r="U39" s="218" t="s">
        <v>106</v>
      </c>
      <c r="V39" s="220" t="s">
        <v>107</v>
      </c>
      <c r="W39" s="80"/>
      <c r="X39" s="221" t="s">
        <v>108</v>
      </c>
      <c r="Y39" s="221"/>
      <c r="Z39" s="221"/>
      <c r="AA39" s="222" t="s">
        <v>109</v>
      </c>
      <c r="AB39" s="80"/>
      <c r="AC39" s="215"/>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2" customHeight="1" x14ac:dyDescent="0.25">
      <c r="A40" s="4"/>
      <c r="B40" s="212"/>
      <c r="C40" s="212"/>
      <c r="D40" s="216"/>
      <c r="E40" s="217"/>
      <c r="F40" s="218"/>
      <c r="G40" s="218"/>
      <c r="H40" s="218"/>
      <c r="I40" s="218"/>
      <c r="J40" s="218"/>
      <c r="K40" s="218"/>
      <c r="L40" s="220"/>
      <c r="M40" s="4"/>
      <c r="N40" s="223"/>
      <c r="O40" s="223"/>
      <c r="P40" s="81" t="s">
        <v>110</v>
      </c>
      <c r="Q40" s="78" t="s">
        <v>111</v>
      </c>
      <c r="R40" s="79" t="s">
        <v>112</v>
      </c>
      <c r="S40" s="219"/>
      <c r="T40" s="218"/>
      <c r="U40" s="218"/>
      <c r="V40" s="220"/>
      <c r="W40" s="80"/>
      <c r="X40" s="192" t="s">
        <v>113</v>
      </c>
      <c r="Y40" s="78" t="s">
        <v>114</v>
      </c>
      <c r="Z40" s="79" t="s">
        <v>115</v>
      </c>
      <c r="AA40" s="222"/>
      <c r="AB40" s="80"/>
      <c r="AC40" s="215"/>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x14ac:dyDescent="0.25">
      <c r="A41" s="4"/>
      <c r="B41" s="207" t="s">
        <v>116</v>
      </c>
      <c r="C41" s="207"/>
      <c r="D41" s="193" t="s">
        <v>117</v>
      </c>
      <c r="E41" s="188" t="s">
        <v>125</v>
      </c>
      <c r="F41" s="35">
        <v>4000000</v>
      </c>
      <c r="G41" s="25">
        <v>6000000</v>
      </c>
      <c r="H41" s="25">
        <v>8000000</v>
      </c>
      <c r="I41" s="25">
        <v>40</v>
      </c>
      <c r="J41" s="33">
        <v>0.5</v>
      </c>
      <c r="K41" s="33">
        <v>0.03</v>
      </c>
      <c r="L41" s="82">
        <f>IF(High="Low",(F41*$E$5)-(F41*E5*E32),IF(High="Medium",(G41*$E$5)-(G41*E5*E32),IF(High="High",(H41*$E$5)-(H41*E5*E32),"")))</f>
        <v>200000000</v>
      </c>
      <c r="M41" s="4"/>
      <c r="N41" s="208">
        <f>IFERROR((L41/$I$41),"")</f>
        <v>5000000</v>
      </c>
      <c r="O41" s="208"/>
      <c r="P41" s="199" t="s">
        <v>117</v>
      </c>
      <c r="Q41" s="84">
        <v>0.02</v>
      </c>
      <c r="R41" s="82">
        <f t="shared" ref="R41:R44" si="9">(Q41*L41)</f>
        <v>4000000</v>
      </c>
      <c r="S41" s="85"/>
      <c r="T41" s="26">
        <f t="shared" ref="T41:T44" si="10">IFERROR((K41*J41*L41),"")</f>
        <v>3000000</v>
      </c>
      <c r="U41" s="25"/>
      <c r="V41" s="82">
        <f t="shared" ref="V41:V46" si="11">(N41+T41+S41+U41+R41)</f>
        <v>12000000</v>
      </c>
      <c r="W41" s="86"/>
      <c r="X41" s="193" t="s">
        <v>117</v>
      </c>
      <c r="Y41" s="33">
        <v>0.25</v>
      </c>
      <c r="Z41" s="82">
        <f t="shared" ref="Z41:Z44" si="12">(Y41*$E$7*$E$31)</f>
        <v>1556953.125</v>
      </c>
      <c r="AA41" s="87">
        <v>0</v>
      </c>
      <c r="AB41" s="8"/>
      <c r="AC41" s="83">
        <f t="shared" ref="AC41:AC46" si="13">IFERROR(Z41+AA41-V41,"")</f>
        <v>-10443046.875</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x14ac:dyDescent="0.25">
      <c r="A42" s="4"/>
      <c r="B42" s="207" t="s">
        <v>118</v>
      </c>
      <c r="C42" s="207"/>
      <c r="D42" s="193" t="s">
        <v>119</v>
      </c>
      <c r="E42" s="188" t="s">
        <v>125</v>
      </c>
      <c r="F42" s="25">
        <v>10000000</v>
      </c>
      <c r="G42" s="25">
        <v>14000000</v>
      </c>
      <c r="H42" s="25">
        <v>18000000</v>
      </c>
      <c r="I42" s="25">
        <v>40</v>
      </c>
      <c r="J42" s="33">
        <v>0.5</v>
      </c>
      <c r="K42" s="33">
        <v>0.03</v>
      </c>
      <c r="L42" s="82">
        <f>IF(E42="Low",(F42*$E$5*$E$6)-(F42*E5*E6*E32),IF(E42="Medium",(G42*$E$5*$E$6)-(G42*E5*E6*E32),IF(E42="High",(H42*$E$5*$E$6)-(H42*E5*E6*E32),"")))</f>
        <v>270000000.00000006</v>
      </c>
      <c r="M42" s="4"/>
      <c r="N42" s="208">
        <f>IFERROR((L42/$I$42),"")</f>
        <v>6750000.0000000019</v>
      </c>
      <c r="O42" s="208"/>
      <c r="P42" s="199" t="s">
        <v>119</v>
      </c>
      <c r="Q42" s="84">
        <v>1.4999999999999999E-2</v>
      </c>
      <c r="R42" s="82">
        <f t="shared" si="9"/>
        <v>4050000.0000000009</v>
      </c>
      <c r="S42" s="85"/>
      <c r="T42" s="26">
        <f t="shared" si="10"/>
        <v>4050000.0000000009</v>
      </c>
      <c r="U42" s="25"/>
      <c r="V42" s="82">
        <f t="shared" si="11"/>
        <v>14850000.000000004</v>
      </c>
      <c r="W42" s="86"/>
      <c r="X42" s="193" t="s">
        <v>119</v>
      </c>
      <c r="Y42" s="33">
        <v>0.25</v>
      </c>
      <c r="Z42" s="82">
        <f t="shared" si="12"/>
        <v>1556953.125</v>
      </c>
      <c r="AA42" s="87">
        <v>0</v>
      </c>
      <c r="AB42" s="8"/>
      <c r="AC42" s="83">
        <f t="shared" si="13"/>
        <v>-13293046.875000004</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x14ac:dyDescent="0.25">
      <c r="A43" s="4"/>
      <c r="B43" s="207" t="s">
        <v>120</v>
      </c>
      <c r="C43" s="207"/>
      <c r="D43" s="193" t="s">
        <v>121</v>
      </c>
      <c r="E43" s="188" t="s">
        <v>125</v>
      </c>
      <c r="F43" s="35">
        <v>200000</v>
      </c>
      <c r="G43" s="25">
        <v>2500000</v>
      </c>
      <c r="H43" s="25">
        <v>5000000</v>
      </c>
      <c r="I43" s="25">
        <v>40</v>
      </c>
      <c r="J43" s="33">
        <v>0.5</v>
      </c>
      <c r="K43" s="33">
        <v>0.03</v>
      </c>
      <c r="L43" s="82">
        <f>IF(E43="Low",(F43*$E$5*$E$6)-(F43*$E$5*$E$6*E32),IF(E43="Medium",(G43*$E$5*$E$6)-(G43*$E$5*$E$6*E32),IF(E43="High",(H43*$E$5*$E$6)-(H43*$E$5*$E$6*E32),"")))</f>
        <v>75000000.000000015</v>
      </c>
      <c r="M43" s="4"/>
      <c r="N43" s="208">
        <f>IFERROR((L43/$I$43),"")</f>
        <v>1875000.0000000005</v>
      </c>
      <c r="O43" s="208"/>
      <c r="P43" s="199" t="s">
        <v>121</v>
      </c>
      <c r="Q43" s="84">
        <v>1.4999999999999999E-2</v>
      </c>
      <c r="R43" s="82">
        <f t="shared" si="9"/>
        <v>1125000.0000000002</v>
      </c>
      <c r="S43" s="85"/>
      <c r="T43" s="26">
        <f t="shared" si="10"/>
        <v>1125000.0000000002</v>
      </c>
      <c r="U43" s="25"/>
      <c r="V43" s="82">
        <f t="shared" si="11"/>
        <v>4125000.0000000009</v>
      </c>
      <c r="W43" s="86"/>
      <c r="X43" s="193" t="s">
        <v>121</v>
      </c>
      <c r="Y43" s="33">
        <v>0</v>
      </c>
      <c r="Z43" s="82">
        <f t="shared" si="12"/>
        <v>0</v>
      </c>
      <c r="AA43" s="87">
        <v>0</v>
      </c>
      <c r="AB43" s="8"/>
      <c r="AC43" s="83">
        <f t="shared" si="13"/>
        <v>-4125000.0000000009</v>
      </c>
      <c r="AD43" s="88"/>
      <c r="AE43" s="88"/>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x14ac:dyDescent="0.25">
      <c r="A44" s="4"/>
      <c r="B44" s="207" t="s">
        <v>122</v>
      </c>
      <c r="C44" s="207"/>
      <c r="D44" s="193" t="s">
        <v>123</v>
      </c>
      <c r="E44" s="188" t="s">
        <v>125</v>
      </c>
      <c r="F44" s="35">
        <v>115000</v>
      </c>
      <c r="G44" s="35">
        <v>350000</v>
      </c>
      <c r="H44" s="35">
        <v>1500000</v>
      </c>
      <c r="I44" s="35">
        <v>10</v>
      </c>
      <c r="J44" s="33">
        <v>1</v>
      </c>
      <c r="K44" s="33">
        <v>0.1</v>
      </c>
      <c r="L44" s="82">
        <f>MAX(IF(E44="Low",(F44*E15)-(E15*E18),IF(E44="Medium",(G44*E15)-(E15*E18),IF(E44="High",(H44*E15)-(E15*E18),""))),0)</f>
        <v>25093749.999999993</v>
      </c>
      <c r="M44" s="4"/>
      <c r="N44" s="208">
        <f>IFERROR((L44/$I$44),"")</f>
        <v>2509374.9999999991</v>
      </c>
      <c r="O44" s="208"/>
      <c r="P44" s="199" t="s">
        <v>123</v>
      </c>
      <c r="Q44" s="84">
        <v>0</v>
      </c>
      <c r="R44" s="82">
        <f t="shared" si="9"/>
        <v>0</v>
      </c>
      <c r="S44" s="85"/>
      <c r="T44" s="26">
        <f t="shared" si="10"/>
        <v>2509374.9999999995</v>
      </c>
      <c r="U44" s="25"/>
      <c r="V44" s="82">
        <f t="shared" si="11"/>
        <v>5018749.9999999981</v>
      </c>
      <c r="W44" s="86"/>
      <c r="X44" s="193" t="s">
        <v>123</v>
      </c>
      <c r="Y44" s="33">
        <v>0.17900000000000002</v>
      </c>
      <c r="Z44" s="82">
        <f t="shared" si="12"/>
        <v>1114778.4375</v>
      </c>
      <c r="AA44" s="87">
        <v>0</v>
      </c>
      <c r="AB44" s="8"/>
      <c r="AC44" s="83">
        <f t="shared" si="13"/>
        <v>-3903971.5624999981</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5">
      <c r="A45" s="4"/>
      <c r="B45" s="207" t="s">
        <v>66</v>
      </c>
      <c r="C45" s="207"/>
      <c r="D45" s="193" t="s">
        <v>123</v>
      </c>
      <c r="E45" s="89"/>
      <c r="F45" s="90"/>
      <c r="G45" s="90"/>
      <c r="H45" s="90"/>
      <c r="I45" s="90"/>
      <c r="J45" s="90"/>
      <c r="K45" s="90"/>
      <c r="L45" s="91"/>
      <c r="M45" s="4"/>
      <c r="N45" s="209"/>
      <c r="O45" s="209"/>
      <c r="P45" s="200"/>
      <c r="Q45" s="92"/>
      <c r="R45" s="91"/>
      <c r="S45" s="93">
        <f>$E$28*$E$7</f>
        <v>1976851.40625</v>
      </c>
      <c r="T45" s="90"/>
      <c r="U45" s="94"/>
      <c r="V45" s="82">
        <f t="shared" si="11"/>
        <v>1976851.40625</v>
      </c>
      <c r="W45" s="86"/>
      <c r="X45" s="193" t="s">
        <v>123</v>
      </c>
      <c r="Y45" s="42">
        <f>Z45/(SUM(Z41:Z46))</f>
        <v>0.31846712480694278</v>
      </c>
      <c r="Z45" s="82">
        <f>S45</f>
        <v>1976851.40625</v>
      </c>
      <c r="AA45" s="87">
        <v>0</v>
      </c>
      <c r="AB45" s="8"/>
      <c r="AC45" s="83">
        <f t="shared" si="13"/>
        <v>0</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x14ac:dyDescent="0.25">
      <c r="A46" s="4"/>
      <c r="B46" s="210" t="s">
        <v>124</v>
      </c>
      <c r="C46" s="210"/>
      <c r="D46" s="194" t="s">
        <v>119</v>
      </c>
      <c r="E46" s="188" t="s">
        <v>125</v>
      </c>
      <c r="F46" s="95">
        <v>100000</v>
      </c>
      <c r="G46" s="95">
        <v>200000</v>
      </c>
      <c r="H46" s="95">
        <v>500000</v>
      </c>
      <c r="I46" s="95">
        <v>10</v>
      </c>
      <c r="J46" s="96">
        <v>0.5</v>
      </c>
      <c r="K46" s="96">
        <v>0.03</v>
      </c>
      <c r="L46" s="97">
        <f>IF(E46="Low",(F46),IF(E46="Medium",(G46),IF(E46="High",(H46),"")))</f>
        <v>500000</v>
      </c>
      <c r="M46" s="15"/>
      <c r="N46" s="211">
        <f>IFERROR((L46/$I$46),"")</f>
        <v>50000</v>
      </c>
      <c r="O46" s="211"/>
      <c r="P46" s="199" t="s">
        <v>119</v>
      </c>
      <c r="Q46" s="99"/>
      <c r="R46" s="100">
        <v>3000000</v>
      </c>
      <c r="S46" s="101"/>
      <c r="T46" s="44">
        <f>IFERROR((K46*J46*L46),"")</f>
        <v>7500</v>
      </c>
      <c r="U46" s="43"/>
      <c r="V46" s="97">
        <f t="shared" si="11"/>
        <v>3057500</v>
      </c>
      <c r="W46" s="86"/>
      <c r="X46" s="194" t="s">
        <v>119</v>
      </c>
      <c r="Y46" s="102">
        <f>Z46/(SUM(Z41:Z46))</f>
        <v>2.9955139058932261E-4</v>
      </c>
      <c r="Z46" s="103">
        <f>E13*E14</f>
        <v>1859.4339622641508</v>
      </c>
      <c r="AA46" s="104">
        <v>0</v>
      </c>
      <c r="AB46" s="8"/>
      <c r="AC46" s="98">
        <f t="shared" si="13"/>
        <v>-3055640.5660377359</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8" customFormat="1" ht="12" x14ac:dyDescent="0.25">
      <c r="A47" s="105"/>
      <c r="B47" s="105"/>
      <c r="C47" s="105"/>
      <c r="D47" s="198"/>
      <c r="E47" s="106"/>
      <c r="F47" s="105"/>
      <c r="G47" s="105"/>
      <c r="H47" s="105"/>
      <c r="I47" s="105"/>
      <c r="J47" s="105"/>
      <c r="K47" s="105"/>
      <c r="L47" s="105"/>
      <c r="M47" s="19"/>
      <c r="N47" s="107"/>
      <c r="P47" s="106"/>
      <c r="Q47" s="105"/>
      <c r="R47" s="105"/>
      <c r="S47" s="105"/>
      <c r="T47" s="105"/>
      <c r="U47" s="105"/>
      <c r="V47" s="105"/>
      <c r="W47" s="105"/>
      <c r="X47" s="195"/>
      <c r="Y47" s="184">
        <f>SUM(Y41:Y46)</f>
        <v>0.99776667619753223</v>
      </c>
      <c r="Z47" s="109"/>
      <c r="AC47" s="110"/>
      <c r="AD47" s="110"/>
      <c r="AE47" s="105"/>
      <c r="AF47" s="105"/>
    </row>
    <row r="48" spans="1:256" x14ac:dyDescent="0.25">
      <c r="A48" s="105"/>
      <c r="B48" s="4"/>
      <c r="C48" s="4"/>
      <c r="D48" s="190"/>
      <c r="E48" s="106"/>
      <c r="F48" s="4"/>
      <c r="G48" s="4"/>
      <c r="H48" s="4"/>
      <c r="I48" s="4"/>
      <c r="J48" s="4"/>
      <c r="K48" s="4"/>
      <c r="L48" s="4"/>
      <c r="M48" s="19"/>
      <c r="N48" s="4"/>
      <c r="O48"/>
      <c r="P48" s="4"/>
      <c r="Q48" s="4"/>
      <c r="R48" s="4"/>
      <c r="S48" s="4"/>
      <c r="T48" s="105"/>
      <c r="U48" s="105"/>
      <c r="V48" s="105"/>
      <c r="W48" s="105"/>
      <c r="X48" s="196"/>
      <c r="Y48" s="112"/>
      <c r="Z48" s="113"/>
      <c r="AA48" s="111"/>
      <c r="AB48" s="111"/>
      <c r="AC48" s="105"/>
      <c r="AD48" s="105"/>
      <c r="AE48" s="105"/>
      <c r="AF48" s="105"/>
      <c r="AG48" s="105"/>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x14ac:dyDescent="0.25">
      <c r="A49" s="105"/>
      <c r="B49" s="4"/>
      <c r="C49" s="4"/>
      <c r="D49" s="190"/>
      <c r="E49" s="8"/>
      <c r="F49" s="4"/>
      <c r="G49" s="4"/>
      <c r="H49" s="4"/>
      <c r="I49" s="4"/>
      <c r="J49" s="4"/>
      <c r="K49" s="4"/>
      <c r="L49" s="4"/>
      <c r="M49" s="19"/>
      <c r="N49" s="4"/>
      <c r="O49"/>
      <c r="P49" s="4"/>
      <c r="Q49" s="4"/>
      <c r="R49" s="4"/>
      <c r="S49" s="4"/>
      <c r="T49"/>
      <c r="U49" s="110"/>
      <c r="V49" s="105"/>
      <c r="W49" s="105"/>
      <c r="X49" s="206" t="str">
        <f>IF(Y47&gt;1,"User fees allocated too high",IF(Y47&lt;1,"User fees allocated too low",""))</f>
        <v>User fees allocated too low</v>
      </c>
      <c r="Y49" s="206"/>
      <c r="Z49" s="206"/>
      <c r="AA49"/>
      <c r="AB49"/>
      <c r="AC49" s="105"/>
      <c r="AD49" s="105"/>
      <c r="AE49" s="105"/>
      <c r="AF49" s="105"/>
      <c r="AG49" s="105"/>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x14ac:dyDescent="0.25">
      <c r="A50" s="105"/>
      <c r="B50" s="4"/>
      <c r="C50" s="4"/>
      <c r="D50" s="190"/>
      <c r="E50" s="8"/>
      <c r="F50" s="4"/>
      <c r="G50" s="4"/>
      <c r="H50" s="4"/>
      <c r="I50" s="4"/>
      <c r="J50" s="4"/>
      <c r="K50" s="4"/>
      <c r="L50" s="4"/>
      <c r="M50" s="19"/>
      <c r="N50" s="4"/>
      <c r="O50"/>
      <c r="P50" s="4"/>
      <c r="Q50" s="4"/>
      <c r="R50" s="4"/>
      <c r="S50" s="4"/>
      <c r="T50" s="4"/>
      <c r="U50" s="4"/>
      <c r="V50" s="4"/>
      <c r="W50" s="4"/>
      <c r="X50" s="190"/>
      <c r="Y50" s="4"/>
      <c r="Z50" s="4"/>
      <c r="AA50" s="4"/>
      <c r="AB50" s="4"/>
      <c r="AC50" s="4"/>
      <c r="AD50" s="105"/>
      <c r="AE50" s="105"/>
      <c r="AF50" s="105"/>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4" customFormat="1" ht="12" x14ac:dyDescent="0.25">
      <c r="D51" s="190"/>
      <c r="E51" s="8"/>
      <c r="X51" s="190"/>
    </row>
    <row r="52" spans="1:256" s="4" customFormat="1" ht="12" x14ac:dyDescent="0.25">
      <c r="D52" s="190"/>
      <c r="X52" s="190"/>
    </row>
    <row r="53" spans="1:256" s="4" customFormat="1" ht="12" x14ac:dyDescent="0.25">
      <c r="D53" s="190"/>
      <c r="X53" s="190"/>
    </row>
    <row r="54" spans="1:256" s="4" customFormat="1" ht="12" x14ac:dyDescent="0.25">
      <c r="D54" s="190"/>
      <c r="X54" s="190"/>
    </row>
    <row r="55" spans="1:256" s="4" customFormat="1" ht="12" x14ac:dyDescent="0.25">
      <c r="D55" s="190"/>
      <c r="X55" s="190"/>
    </row>
    <row r="56" spans="1:256" s="4" customFormat="1" ht="12" x14ac:dyDescent="0.25">
      <c r="D56" s="190"/>
      <c r="X56" s="190"/>
    </row>
    <row r="57" spans="1:256" s="4" customFormat="1" ht="12" x14ac:dyDescent="0.25">
      <c r="D57" s="190"/>
      <c r="X57" s="190"/>
    </row>
    <row r="58" spans="1:256" s="4" customFormat="1" ht="12" x14ac:dyDescent="0.25">
      <c r="D58" s="190"/>
      <c r="X58" s="190"/>
    </row>
    <row r="59" spans="1:256" s="4" customFormat="1" ht="12" x14ac:dyDescent="0.25">
      <c r="D59" s="190"/>
      <c r="X59" s="190"/>
    </row>
    <row r="60" spans="1:256" s="4" customFormat="1" ht="12" x14ac:dyDescent="0.25">
      <c r="D60" s="190"/>
      <c r="X60" s="190"/>
    </row>
    <row r="61" spans="1:256" s="4" customFormat="1" ht="12" x14ac:dyDescent="0.25">
      <c r="D61" s="190"/>
      <c r="X61" s="190"/>
    </row>
    <row r="62" spans="1:256" s="4" customFormat="1" ht="12" x14ac:dyDescent="0.25">
      <c r="D62" s="190"/>
      <c r="X62" s="190"/>
    </row>
    <row r="63" spans="1:256" s="4" customFormat="1" ht="12" x14ac:dyDescent="0.25">
      <c r="D63" s="190"/>
      <c r="X63" s="190"/>
    </row>
    <row r="64" spans="1:256" s="4" customFormat="1" ht="12" x14ac:dyDescent="0.25">
      <c r="D64" s="190"/>
      <c r="X64" s="190"/>
    </row>
    <row r="65" spans="4:24" s="4" customFormat="1" ht="12" x14ac:dyDescent="0.25">
      <c r="D65" s="190"/>
      <c r="X65" s="190"/>
    </row>
    <row r="66" spans="4:24" s="4" customFormat="1" ht="12" x14ac:dyDescent="0.25">
      <c r="D66" s="190"/>
      <c r="X66" s="190"/>
    </row>
    <row r="67" spans="4:24" s="4" customFormat="1" ht="12" x14ac:dyDescent="0.25">
      <c r="D67" s="190"/>
      <c r="X67" s="190"/>
    </row>
    <row r="68" spans="4:24" s="4" customFormat="1" ht="12" x14ac:dyDescent="0.25">
      <c r="D68" s="190"/>
      <c r="X68" s="190"/>
    </row>
    <row r="69" spans="4:24" s="4" customFormat="1" ht="12" x14ac:dyDescent="0.25">
      <c r="D69" s="190"/>
      <c r="X69" s="190"/>
    </row>
    <row r="70" spans="4:24" s="4" customFormat="1" ht="12" x14ac:dyDescent="0.25">
      <c r="D70" s="190"/>
      <c r="X70" s="190"/>
    </row>
    <row r="71" spans="4:24" s="4" customFormat="1" ht="12" x14ac:dyDescent="0.25">
      <c r="D71" s="190"/>
      <c r="X71" s="190"/>
    </row>
    <row r="72" spans="4:24" s="4" customFormat="1" ht="12" x14ac:dyDescent="0.25">
      <c r="D72" s="190"/>
      <c r="X72" s="190"/>
    </row>
    <row r="73" spans="4:24" s="4" customFormat="1" ht="12" x14ac:dyDescent="0.25">
      <c r="D73" s="190"/>
      <c r="X73" s="190"/>
    </row>
    <row r="74" spans="4:24" s="4" customFormat="1" ht="12" x14ac:dyDescent="0.25">
      <c r="D74" s="190"/>
      <c r="X74" s="190"/>
    </row>
    <row r="75" spans="4:24" s="4" customFormat="1" ht="12" x14ac:dyDescent="0.25">
      <c r="D75" s="190"/>
      <c r="X75" s="190"/>
    </row>
    <row r="76" spans="4:24" s="4" customFormat="1" ht="12" x14ac:dyDescent="0.25">
      <c r="D76" s="190"/>
      <c r="X76" s="190"/>
    </row>
    <row r="77" spans="4:24" s="4" customFormat="1" ht="12" x14ac:dyDescent="0.25">
      <c r="D77" s="190"/>
      <c r="X77" s="190"/>
    </row>
    <row r="78" spans="4:24" s="4" customFormat="1" ht="12" x14ac:dyDescent="0.25">
      <c r="D78" s="190"/>
      <c r="X78" s="190"/>
    </row>
    <row r="79" spans="4:24" s="4" customFormat="1" ht="12" x14ac:dyDescent="0.25">
      <c r="D79" s="190"/>
      <c r="X79" s="190"/>
    </row>
    <row r="80" spans="4:24" s="4" customFormat="1" ht="12" x14ac:dyDescent="0.25">
      <c r="D80" s="190"/>
      <c r="P80" s="114"/>
      <c r="Q80" s="114"/>
      <c r="R80" s="114"/>
      <c r="X80" s="190"/>
    </row>
    <row r="81" spans="2:28" s="4" customFormat="1" x14ac:dyDescent="0.25">
      <c r="D81" s="190"/>
      <c r="P81"/>
      <c r="Q81"/>
      <c r="R81"/>
      <c r="X81" s="190"/>
    </row>
    <row r="82" spans="2:28" s="4" customFormat="1" x14ac:dyDescent="0.25">
      <c r="D82" s="190"/>
      <c r="P82"/>
      <c r="Q82"/>
      <c r="R82"/>
      <c r="X82" s="190"/>
    </row>
    <row r="83" spans="2:28" s="4" customFormat="1" x14ac:dyDescent="0.25">
      <c r="D83" s="190"/>
      <c r="P83"/>
      <c r="Q83"/>
      <c r="R83"/>
      <c r="X83" s="190"/>
    </row>
    <row r="84" spans="2:28" s="4" customFormat="1" x14ac:dyDescent="0.25">
      <c r="B84" s="114"/>
      <c r="C84" s="114"/>
      <c r="D84" s="127"/>
      <c r="E84" s="114"/>
      <c r="F84" s="114"/>
      <c r="G84" s="114"/>
      <c r="H84" s="114"/>
      <c r="I84" s="114"/>
      <c r="J84" s="114"/>
      <c r="K84" s="114"/>
      <c r="L84" s="114"/>
      <c r="M84" s="114"/>
      <c r="N84" s="114"/>
      <c r="O84" s="114"/>
      <c r="P84"/>
      <c r="Q84"/>
      <c r="R84"/>
      <c r="X84" s="190"/>
    </row>
    <row r="85" spans="2:28" s="4" customFormat="1" x14ac:dyDescent="0.25">
      <c r="B85"/>
      <c r="C85" s="115"/>
      <c r="D85" s="127"/>
      <c r="E85" s="115"/>
      <c r="F85" s="115"/>
      <c r="G85"/>
      <c r="H85"/>
      <c r="I85"/>
      <c r="J85"/>
      <c r="K85"/>
      <c r="L85"/>
      <c r="M85"/>
      <c r="N85"/>
      <c r="O85"/>
      <c r="P85"/>
      <c r="Q85"/>
      <c r="R85"/>
      <c r="X85" s="190"/>
    </row>
    <row r="86" spans="2:28" s="4" customFormat="1" x14ac:dyDescent="0.25">
      <c r="B86"/>
      <c r="C86"/>
      <c r="D86" s="189"/>
      <c r="E86" s="115"/>
      <c r="F86" s="115"/>
      <c r="G86"/>
      <c r="H86"/>
      <c r="I86"/>
      <c r="J86"/>
      <c r="K86"/>
      <c r="L86"/>
      <c r="M86"/>
      <c r="N86"/>
      <c r="O86"/>
      <c r="P86"/>
      <c r="Q86"/>
      <c r="R86"/>
      <c r="X86" s="190"/>
    </row>
    <row r="87" spans="2:28" s="4" customFormat="1" x14ac:dyDescent="0.25">
      <c r="B87"/>
      <c r="C87" s="114"/>
      <c r="D87" s="127"/>
      <c r="E87" s="116"/>
      <c r="F87" s="116"/>
      <c r="G87"/>
      <c r="H87"/>
      <c r="I87"/>
      <c r="J87"/>
      <c r="K87"/>
      <c r="L87"/>
      <c r="M87"/>
      <c r="N87"/>
      <c r="O87"/>
      <c r="P87"/>
      <c r="Q87"/>
      <c r="R87"/>
      <c r="S87" s="114"/>
      <c r="T87" s="114"/>
      <c r="U87" s="114"/>
      <c r="V87" s="114"/>
      <c r="W87" s="114"/>
      <c r="X87" s="127"/>
      <c r="Y87" s="114"/>
      <c r="Z87" s="114"/>
      <c r="AA87" s="114"/>
      <c r="AB87" s="114"/>
    </row>
    <row r="88" spans="2:28" s="4" customFormat="1" x14ac:dyDescent="0.25">
      <c r="B88"/>
      <c r="C88"/>
      <c r="D88" s="189"/>
      <c r="E88" s="116"/>
      <c r="F88" s="116"/>
      <c r="G88"/>
      <c r="H88"/>
      <c r="I88"/>
      <c r="J88"/>
      <c r="K88"/>
      <c r="L88"/>
      <c r="M88"/>
      <c r="N88"/>
      <c r="O88"/>
      <c r="P88"/>
      <c r="Q88"/>
      <c r="R88"/>
      <c r="S88"/>
      <c r="T88"/>
      <c r="U88"/>
      <c r="V88"/>
      <c r="W88"/>
      <c r="X88" s="189"/>
      <c r="Y88"/>
      <c r="Z88"/>
      <c r="AA88"/>
      <c r="AB88"/>
    </row>
    <row r="89" spans="2:28" s="4" customFormat="1" x14ac:dyDescent="0.25">
      <c r="B89"/>
      <c r="C89" s="117"/>
      <c r="D89" s="189"/>
      <c r="E89"/>
      <c r="F89"/>
      <c r="G89"/>
      <c r="H89"/>
      <c r="I89"/>
      <c r="J89"/>
      <c r="K89"/>
      <c r="L89"/>
      <c r="M89"/>
      <c r="N89"/>
      <c r="O89"/>
      <c r="P89"/>
      <c r="Q89"/>
      <c r="R89"/>
      <c r="S89"/>
      <c r="T89"/>
      <c r="U89"/>
      <c r="V89"/>
      <c r="W89"/>
      <c r="X89" s="189"/>
      <c r="Y89"/>
      <c r="Z89"/>
      <c r="AA89"/>
      <c r="AB89"/>
    </row>
    <row r="90" spans="2:28" s="4" customFormat="1" x14ac:dyDescent="0.25">
      <c r="B90"/>
      <c r="C90" s="117"/>
      <c r="D90" s="189"/>
      <c r="E90"/>
      <c r="F90"/>
      <c r="G90"/>
      <c r="H90"/>
      <c r="I90"/>
      <c r="J90"/>
      <c r="K90"/>
      <c r="L90"/>
      <c r="M90"/>
      <c r="N90"/>
      <c r="O90"/>
      <c r="P90"/>
      <c r="Q90"/>
      <c r="R90"/>
      <c r="S90"/>
      <c r="T90"/>
      <c r="U90"/>
      <c r="V90"/>
      <c r="W90"/>
      <c r="X90" s="189"/>
      <c r="Y90"/>
      <c r="Z90"/>
      <c r="AA90"/>
      <c r="AB90"/>
    </row>
    <row r="91" spans="2:28" s="4" customFormat="1" x14ac:dyDescent="0.25">
      <c r="B91"/>
      <c r="C91" s="117"/>
      <c r="D91" s="189"/>
      <c r="E91"/>
      <c r="F91"/>
      <c r="G91"/>
      <c r="H91"/>
      <c r="I91"/>
      <c r="J91"/>
      <c r="K91"/>
      <c r="L91"/>
      <c r="M91"/>
      <c r="N91"/>
      <c r="O91"/>
      <c r="P91"/>
      <c r="Q91"/>
      <c r="R91"/>
      <c r="S91"/>
      <c r="T91"/>
      <c r="U91"/>
      <c r="V91"/>
      <c r="W91"/>
      <c r="X91" s="189"/>
      <c r="Y91"/>
      <c r="Z91"/>
      <c r="AA91"/>
      <c r="AB91"/>
    </row>
    <row r="92" spans="2:28" s="4" customFormat="1" ht="9.75" customHeight="1" x14ac:dyDescent="0.25">
      <c r="B92"/>
      <c r="C92" s="117"/>
      <c r="D92" s="189"/>
      <c r="E92"/>
      <c r="F92"/>
      <c r="G92"/>
      <c r="H92"/>
      <c r="I92"/>
      <c r="J92"/>
      <c r="K92"/>
      <c r="L92"/>
      <c r="M92"/>
      <c r="N92"/>
      <c r="O92"/>
      <c r="P92"/>
      <c r="Q92"/>
      <c r="R92"/>
      <c r="S92"/>
      <c r="T92"/>
      <c r="U92"/>
      <c r="V92"/>
      <c r="W92"/>
      <c r="X92" s="189"/>
      <c r="Y92"/>
      <c r="Z92"/>
      <c r="AA92"/>
      <c r="AB92"/>
    </row>
    <row r="93" spans="2:28" s="4" customFormat="1" x14ac:dyDescent="0.25">
      <c r="B93"/>
      <c r="C93"/>
      <c r="D93" s="189"/>
      <c r="E93"/>
      <c r="F93"/>
      <c r="G93"/>
      <c r="H93"/>
      <c r="I93"/>
      <c r="J93"/>
      <c r="K93"/>
      <c r="L93"/>
      <c r="M93"/>
      <c r="N93"/>
      <c r="O93"/>
      <c r="P93"/>
      <c r="Q93"/>
      <c r="R93"/>
      <c r="S93"/>
      <c r="T93"/>
      <c r="U93"/>
      <c r="V93"/>
      <c r="W93"/>
      <c r="X93" s="189"/>
      <c r="Y93"/>
      <c r="Z93"/>
      <c r="AA93"/>
      <c r="AB93"/>
    </row>
    <row r="94" spans="2:28" s="4" customFormat="1" x14ac:dyDescent="0.25">
      <c r="B94"/>
      <c r="C94" s="118"/>
      <c r="D94" s="189"/>
      <c r="E94"/>
      <c r="F94"/>
      <c r="G94"/>
      <c r="H94"/>
      <c r="I94"/>
      <c r="J94"/>
      <c r="K94"/>
      <c r="L94"/>
      <c r="M94"/>
      <c r="N94"/>
      <c r="O94"/>
      <c r="P94"/>
      <c r="Q94"/>
      <c r="R94"/>
      <c r="S94"/>
      <c r="T94"/>
      <c r="U94"/>
      <c r="V94"/>
      <c r="W94"/>
      <c r="X94" s="189"/>
      <c r="Y94"/>
      <c r="Z94"/>
      <c r="AA94"/>
      <c r="AB94"/>
    </row>
    <row r="95" spans="2:28" s="4" customFormat="1" ht="18.75" customHeight="1" x14ac:dyDescent="0.25">
      <c r="B95"/>
      <c r="C95" s="119"/>
      <c r="D95" s="189"/>
      <c r="E95"/>
      <c r="F95"/>
      <c r="G95"/>
      <c r="H95"/>
      <c r="I95"/>
      <c r="J95"/>
      <c r="K95"/>
      <c r="L95"/>
      <c r="M95"/>
      <c r="N95"/>
      <c r="O95"/>
      <c r="P95"/>
      <c r="Q95"/>
      <c r="R95"/>
      <c r="S95"/>
      <c r="T95"/>
      <c r="U95"/>
      <c r="V95"/>
      <c r="W95"/>
      <c r="X95" s="189"/>
      <c r="Y95"/>
      <c r="Z95"/>
      <c r="AA95"/>
      <c r="AB95"/>
    </row>
    <row r="96" spans="2:28" s="4" customFormat="1" ht="17.25" customHeight="1" x14ac:dyDescent="0.25">
      <c r="B96"/>
      <c r="C96" s="114"/>
      <c r="D96" s="127"/>
      <c r="E96"/>
      <c r="F96"/>
      <c r="G96"/>
      <c r="H96"/>
      <c r="I96"/>
      <c r="J96"/>
      <c r="K96"/>
      <c r="L96"/>
      <c r="M96"/>
      <c r="N96"/>
      <c r="O96"/>
      <c r="P96"/>
      <c r="Q96"/>
      <c r="R96"/>
      <c r="S96"/>
      <c r="T96"/>
      <c r="U96"/>
      <c r="V96"/>
      <c r="W96"/>
      <c r="X96" s="189"/>
      <c r="Y96"/>
      <c r="Z96"/>
      <c r="AA96"/>
      <c r="AB96"/>
    </row>
    <row r="97" spans="2:28" s="4" customFormat="1" ht="18" customHeight="1" x14ac:dyDescent="0.25">
      <c r="B97"/>
      <c r="C97"/>
      <c r="D97" s="189"/>
      <c r="E97"/>
      <c r="F97"/>
      <c r="G97"/>
      <c r="H97"/>
      <c r="I97"/>
      <c r="J97"/>
      <c r="K97"/>
      <c r="L97"/>
      <c r="M97"/>
      <c r="N97"/>
      <c r="O97"/>
      <c r="P97"/>
      <c r="Q97"/>
      <c r="R97"/>
      <c r="S97"/>
      <c r="T97"/>
      <c r="U97"/>
      <c r="V97"/>
      <c r="W97"/>
      <c r="X97" s="189"/>
      <c r="Y97"/>
      <c r="Z97"/>
      <c r="AA97"/>
      <c r="AB97"/>
    </row>
    <row r="98" spans="2:28" s="4" customFormat="1" ht="18" customHeight="1" x14ac:dyDescent="0.25">
      <c r="B98"/>
      <c r="C98" s="120"/>
      <c r="D98" s="189"/>
      <c r="E98"/>
      <c r="F98"/>
      <c r="G98"/>
      <c r="H98"/>
      <c r="I98"/>
      <c r="J98"/>
      <c r="K98"/>
      <c r="L98"/>
      <c r="M98"/>
      <c r="N98"/>
      <c r="O98"/>
      <c r="P98"/>
      <c r="Q98"/>
      <c r="R98"/>
      <c r="S98"/>
      <c r="T98"/>
      <c r="U98"/>
      <c r="V98"/>
      <c r="W98"/>
      <c r="X98" s="189"/>
      <c r="Y98"/>
      <c r="Z98"/>
      <c r="AA98"/>
      <c r="AB98"/>
    </row>
    <row r="99" spans="2:28" s="4" customFormat="1" x14ac:dyDescent="0.25">
      <c r="B99"/>
      <c r="C99" s="120"/>
      <c r="D99" s="189"/>
      <c r="E99"/>
      <c r="F99"/>
      <c r="G99"/>
      <c r="H99"/>
      <c r="I99"/>
      <c r="J99"/>
      <c r="K99"/>
      <c r="L99"/>
      <c r="M99"/>
      <c r="N99"/>
      <c r="O99"/>
      <c r="P99"/>
      <c r="Q99"/>
      <c r="R99"/>
      <c r="S99"/>
      <c r="T99"/>
      <c r="U99"/>
      <c r="V99"/>
      <c r="W99"/>
      <c r="X99" s="189"/>
      <c r="Y99"/>
      <c r="Z99"/>
      <c r="AA99"/>
      <c r="AB99"/>
    </row>
    <row r="100" spans="2:28" s="4" customFormat="1" ht="15" customHeight="1" x14ac:dyDescent="0.25">
      <c r="B100"/>
      <c r="C100" s="121"/>
      <c r="D100" s="189"/>
      <c r="E100"/>
      <c r="F100"/>
      <c r="G100"/>
      <c r="H100"/>
      <c r="I100"/>
      <c r="J100"/>
      <c r="K100"/>
      <c r="L100"/>
      <c r="M100"/>
      <c r="N100"/>
      <c r="O100"/>
      <c r="P100"/>
      <c r="Q100"/>
      <c r="R100"/>
      <c r="S100"/>
      <c r="T100"/>
      <c r="U100"/>
      <c r="V100"/>
      <c r="W100"/>
      <c r="X100" s="189"/>
      <c r="Y100"/>
      <c r="Z100"/>
      <c r="AA100"/>
      <c r="AB100"/>
    </row>
    <row r="101" spans="2:28" s="4" customFormat="1" x14ac:dyDescent="0.25">
      <c r="B101"/>
      <c r="C101" s="120"/>
      <c r="D101" s="189"/>
      <c r="E101"/>
      <c r="F101"/>
      <c r="G101"/>
      <c r="H101"/>
      <c r="I101"/>
      <c r="J101"/>
      <c r="K101"/>
      <c r="L101"/>
      <c r="M101"/>
      <c r="N101"/>
      <c r="O101"/>
      <c r="P101"/>
      <c r="Q101"/>
      <c r="R101"/>
      <c r="S101"/>
      <c r="T101"/>
      <c r="U101"/>
      <c r="V101"/>
      <c r="W101"/>
      <c r="X101" s="189"/>
      <c r="Y101"/>
      <c r="Z101"/>
      <c r="AA101"/>
      <c r="AB101"/>
    </row>
    <row r="102" spans="2:28" s="4" customFormat="1" x14ac:dyDescent="0.25">
      <c r="B102"/>
      <c r="C102" s="120"/>
      <c r="D102" s="189"/>
      <c r="E102"/>
      <c r="F102"/>
      <c r="G102"/>
      <c r="H102"/>
      <c r="I102"/>
      <c r="J102"/>
      <c r="K102"/>
      <c r="L102"/>
      <c r="M102"/>
      <c r="N102"/>
      <c r="O102"/>
      <c r="P102"/>
      <c r="Q102"/>
      <c r="R102"/>
      <c r="S102"/>
      <c r="T102"/>
      <c r="U102"/>
      <c r="V102"/>
      <c r="W102"/>
      <c r="X102" s="189"/>
      <c r="Y102"/>
      <c r="Z102"/>
      <c r="AA102"/>
      <c r="AB102"/>
    </row>
    <row r="103" spans="2:28" s="4" customFormat="1" x14ac:dyDescent="0.25">
      <c r="B103"/>
      <c r="C103" s="120"/>
      <c r="D103" s="189"/>
      <c r="E103"/>
      <c r="F103"/>
      <c r="G103"/>
      <c r="H103"/>
      <c r="I103"/>
      <c r="J103"/>
      <c r="K103"/>
      <c r="L103"/>
      <c r="M103"/>
      <c r="N103"/>
      <c r="O103"/>
      <c r="P103"/>
      <c r="Q103"/>
      <c r="R103"/>
      <c r="S103"/>
      <c r="T103"/>
      <c r="U103"/>
      <c r="V103"/>
      <c r="W103"/>
      <c r="X103" s="189"/>
      <c r="Y103"/>
      <c r="Z103"/>
      <c r="AA103"/>
      <c r="AB103"/>
    </row>
    <row r="104" spans="2:28" s="4" customFormat="1" x14ac:dyDescent="0.25">
      <c r="B104"/>
      <c r="C104" s="122"/>
      <c r="D104" s="189"/>
      <c r="E104"/>
      <c r="F104"/>
      <c r="G104"/>
      <c r="H104"/>
      <c r="I104"/>
      <c r="J104"/>
      <c r="K104"/>
      <c r="L104"/>
      <c r="M104"/>
      <c r="N104"/>
      <c r="O104"/>
      <c r="P104"/>
      <c r="Q104"/>
      <c r="R104"/>
      <c r="S104"/>
      <c r="T104"/>
      <c r="U104"/>
      <c r="V104"/>
      <c r="W104"/>
      <c r="X104" s="189"/>
      <c r="Y104"/>
      <c r="Z104"/>
      <c r="AA104"/>
      <c r="AB104"/>
    </row>
    <row r="105" spans="2:28" s="4" customFormat="1" x14ac:dyDescent="0.25">
      <c r="B105"/>
      <c r="C105" s="122"/>
      <c r="D105" s="189"/>
      <c r="E105"/>
      <c r="F105"/>
      <c r="G105"/>
      <c r="H105"/>
      <c r="I105"/>
      <c r="J105"/>
      <c r="K105"/>
      <c r="L105"/>
      <c r="M105"/>
      <c r="N105"/>
      <c r="O105"/>
      <c r="P105"/>
      <c r="Q105"/>
      <c r="R105"/>
      <c r="S105"/>
      <c r="T105"/>
      <c r="U105"/>
      <c r="V105"/>
      <c r="W105"/>
      <c r="X105" s="189"/>
      <c r="Y105"/>
      <c r="Z105"/>
      <c r="AA105"/>
      <c r="AB105"/>
    </row>
    <row r="106" spans="2:28" s="4" customFormat="1" x14ac:dyDescent="0.25">
      <c r="B106"/>
      <c r="C106" s="123"/>
      <c r="D106" s="189"/>
      <c r="E106" s="116"/>
      <c r="F106" s="116"/>
      <c r="G106"/>
      <c r="H106"/>
      <c r="I106"/>
      <c r="J106"/>
      <c r="K106"/>
      <c r="L106"/>
      <c r="M106"/>
      <c r="N106"/>
      <c r="O106"/>
      <c r="P106"/>
      <c r="Q106"/>
      <c r="R106"/>
      <c r="S106"/>
      <c r="T106"/>
      <c r="U106"/>
      <c r="V106"/>
      <c r="W106"/>
      <c r="X106" s="189"/>
      <c r="Y106"/>
      <c r="Z106"/>
      <c r="AA106"/>
      <c r="AB106"/>
    </row>
    <row r="107" spans="2:28" s="4" customFormat="1" x14ac:dyDescent="0.25">
      <c r="B107"/>
      <c r="C107" s="123"/>
      <c r="D107" s="189"/>
      <c r="E107"/>
      <c r="F107"/>
      <c r="G107"/>
      <c r="H107"/>
      <c r="I107"/>
      <c r="J107"/>
      <c r="K107"/>
      <c r="L107"/>
      <c r="M107"/>
      <c r="N107"/>
      <c r="O107"/>
      <c r="P107"/>
      <c r="Q107"/>
      <c r="R107"/>
      <c r="S107"/>
      <c r="T107"/>
      <c r="U107"/>
      <c r="V107"/>
      <c r="W107"/>
      <c r="X107" s="189"/>
      <c r="Y107"/>
      <c r="Z107"/>
      <c r="AA107"/>
      <c r="AB107"/>
    </row>
    <row r="108" spans="2:28" s="4" customFormat="1" x14ac:dyDescent="0.25">
      <c r="B108"/>
      <c r="C108" s="120"/>
      <c r="D108" s="189"/>
      <c r="E108"/>
      <c r="F108"/>
      <c r="G108"/>
      <c r="H108"/>
      <c r="I108"/>
      <c r="J108"/>
      <c r="K108"/>
      <c r="L108"/>
      <c r="M108"/>
      <c r="N108"/>
      <c r="O108"/>
      <c r="P108"/>
      <c r="Q108"/>
      <c r="R108"/>
      <c r="S108"/>
      <c r="T108"/>
      <c r="U108"/>
      <c r="V108"/>
      <c r="W108"/>
      <c r="X108" s="189"/>
      <c r="Y108"/>
      <c r="Z108"/>
      <c r="AA108"/>
      <c r="AB108"/>
    </row>
    <row r="109" spans="2:28" s="4" customFormat="1" x14ac:dyDescent="0.25">
      <c r="B109"/>
      <c r="C109" s="120"/>
      <c r="D109" s="189"/>
      <c r="E109"/>
      <c r="F109"/>
      <c r="G109"/>
      <c r="H109"/>
      <c r="I109"/>
      <c r="J109"/>
      <c r="K109"/>
      <c r="L109"/>
      <c r="M109"/>
      <c r="N109"/>
      <c r="O109"/>
      <c r="P109"/>
      <c r="Q109"/>
      <c r="R109"/>
      <c r="S109"/>
      <c r="T109"/>
      <c r="U109"/>
      <c r="V109"/>
      <c r="W109"/>
      <c r="X109" s="189"/>
      <c r="Y109"/>
      <c r="Z109"/>
      <c r="AA109"/>
      <c r="AB109"/>
    </row>
    <row r="110" spans="2:28" s="4" customFormat="1" x14ac:dyDescent="0.25">
      <c r="B110"/>
      <c r="C110" s="121"/>
      <c r="D110" s="189"/>
      <c r="E110"/>
      <c r="F110"/>
      <c r="G110"/>
      <c r="H110"/>
      <c r="I110"/>
      <c r="J110"/>
      <c r="K110"/>
      <c r="L110"/>
      <c r="M110"/>
      <c r="N110"/>
      <c r="O110"/>
      <c r="P110"/>
      <c r="Q110"/>
      <c r="R110"/>
      <c r="S110"/>
      <c r="T110"/>
      <c r="U110"/>
      <c r="V110"/>
      <c r="W110"/>
      <c r="X110" s="189"/>
      <c r="Y110"/>
      <c r="Z110"/>
      <c r="AA110"/>
      <c r="AB110"/>
    </row>
    <row r="111" spans="2:28" s="4" customFormat="1" x14ac:dyDescent="0.25">
      <c r="B111"/>
      <c r="C111" s="120"/>
      <c r="D111" s="189"/>
      <c r="E111"/>
      <c r="F111"/>
      <c r="G111"/>
      <c r="H111"/>
      <c r="I111"/>
      <c r="J111"/>
      <c r="K111"/>
      <c r="L111"/>
      <c r="M111"/>
      <c r="N111"/>
      <c r="O111"/>
      <c r="P111"/>
      <c r="Q111"/>
      <c r="R111"/>
      <c r="S111"/>
      <c r="T111"/>
      <c r="U111"/>
      <c r="V111"/>
      <c r="W111"/>
      <c r="X111" s="189"/>
      <c r="Y111"/>
      <c r="Z111"/>
      <c r="AA111"/>
      <c r="AB111"/>
    </row>
    <row r="112" spans="2:28" s="4" customFormat="1" x14ac:dyDescent="0.25">
      <c r="B112"/>
      <c r="C112" s="120"/>
      <c r="D112" s="189"/>
      <c r="E112"/>
      <c r="F112"/>
      <c r="G112"/>
      <c r="H112"/>
      <c r="I112"/>
      <c r="J112"/>
      <c r="K112"/>
      <c r="L112"/>
      <c r="M112"/>
      <c r="N112"/>
      <c r="O112"/>
      <c r="P112"/>
      <c r="Q112"/>
      <c r="R112"/>
      <c r="S112"/>
      <c r="T112"/>
      <c r="U112"/>
      <c r="V112"/>
      <c r="W112"/>
      <c r="X112" s="189"/>
      <c r="Y112"/>
      <c r="Z112"/>
      <c r="AA112"/>
      <c r="AB112"/>
    </row>
    <row r="113" spans="2:28" s="4" customFormat="1" x14ac:dyDescent="0.25">
      <c r="B113"/>
      <c r="C113" s="120"/>
      <c r="D113" s="189"/>
      <c r="E113"/>
      <c r="F113"/>
      <c r="G113"/>
      <c r="H113"/>
      <c r="I113"/>
      <c r="J113"/>
      <c r="K113"/>
      <c r="L113"/>
      <c r="M113"/>
      <c r="N113"/>
      <c r="O113"/>
      <c r="P113"/>
      <c r="Q113"/>
      <c r="R113"/>
      <c r="S113"/>
      <c r="T113"/>
      <c r="U113"/>
      <c r="V113"/>
      <c r="W113"/>
      <c r="X113" s="189"/>
      <c r="Y113"/>
      <c r="Z113"/>
      <c r="AA113"/>
      <c r="AB113"/>
    </row>
    <row r="114" spans="2:28" s="4" customFormat="1" x14ac:dyDescent="0.25">
      <c r="B114"/>
      <c r="C114" s="122"/>
      <c r="D114" s="189"/>
      <c r="E114"/>
      <c r="F114"/>
      <c r="G114"/>
      <c r="H114"/>
      <c r="I114"/>
      <c r="J114"/>
      <c r="K114"/>
      <c r="L114"/>
      <c r="M114"/>
      <c r="N114"/>
      <c r="O114"/>
      <c r="P114"/>
      <c r="Q114"/>
      <c r="R114"/>
      <c r="S114"/>
      <c r="T114"/>
      <c r="U114"/>
      <c r="V114"/>
      <c r="W114"/>
      <c r="X114" s="189"/>
      <c r="Y114"/>
      <c r="Z114"/>
      <c r="AA114"/>
      <c r="AB114"/>
    </row>
    <row r="115" spans="2:28" s="4" customFormat="1" x14ac:dyDescent="0.25">
      <c r="B115"/>
      <c r="C115" s="122"/>
      <c r="D115" s="189"/>
      <c r="E115"/>
      <c r="F115"/>
      <c r="G115"/>
      <c r="H115"/>
      <c r="I115"/>
      <c r="J115"/>
      <c r="K115"/>
      <c r="L115"/>
      <c r="M115"/>
      <c r="N115"/>
      <c r="O115"/>
      <c r="P115"/>
      <c r="Q115"/>
      <c r="R115"/>
      <c r="S115"/>
      <c r="T115"/>
      <c r="U115"/>
      <c r="V115"/>
      <c r="W115"/>
      <c r="X115" s="189"/>
      <c r="Y115"/>
      <c r="Z115"/>
      <c r="AA115"/>
      <c r="AB115"/>
    </row>
    <row r="116" spans="2:28" s="4" customFormat="1" x14ac:dyDescent="0.25">
      <c r="B116"/>
      <c r="C116" s="123"/>
      <c r="D116" s="189"/>
      <c r="E116" s="116"/>
      <c r="F116" s="116"/>
      <c r="G116"/>
      <c r="H116"/>
      <c r="I116"/>
      <c r="J116"/>
      <c r="K116"/>
      <c r="L116"/>
      <c r="M116"/>
      <c r="N116"/>
      <c r="O116"/>
      <c r="P116"/>
      <c r="Q116"/>
      <c r="R116"/>
      <c r="S116"/>
      <c r="T116"/>
      <c r="U116"/>
      <c r="V116"/>
      <c r="W116"/>
      <c r="X116" s="189"/>
      <c r="Y116"/>
      <c r="Z116"/>
      <c r="AA116"/>
      <c r="AB116"/>
    </row>
    <row r="117" spans="2:28" s="4" customFormat="1" x14ac:dyDescent="0.25">
      <c r="B117"/>
      <c r="C117" s="123"/>
      <c r="D117" s="189"/>
      <c r="E117" s="116"/>
      <c r="F117" s="116"/>
      <c r="G117"/>
      <c r="H117"/>
      <c r="I117"/>
      <c r="J117"/>
      <c r="K117"/>
      <c r="L117"/>
      <c r="M117"/>
      <c r="N117"/>
      <c r="O117"/>
      <c r="P117"/>
      <c r="Q117"/>
      <c r="R117"/>
      <c r="S117"/>
      <c r="T117"/>
      <c r="U117"/>
      <c r="V117"/>
      <c r="W117"/>
      <c r="X117" s="189"/>
      <c r="Y117"/>
      <c r="Z117"/>
      <c r="AA117"/>
      <c r="AB117"/>
    </row>
    <row r="118" spans="2:28" s="4" customFormat="1" x14ac:dyDescent="0.25">
      <c r="B118"/>
      <c r="C118" s="120"/>
      <c r="D118" s="189"/>
      <c r="E118"/>
      <c r="F118"/>
      <c r="G118"/>
      <c r="H118"/>
      <c r="I118"/>
      <c r="J118"/>
      <c r="K118"/>
      <c r="L118"/>
      <c r="M118"/>
      <c r="N118"/>
      <c r="O118"/>
      <c r="P118"/>
      <c r="Q118"/>
      <c r="R118"/>
      <c r="S118"/>
      <c r="T118"/>
      <c r="U118"/>
      <c r="V118"/>
      <c r="W118"/>
      <c r="X118" s="189"/>
      <c r="Y118"/>
      <c r="Z118"/>
      <c r="AA118"/>
      <c r="AB118"/>
    </row>
    <row r="119" spans="2:28" s="4" customFormat="1" x14ac:dyDescent="0.25">
      <c r="B119"/>
      <c r="C119" s="120"/>
      <c r="D119" s="189"/>
      <c r="E119"/>
      <c r="F119"/>
      <c r="G119"/>
      <c r="H119"/>
      <c r="I119"/>
      <c r="J119"/>
      <c r="K119"/>
      <c r="L119"/>
      <c r="M119"/>
      <c r="N119"/>
      <c r="O119"/>
      <c r="P119"/>
      <c r="Q119"/>
      <c r="R119"/>
      <c r="S119"/>
      <c r="T119"/>
      <c r="U119"/>
      <c r="V119"/>
      <c r="W119"/>
      <c r="X119" s="189"/>
      <c r="Y119"/>
      <c r="Z119"/>
      <c r="AA119"/>
      <c r="AB119"/>
    </row>
    <row r="120" spans="2:28" s="4" customFormat="1" x14ac:dyDescent="0.25">
      <c r="B120"/>
      <c r="C120" s="120"/>
      <c r="D120" s="189"/>
      <c r="E120"/>
      <c r="F120"/>
      <c r="G120"/>
      <c r="H120"/>
      <c r="I120"/>
      <c r="J120"/>
      <c r="K120"/>
      <c r="L120"/>
      <c r="M120"/>
      <c r="N120"/>
      <c r="O120"/>
      <c r="P120"/>
      <c r="Q120"/>
      <c r="R120"/>
      <c r="S120"/>
      <c r="T120"/>
      <c r="U120"/>
      <c r="V120"/>
      <c r="W120"/>
      <c r="X120" s="189"/>
      <c r="Y120"/>
      <c r="Z120"/>
      <c r="AA120"/>
      <c r="AB120"/>
    </row>
    <row r="121" spans="2:28" s="4" customFormat="1" x14ac:dyDescent="0.25">
      <c r="B121"/>
      <c r="C121" s="120"/>
      <c r="D121" s="189"/>
      <c r="E121"/>
      <c r="F121"/>
      <c r="G121"/>
      <c r="H121"/>
      <c r="I121"/>
      <c r="J121"/>
      <c r="K121"/>
      <c r="L121"/>
      <c r="M121"/>
      <c r="N121"/>
      <c r="O121"/>
      <c r="P121"/>
      <c r="Q121"/>
      <c r="R121"/>
      <c r="S121"/>
      <c r="T121"/>
      <c r="U121"/>
      <c r="V121"/>
      <c r="W121"/>
      <c r="X121" s="189"/>
      <c r="Y121"/>
      <c r="Z121"/>
      <c r="AA121"/>
      <c r="AB121"/>
    </row>
    <row r="122" spans="2:28" s="4" customFormat="1" x14ac:dyDescent="0.25">
      <c r="B122"/>
      <c r="C122" s="120"/>
      <c r="D122" s="189"/>
      <c r="E122"/>
      <c r="F122"/>
      <c r="G122"/>
      <c r="H122"/>
      <c r="I122"/>
      <c r="J122"/>
      <c r="K122"/>
      <c r="L122"/>
      <c r="M122"/>
      <c r="N122"/>
      <c r="O122"/>
      <c r="P122"/>
      <c r="Q122"/>
      <c r="R122"/>
      <c r="S122"/>
      <c r="T122"/>
      <c r="U122"/>
      <c r="V122"/>
      <c r="W122"/>
      <c r="X122" s="189"/>
      <c r="Y122"/>
      <c r="Z122"/>
      <c r="AA122"/>
      <c r="AB122"/>
    </row>
    <row r="123" spans="2:28" s="4" customFormat="1" x14ac:dyDescent="0.25">
      <c r="B123"/>
      <c r="C123" s="120"/>
      <c r="D123" s="189"/>
      <c r="E123"/>
      <c r="F123"/>
      <c r="G123"/>
      <c r="H123"/>
      <c r="I123"/>
      <c r="J123"/>
      <c r="K123"/>
      <c r="L123"/>
      <c r="M123"/>
      <c r="N123"/>
      <c r="O123"/>
      <c r="P123"/>
      <c r="Q123"/>
      <c r="R123"/>
      <c r="S123"/>
      <c r="T123"/>
      <c r="U123"/>
      <c r="V123"/>
      <c r="W123"/>
      <c r="X123" s="189"/>
      <c r="Y123"/>
      <c r="Z123"/>
      <c r="AA123"/>
      <c r="AB123"/>
    </row>
    <row r="124" spans="2:28" s="4" customFormat="1" x14ac:dyDescent="0.25">
      <c r="B124"/>
      <c r="C124"/>
      <c r="D124" s="189"/>
      <c r="E124" s="116"/>
      <c r="F124" s="116"/>
      <c r="G124"/>
      <c r="H124"/>
      <c r="I124"/>
      <c r="J124"/>
      <c r="K124"/>
      <c r="L124"/>
      <c r="M124"/>
      <c r="N124"/>
      <c r="O124"/>
      <c r="P124"/>
      <c r="Q124"/>
      <c r="R124"/>
      <c r="S124"/>
      <c r="T124"/>
      <c r="U124"/>
      <c r="V124"/>
      <c r="W124"/>
      <c r="X124" s="189"/>
      <c r="Y124"/>
      <c r="Z124"/>
      <c r="AA124"/>
      <c r="AB124"/>
    </row>
    <row r="125" spans="2:28" s="4" customFormat="1" x14ac:dyDescent="0.25">
      <c r="B125"/>
      <c r="C125"/>
      <c r="D125" s="189"/>
      <c r="E125" s="116"/>
      <c r="F125" s="116"/>
      <c r="G125"/>
      <c r="H125"/>
      <c r="I125"/>
      <c r="J125"/>
      <c r="K125"/>
      <c r="L125"/>
      <c r="M125"/>
      <c r="N125"/>
      <c r="O125"/>
      <c r="P125"/>
      <c r="Q125"/>
      <c r="R125"/>
      <c r="S125"/>
      <c r="T125"/>
      <c r="U125"/>
      <c r="V125"/>
      <c r="W125"/>
      <c r="X125" s="189"/>
      <c r="Y125"/>
      <c r="Z125"/>
      <c r="AA125"/>
      <c r="AB125"/>
    </row>
    <row r="126" spans="2:28" s="4" customFormat="1" x14ac:dyDescent="0.25">
      <c r="B126"/>
      <c r="C126" s="120"/>
      <c r="D126" s="189"/>
      <c r="E126" s="116"/>
      <c r="F126" s="116"/>
      <c r="G126"/>
      <c r="H126"/>
      <c r="I126"/>
      <c r="J126"/>
      <c r="K126"/>
      <c r="L126"/>
      <c r="M126"/>
      <c r="N126"/>
      <c r="O126"/>
      <c r="P126"/>
      <c r="Q126"/>
      <c r="R126"/>
      <c r="S126"/>
      <c r="T126"/>
      <c r="U126"/>
      <c r="V126"/>
      <c r="W126"/>
      <c r="X126" s="189"/>
      <c r="Y126"/>
      <c r="Z126"/>
      <c r="AA126"/>
      <c r="AB126"/>
    </row>
    <row r="127" spans="2:28" s="4" customFormat="1" x14ac:dyDescent="0.25">
      <c r="B127"/>
      <c r="C127" s="120"/>
      <c r="D127" s="189"/>
      <c r="E127" s="116"/>
      <c r="F127" s="116"/>
      <c r="G127"/>
      <c r="H127"/>
      <c r="I127"/>
      <c r="J127"/>
      <c r="K127"/>
      <c r="L127"/>
      <c r="M127"/>
      <c r="N127"/>
      <c r="O127"/>
      <c r="P127"/>
      <c r="Q127"/>
      <c r="R127"/>
      <c r="S127"/>
      <c r="T127"/>
      <c r="U127"/>
      <c r="V127"/>
      <c r="W127"/>
      <c r="X127" s="189"/>
      <c r="Y127"/>
      <c r="Z127"/>
      <c r="AA127"/>
      <c r="AB127"/>
    </row>
    <row r="128" spans="2:28" s="4" customFormat="1" x14ac:dyDescent="0.25">
      <c r="B128"/>
      <c r="C128" s="120"/>
      <c r="D128" s="189"/>
      <c r="E128" s="116"/>
      <c r="F128" s="116"/>
      <c r="G128"/>
      <c r="H128"/>
      <c r="I128"/>
      <c r="J128"/>
      <c r="K128"/>
      <c r="L128"/>
      <c r="M128"/>
      <c r="N128"/>
      <c r="O128"/>
      <c r="P128"/>
      <c r="Q128"/>
      <c r="R128"/>
      <c r="S128"/>
      <c r="T128"/>
      <c r="U128"/>
      <c r="V128"/>
      <c r="W128"/>
      <c r="X128" s="189"/>
      <c r="Y128"/>
      <c r="Z128"/>
      <c r="AA128"/>
      <c r="AB128"/>
    </row>
    <row r="129" spans="2:28" s="4" customFormat="1" x14ac:dyDescent="0.25">
      <c r="B129"/>
      <c r="C129" s="122"/>
      <c r="D129" s="189"/>
      <c r="E129" s="116"/>
      <c r="F129" s="116"/>
      <c r="G129"/>
      <c r="H129"/>
      <c r="I129"/>
      <c r="J129"/>
      <c r="K129"/>
      <c r="L129"/>
      <c r="M129"/>
      <c r="N129"/>
      <c r="O129"/>
      <c r="P129"/>
      <c r="Q129"/>
      <c r="R129"/>
      <c r="S129"/>
      <c r="T129"/>
      <c r="U129"/>
      <c r="V129"/>
      <c r="W129"/>
      <c r="X129" s="189"/>
      <c r="Y129"/>
      <c r="Z129"/>
      <c r="AA129"/>
      <c r="AB129"/>
    </row>
    <row r="130" spans="2:28" s="4" customFormat="1" x14ac:dyDescent="0.25">
      <c r="B130"/>
      <c r="C130"/>
      <c r="D130" s="189"/>
      <c r="E130" s="116"/>
      <c r="F130" s="116"/>
      <c r="G130"/>
      <c r="H130"/>
      <c r="I130"/>
      <c r="J130"/>
      <c r="K130"/>
      <c r="L130"/>
      <c r="M130"/>
      <c r="N130"/>
      <c r="O130"/>
      <c r="P130"/>
      <c r="Q130"/>
      <c r="R130"/>
      <c r="S130"/>
      <c r="T130"/>
      <c r="U130"/>
      <c r="V130"/>
      <c r="W130"/>
      <c r="X130" s="189"/>
      <c r="Y130"/>
      <c r="Z130"/>
      <c r="AA130"/>
      <c r="AB130"/>
    </row>
    <row r="131" spans="2:28" s="4" customFormat="1" x14ac:dyDescent="0.25">
      <c r="B131"/>
      <c r="C131" s="120"/>
      <c r="D131" s="189"/>
      <c r="E131" s="116"/>
      <c r="F131" s="116"/>
      <c r="G131"/>
      <c r="H131"/>
      <c r="I131"/>
      <c r="J131"/>
      <c r="K131"/>
      <c r="L131"/>
      <c r="M131"/>
      <c r="N131"/>
      <c r="O131"/>
      <c r="P131"/>
      <c r="Q131"/>
      <c r="R131"/>
      <c r="S131"/>
      <c r="T131"/>
      <c r="U131"/>
      <c r="V131"/>
      <c r="W131"/>
      <c r="X131" s="189"/>
      <c r="Y131"/>
      <c r="Z131"/>
      <c r="AA131"/>
      <c r="AB131"/>
    </row>
    <row r="132" spans="2:28" s="4" customFormat="1" x14ac:dyDescent="0.25">
      <c r="B132"/>
      <c r="C132" s="120"/>
      <c r="D132" s="189"/>
      <c r="E132" s="116"/>
      <c r="F132" s="116"/>
      <c r="G132"/>
      <c r="H132"/>
      <c r="I132"/>
      <c r="J132"/>
      <c r="K132"/>
      <c r="L132"/>
      <c r="M132"/>
      <c r="N132"/>
      <c r="O132"/>
      <c r="P132"/>
      <c r="Q132"/>
      <c r="R132"/>
      <c r="S132"/>
      <c r="T132"/>
      <c r="U132"/>
      <c r="V132"/>
      <c r="W132"/>
      <c r="X132" s="189"/>
      <c r="Y132"/>
      <c r="Z132"/>
      <c r="AA132"/>
      <c r="AB132"/>
    </row>
    <row r="133" spans="2:28" s="4" customFormat="1" x14ac:dyDescent="0.25">
      <c r="B133"/>
      <c r="C133" s="120"/>
      <c r="D133" s="189"/>
      <c r="E133" s="116"/>
      <c r="F133" s="116"/>
      <c r="G133"/>
      <c r="H133"/>
      <c r="I133"/>
      <c r="J133"/>
      <c r="K133"/>
      <c r="L133"/>
      <c r="M133"/>
      <c r="N133"/>
      <c r="O133"/>
      <c r="P133"/>
      <c r="Q133"/>
      <c r="R133"/>
      <c r="S133"/>
      <c r="T133"/>
      <c r="U133"/>
      <c r="V133"/>
      <c r="W133"/>
      <c r="X133" s="189"/>
      <c r="Y133"/>
      <c r="Z133"/>
      <c r="AA133"/>
      <c r="AB133"/>
    </row>
    <row r="134" spans="2:28" s="4" customFormat="1" x14ac:dyDescent="0.25">
      <c r="B134"/>
      <c r="C134" s="122"/>
      <c r="D134" s="189"/>
      <c r="E134" s="116"/>
      <c r="F134" s="116"/>
      <c r="G134"/>
      <c r="H134"/>
      <c r="I134"/>
      <c r="J134"/>
      <c r="K134"/>
      <c r="L134"/>
      <c r="M134"/>
      <c r="N134"/>
      <c r="O134"/>
      <c r="P134"/>
      <c r="Q134"/>
      <c r="R134"/>
      <c r="S134"/>
      <c r="T134"/>
      <c r="U134"/>
      <c r="V134"/>
      <c r="W134"/>
      <c r="X134" s="189"/>
      <c r="Y134"/>
      <c r="Z134"/>
      <c r="AA134"/>
      <c r="AB134"/>
    </row>
    <row r="135" spans="2:28" s="4" customFormat="1" x14ac:dyDescent="0.25">
      <c r="B135"/>
      <c r="C135"/>
      <c r="D135" s="189"/>
      <c r="E135" s="116"/>
      <c r="F135" s="116"/>
      <c r="G135"/>
      <c r="H135"/>
      <c r="I135"/>
      <c r="J135"/>
      <c r="K135"/>
      <c r="L135"/>
      <c r="M135"/>
      <c r="N135"/>
      <c r="O135"/>
      <c r="P135"/>
      <c r="Q135"/>
      <c r="R135"/>
      <c r="S135"/>
      <c r="T135"/>
      <c r="U135"/>
      <c r="V135"/>
      <c r="W135"/>
      <c r="X135" s="189"/>
      <c r="Y135"/>
      <c r="Z135"/>
      <c r="AA135"/>
      <c r="AB135"/>
    </row>
    <row r="136" spans="2:28" s="4" customFormat="1" x14ac:dyDescent="0.25">
      <c r="B136"/>
      <c r="C136"/>
      <c r="D136" s="189"/>
      <c r="E136" s="116"/>
      <c r="F136" s="116"/>
      <c r="G136"/>
      <c r="H136"/>
      <c r="I136"/>
      <c r="J136"/>
      <c r="K136"/>
      <c r="L136"/>
      <c r="M136"/>
      <c r="N136"/>
      <c r="O136"/>
      <c r="P136"/>
      <c r="Q136"/>
      <c r="R136"/>
      <c r="S136"/>
      <c r="T136"/>
      <c r="U136"/>
      <c r="V136"/>
      <c r="W136"/>
      <c r="X136" s="189"/>
      <c r="Y136"/>
      <c r="Z136"/>
      <c r="AA136"/>
      <c r="AB136"/>
    </row>
    <row r="137" spans="2:28" s="4" customFormat="1" x14ac:dyDescent="0.25">
      <c r="B137"/>
      <c r="C137"/>
      <c r="D137" s="189"/>
      <c r="E137" s="116"/>
      <c r="F137" s="116"/>
      <c r="G137"/>
      <c r="H137"/>
      <c r="I137"/>
      <c r="J137"/>
      <c r="K137"/>
      <c r="L137"/>
      <c r="M137"/>
      <c r="N137"/>
      <c r="O137"/>
      <c r="P137"/>
      <c r="Q137"/>
      <c r="R137"/>
      <c r="S137"/>
      <c r="T137"/>
      <c r="U137"/>
      <c r="V137"/>
      <c r="W137"/>
      <c r="X137" s="189"/>
      <c r="Y137"/>
      <c r="Z137"/>
      <c r="AA137"/>
      <c r="AB137"/>
    </row>
    <row r="138" spans="2:28" s="4" customFormat="1" x14ac:dyDescent="0.25">
      <c r="B138"/>
      <c r="C138"/>
      <c r="D138" s="189"/>
      <c r="E138" s="116"/>
      <c r="F138" s="116"/>
      <c r="G138"/>
      <c r="H138"/>
      <c r="I138"/>
      <c r="J138"/>
      <c r="K138"/>
      <c r="L138"/>
      <c r="M138"/>
      <c r="N138"/>
      <c r="O138"/>
      <c r="P138" s="115"/>
      <c r="Q138" s="115"/>
      <c r="R138" s="115"/>
      <c r="S138"/>
      <c r="T138"/>
      <c r="U138"/>
      <c r="V138"/>
      <c r="W138"/>
      <c r="X138" s="189"/>
      <c r="Y138"/>
      <c r="Z138"/>
      <c r="AA138"/>
      <c r="AB138"/>
    </row>
    <row r="139" spans="2:28" s="4" customFormat="1" x14ac:dyDescent="0.25">
      <c r="B139"/>
      <c r="C139"/>
      <c r="D139" s="189"/>
      <c r="E139"/>
      <c r="F139"/>
      <c r="G139"/>
      <c r="H139"/>
      <c r="I139"/>
      <c r="J139"/>
      <c r="K139"/>
      <c r="L139"/>
      <c r="M139"/>
      <c r="N139"/>
      <c r="O139"/>
      <c r="P139"/>
      <c r="Q139"/>
      <c r="R139"/>
      <c r="S139"/>
      <c r="T139"/>
      <c r="U139"/>
      <c r="V139"/>
      <c r="W139"/>
      <c r="X139" s="189"/>
      <c r="Y139"/>
      <c r="Z139"/>
      <c r="AA139"/>
      <c r="AB139"/>
    </row>
    <row r="140" spans="2:28" s="4" customFormat="1" x14ac:dyDescent="0.25">
      <c r="B140"/>
      <c r="C140"/>
      <c r="D140" s="189"/>
      <c r="E140"/>
      <c r="F140"/>
      <c r="G140"/>
      <c r="H140"/>
      <c r="I140"/>
      <c r="J140"/>
      <c r="K140"/>
      <c r="L140"/>
      <c r="M140"/>
      <c r="N140"/>
      <c r="O140"/>
      <c r="P140"/>
      <c r="Q140"/>
      <c r="R140"/>
      <c r="S140"/>
      <c r="T140"/>
      <c r="U140"/>
      <c r="V140"/>
      <c r="W140"/>
      <c r="X140" s="189"/>
      <c r="Y140"/>
      <c r="Z140"/>
      <c r="AA140"/>
      <c r="AB140"/>
    </row>
    <row r="141" spans="2:28" s="4" customFormat="1" x14ac:dyDescent="0.25">
      <c r="B141"/>
      <c r="C141"/>
      <c r="D141" s="189"/>
      <c r="E141"/>
      <c r="F141"/>
      <c r="G141"/>
      <c r="H141"/>
      <c r="I141"/>
      <c r="J141"/>
      <c r="K141"/>
      <c r="L141"/>
      <c r="M141"/>
      <c r="N141"/>
      <c r="O141"/>
      <c r="P141"/>
      <c r="Q141"/>
      <c r="R141"/>
      <c r="S141"/>
      <c r="T141"/>
      <c r="U141"/>
      <c r="V141"/>
      <c r="W141"/>
      <c r="X141" s="189"/>
      <c r="Y141"/>
      <c r="Z141"/>
      <c r="AA141"/>
      <c r="AB141"/>
    </row>
    <row r="142" spans="2:28" s="4" customFormat="1" x14ac:dyDescent="0.25">
      <c r="B142" s="115"/>
      <c r="C142" s="115"/>
      <c r="D142" s="127"/>
      <c r="E142" s="115"/>
      <c r="F142" s="115"/>
      <c r="G142" s="115"/>
      <c r="H142" s="115"/>
      <c r="I142" s="115"/>
      <c r="J142" s="115"/>
      <c r="K142" s="115"/>
      <c r="L142" s="115"/>
      <c r="M142" s="115"/>
      <c r="N142" s="115"/>
      <c r="O142" s="115"/>
      <c r="P142"/>
      <c r="Q142"/>
      <c r="R142"/>
      <c r="S142"/>
      <c r="T142"/>
      <c r="U142"/>
      <c r="V142"/>
      <c r="W142"/>
      <c r="X142" s="189"/>
      <c r="Y142"/>
      <c r="Z142"/>
      <c r="AA142"/>
      <c r="AB142"/>
    </row>
    <row r="143" spans="2:28" s="4" customFormat="1" x14ac:dyDescent="0.25">
      <c r="B143"/>
      <c r="C143" s="115"/>
      <c r="D143" s="127"/>
      <c r="E143" s="115"/>
      <c r="F143" s="115"/>
      <c r="G143"/>
      <c r="H143"/>
      <c r="I143"/>
      <c r="J143"/>
      <c r="K143"/>
      <c r="L143"/>
      <c r="M143"/>
      <c r="N143"/>
      <c r="O143"/>
      <c r="P143"/>
      <c r="Q143"/>
      <c r="R143"/>
      <c r="S143"/>
      <c r="T143"/>
      <c r="U143"/>
      <c r="V143"/>
      <c r="W143"/>
      <c r="X143" s="189"/>
      <c r="Y143"/>
      <c r="Z143"/>
      <c r="AA143"/>
      <c r="AB143"/>
    </row>
    <row r="144" spans="2:28" s="4" customFormat="1" x14ac:dyDescent="0.25">
      <c r="B144"/>
      <c r="C144" s="114"/>
      <c r="D144" s="127"/>
      <c r="E144" s="115"/>
      <c r="F144" s="115"/>
      <c r="G144"/>
      <c r="H144"/>
      <c r="I144"/>
      <c r="J144"/>
      <c r="K144"/>
      <c r="L144"/>
      <c r="M144"/>
      <c r="N144"/>
      <c r="O144"/>
      <c r="P144"/>
      <c r="Q144"/>
      <c r="R144"/>
      <c r="S144"/>
      <c r="T144"/>
      <c r="U144"/>
      <c r="V144"/>
      <c r="W144"/>
      <c r="X144" s="189"/>
      <c r="Y144"/>
      <c r="Z144"/>
      <c r="AA144"/>
      <c r="AB144"/>
    </row>
    <row r="145" spans="2:28" s="4" customFormat="1" x14ac:dyDescent="0.25">
      <c r="B145"/>
      <c r="C145" s="117"/>
      <c r="D145" s="189"/>
      <c r="E145" s="116"/>
      <c r="F145" s="116"/>
      <c r="G145"/>
      <c r="H145"/>
      <c r="I145"/>
      <c r="J145"/>
      <c r="K145"/>
      <c r="L145"/>
      <c r="M145"/>
      <c r="N145"/>
      <c r="O145"/>
      <c r="P145"/>
      <c r="Q145"/>
      <c r="R145"/>
      <c r="S145" s="115"/>
      <c r="T145" s="115"/>
      <c r="U145" s="115"/>
      <c r="V145" s="115"/>
      <c r="W145" s="115"/>
      <c r="X145" s="127"/>
      <c r="Y145" s="115"/>
      <c r="Z145" s="115"/>
      <c r="AA145" s="115"/>
      <c r="AB145" s="115"/>
    </row>
    <row r="146" spans="2:28" s="4" customFormat="1" x14ac:dyDescent="0.25">
      <c r="B146"/>
      <c r="C146" s="117"/>
      <c r="D146" s="189"/>
      <c r="E146" s="116"/>
      <c r="F146" s="116"/>
      <c r="G146"/>
      <c r="H146"/>
      <c r="I146"/>
      <c r="J146"/>
      <c r="K146"/>
      <c r="L146"/>
      <c r="M146"/>
      <c r="N146"/>
      <c r="O146"/>
      <c r="P146"/>
      <c r="Q146"/>
      <c r="R146"/>
      <c r="S146"/>
      <c r="T146"/>
      <c r="U146"/>
      <c r="V146"/>
      <c r="W146"/>
      <c r="X146" s="189"/>
      <c r="Y146"/>
      <c r="Z146"/>
      <c r="AA146"/>
      <c r="AB146"/>
    </row>
    <row r="147" spans="2:28" s="4" customFormat="1" x14ac:dyDescent="0.25">
      <c r="B147"/>
      <c r="C147" s="117"/>
      <c r="D147" s="189"/>
      <c r="E147"/>
      <c r="F147"/>
      <c r="G147"/>
      <c r="H147"/>
      <c r="I147"/>
      <c r="J147"/>
      <c r="K147"/>
      <c r="L147"/>
      <c r="M147"/>
      <c r="N147"/>
      <c r="O147"/>
      <c r="P147"/>
      <c r="Q147"/>
      <c r="R147"/>
      <c r="S147"/>
      <c r="T147"/>
      <c r="U147"/>
      <c r="V147"/>
      <c r="W147"/>
      <c r="X147" s="189"/>
      <c r="Y147"/>
      <c r="Z147"/>
      <c r="AA147"/>
      <c r="AB147"/>
    </row>
    <row r="148" spans="2:28" s="4" customFormat="1" x14ac:dyDescent="0.25">
      <c r="B148"/>
      <c r="C148" s="124"/>
      <c r="D148" s="189"/>
      <c r="E148"/>
      <c r="F148"/>
      <c r="G148"/>
      <c r="H148"/>
      <c r="I148"/>
      <c r="J148"/>
      <c r="K148"/>
      <c r="L148"/>
      <c r="M148"/>
      <c r="N148"/>
      <c r="O148"/>
      <c r="P148"/>
      <c r="Q148"/>
      <c r="R148"/>
      <c r="S148"/>
      <c r="T148"/>
      <c r="U148"/>
      <c r="V148"/>
      <c r="W148"/>
      <c r="X148" s="189"/>
      <c r="Y148"/>
      <c r="Z148"/>
      <c r="AA148"/>
      <c r="AB148"/>
    </row>
    <row r="149" spans="2:28" s="4" customFormat="1" x14ac:dyDescent="0.25">
      <c r="B149"/>
      <c r="C149"/>
      <c r="D149" s="189"/>
      <c r="E149" s="116"/>
      <c r="F149" s="116"/>
      <c r="G149"/>
      <c r="H149"/>
      <c r="I149"/>
      <c r="J149"/>
      <c r="K149"/>
      <c r="L149"/>
      <c r="M149"/>
      <c r="N149"/>
      <c r="O149"/>
      <c r="P149"/>
      <c r="Q149"/>
      <c r="R149"/>
      <c r="S149"/>
      <c r="T149"/>
      <c r="U149"/>
      <c r="V149"/>
      <c r="W149"/>
      <c r="X149" s="189"/>
      <c r="Y149"/>
      <c r="Z149"/>
      <c r="AA149"/>
      <c r="AB149"/>
    </row>
    <row r="150" spans="2:28" s="4" customFormat="1" x14ac:dyDescent="0.25">
      <c r="B150"/>
      <c r="C150" s="114"/>
      <c r="D150" s="127"/>
      <c r="E150"/>
      <c r="F150"/>
      <c r="G150"/>
      <c r="H150"/>
      <c r="I150"/>
      <c r="J150"/>
      <c r="K150"/>
      <c r="L150"/>
      <c r="M150"/>
      <c r="N150"/>
      <c r="O150"/>
      <c r="P150"/>
      <c r="Q150"/>
      <c r="R150"/>
      <c r="S150"/>
      <c r="T150"/>
      <c r="U150"/>
      <c r="V150"/>
      <c r="W150"/>
      <c r="X150" s="189"/>
      <c r="Y150"/>
      <c r="Z150"/>
      <c r="AA150"/>
      <c r="AB150"/>
    </row>
    <row r="151" spans="2:28" s="4" customFormat="1" x14ac:dyDescent="0.25">
      <c r="B151"/>
      <c r="C151" s="125"/>
      <c r="D151" s="189"/>
      <c r="E151"/>
      <c r="F151"/>
      <c r="G151"/>
      <c r="H151"/>
      <c r="I151"/>
      <c r="J151"/>
      <c r="K151"/>
      <c r="L151"/>
      <c r="M151"/>
      <c r="N151"/>
      <c r="O151"/>
      <c r="P151"/>
      <c r="Q151"/>
      <c r="R151"/>
      <c r="S151"/>
      <c r="T151"/>
      <c r="U151"/>
      <c r="V151"/>
      <c r="W151"/>
      <c r="X151" s="189"/>
      <c r="Y151"/>
      <c r="Z151"/>
      <c r="AA151"/>
      <c r="AB151"/>
    </row>
    <row r="152" spans="2:28" s="4" customFormat="1" x14ac:dyDescent="0.25">
      <c r="B152"/>
      <c r="C152" s="125"/>
      <c r="D152" s="189"/>
      <c r="E152"/>
      <c r="F152"/>
      <c r="G152"/>
      <c r="H152"/>
      <c r="I152"/>
      <c r="J152"/>
      <c r="K152"/>
      <c r="L152"/>
      <c r="M152"/>
      <c r="N152"/>
      <c r="O152"/>
      <c r="P152"/>
      <c r="Q152"/>
      <c r="R152"/>
      <c r="S152"/>
      <c r="T152"/>
      <c r="U152"/>
      <c r="V152"/>
      <c r="W152"/>
      <c r="X152" s="189"/>
      <c r="Y152"/>
      <c r="Z152"/>
      <c r="AA152"/>
      <c r="AB152"/>
    </row>
    <row r="153" spans="2:28" s="4" customFormat="1" x14ac:dyDescent="0.25">
      <c r="B153"/>
      <c r="C153" s="125"/>
      <c r="D153" s="189"/>
      <c r="E153"/>
      <c r="F153"/>
      <c r="G153"/>
      <c r="H153"/>
      <c r="I153"/>
      <c r="J153"/>
      <c r="K153"/>
      <c r="L153"/>
      <c r="M153"/>
      <c r="N153"/>
      <c r="O153"/>
      <c r="P153"/>
      <c r="Q153"/>
      <c r="R153"/>
      <c r="S153"/>
      <c r="T153"/>
      <c r="U153"/>
      <c r="V153"/>
      <c r="W153"/>
      <c r="X153" s="189"/>
      <c r="Y153"/>
      <c r="Z153"/>
      <c r="AA153"/>
      <c r="AB153"/>
    </row>
    <row r="154" spans="2:28" s="4" customFormat="1" x14ac:dyDescent="0.25">
      <c r="B154"/>
      <c r="C154" s="126"/>
      <c r="D154" s="189"/>
      <c r="E154"/>
      <c r="F154"/>
      <c r="G154"/>
      <c r="H154"/>
      <c r="I154"/>
      <c r="J154"/>
      <c r="K154"/>
      <c r="L154"/>
      <c r="M154"/>
      <c r="N154"/>
      <c r="O154"/>
      <c r="P154" s="115"/>
      <c r="Q154" s="115"/>
      <c r="R154" s="115"/>
      <c r="S154"/>
      <c r="T154"/>
      <c r="U154"/>
      <c r="V154"/>
      <c r="W154"/>
      <c r="X154" s="189"/>
      <c r="Y154"/>
      <c r="Z154"/>
      <c r="AA154"/>
      <c r="AB154"/>
    </row>
    <row r="155" spans="2:28" s="4" customFormat="1" x14ac:dyDescent="0.25">
      <c r="B155"/>
      <c r="C155" s="126"/>
      <c r="D155" s="189"/>
      <c r="E155"/>
      <c r="F155"/>
      <c r="G155"/>
      <c r="H155"/>
      <c r="I155"/>
      <c r="J155"/>
      <c r="K155"/>
      <c r="L155"/>
      <c r="M155"/>
      <c r="N155"/>
      <c r="O155"/>
      <c r="P155"/>
      <c r="Q155"/>
      <c r="R155"/>
      <c r="S155"/>
      <c r="T155"/>
      <c r="U155"/>
      <c r="V155"/>
      <c r="W155"/>
      <c r="X155" s="189"/>
      <c r="Y155"/>
      <c r="Z155"/>
      <c r="AA155"/>
      <c r="AB155"/>
    </row>
    <row r="156" spans="2:28" s="4" customFormat="1" x14ac:dyDescent="0.25">
      <c r="B156"/>
      <c r="C156"/>
      <c r="D156" s="189"/>
      <c r="E156"/>
      <c r="F156"/>
      <c r="G156"/>
      <c r="H156"/>
      <c r="I156"/>
      <c r="J156"/>
      <c r="K156"/>
      <c r="L156"/>
      <c r="M156"/>
      <c r="N156"/>
      <c r="O156"/>
      <c r="P156"/>
      <c r="Q156"/>
      <c r="R156"/>
      <c r="S156"/>
      <c r="T156"/>
      <c r="U156"/>
      <c r="V156"/>
      <c r="W156"/>
      <c r="X156" s="189"/>
      <c r="Y156"/>
      <c r="Z156"/>
      <c r="AA156"/>
      <c r="AB156"/>
    </row>
    <row r="157" spans="2:28" s="4" customFormat="1" x14ac:dyDescent="0.25">
      <c r="B157"/>
      <c r="C157"/>
      <c r="D157" s="189"/>
      <c r="E157"/>
      <c r="F157"/>
      <c r="G157"/>
      <c r="H157"/>
      <c r="I157"/>
      <c r="J157"/>
      <c r="K157"/>
      <c r="L157"/>
      <c r="M157"/>
      <c r="N157"/>
      <c r="O157"/>
      <c r="P157"/>
      <c r="Q157"/>
      <c r="R157"/>
      <c r="S157"/>
      <c r="T157"/>
      <c r="U157"/>
      <c r="V157"/>
      <c r="W157"/>
      <c r="X157" s="189"/>
      <c r="Y157"/>
      <c r="Z157"/>
      <c r="AA157"/>
      <c r="AB157"/>
    </row>
    <row r="158" spans="2:28" s="4" customFormat="1" x14ac:dyDescent="0.25">
      <c r="B158" s="115"/>
      <c r="C158" s="115"/>
      <c r="D158" s="127"/>
      <c r="E158" s="115"/>
      <c r="F158" s="115"/>
      <c r="G158" s="115"/>
      <c r="H158" s="115"/>
      <c r="I158" s="115"/>
      <c r="J158" s="115"/>
      <c r="K158" s="115"/>
      <c r="L158" s="115"/>
      <c r="M158" s="115"/>
      <c r="N158" s="115"/>
      <c r="O158" s="115"/>
      <c r="P158"/>
      <c r="Q158"/>
      <c r="R158"/>
      <c r="S158"/>
      <c r="T158"/>
      <c r="U158"/>
      <c r="V158"/>
      <c r="W158"/>
      <c r="X158" s="189"/>
      <c r="Y158"/>
      <c r="Z158"/>
      <c r="AA158"/>
      <c r="AB158"/>
    </row>
    <row r="159" spans="2:28" s="4" customFormat="1" x14ac:dyDescent="0.25">
      <c r="B159"/>
      <c r="C159" s="115"/>
      <c r="D159" s="127"/>
      <c r="E159" s="115"/>
      <c r="F159" s="115"/>
      <c r="G159"/>
      <c r="H159"/>
      <c r="I159"/>
      <c r="J159"/>
      <c r="K159"/>
      <c r="L159"/>
      <c r="M159"/>
      <c r="N159"/>
      <c r="O159"/>
      <c r="P159"/>
      <c r="Q159"/>
      <c r="R159"/>
      <c r="S159"/>
      <c r="T159"/>
      <c r="U159"/>
      <c r="V159"/>
      <c r="W159"/>
      <c r="X159" s="189"/>
      <c r="Y159"/>
      <c r="Z159"/>
      <c r="AA159"/>
      <c r="AB159"/>
    </row>
    <row r="160" spans="2:28" s="4" customFormat="1" x14ac:dyDescent="0.25">
      <c r="B160"/>
      <c r="C160" s="114"/>
      <c r="D160" s="127"/>
      <c r="E160" s="115"/>
      <c r="F160" s="115"/>
      <c r="G160"/>
      <c r="H160"/>
      <c r="I160"/>
      <c r="J160"/>
      <c r="K160"/>
      <c r="L160"/>
      <c r="M160"/>
      <c r="N160"/>
      <c r="O160"/>
      <c r="P160"/>
      <c r="Q160"/>
      <c r="R160"/>
      <c r="S160"/>
      <c r="T160"/>
      <c r="U160"/>
      <c r="V160"/>
      <c r="W160"/>
      <c r="X160" s="189"/>
      <c r="Y160"/>
      <c r="Z160"/>
      <c r="AA160"/>
      <c r="AB160"/>
    </row>
    <row r="161" spans="2:28" s="4" customFormat="1" x14ac:dyDescent="0.25">
      <c r="B161"/>
      <c r="C161" s="117"/>
      <c r="D161" s="189"/>
      <c r="E161" s="116"/>
      <c r="F161" s="116"/>
      <c r="G161"/>
      <c r="H161"/>
      <c r="I161"/>
      <c r="J161"/>
      <c r="K161"/>
      <c r="L161"/>
      <c r="M161"/>
      <c r="N161"/>
      <c r="O161"/>
      <c r="P161"/>
      <c r="Q161"/>
      <c r="R161"/>
      <c r="S161" s="115"/>
      <c r="T161" s="115"/>
      <c r="U161" s="115"/>
      <c r="V161" s="115"/>
      <c r="W161" s="115"/>
      <c r="X161" s="127"/>
      <c r="Y161" s="115"/>
      <c r="Z161" s="115"/>
      <c r="AA161" s="115"/>
      <c r="AB161" s="115"/>
    </row>
    <row r="162" spans="2:28" s="4" customFormat="1" x14ac:dyDescent="0.25">
      <c r="B162"/>
      <c r="C162" s="125"/>
      <c r="D162" s="189"/>
      <c r="E162"/>
      <c r="F162"/>
      <c r="G162"/>
      <c r="H162"/>
      <c r="I162"/>
      <c r="J162"/>
      <c r="K162"/>
      <c r="L162"/>
      <c r="M162"/>
      <c r="N162"/>
      <c r="O162"/>
      <c r="P162"/>
      <c r="Q162"/>
      <c r="R162"/>
      <c r="S162"/>
      <c r="T162"/>
      <c r="U162"/>
      <c r="V162"/>
      <c r="W162"/>
      <c r="X162" s="189"/>
      <c r="Y162"/>
      <c r="Z162"/>
      <c r="AA162"/>
      <c r="AB162"/>
    </row>
    <row r="163" spans="2:28" s="4" customFormat="1" x14ac:dyDescent="0.25">
      <c r="B163"/>
      <c r="C163" s="117"/>
      <c r="D163" s="189"/>
      <c r="E163"/>
      <c r="F163"/>
      <c r="G163"/>
      <c r="H163"/>
      <c r="I163"/>
      <c r="J163"/>
      <c r="K163"/>
      <c r="L163"/>
      <c r="M163"/>
      <c r="N163"/>
      <c r="O163"/>
      <c r="P163"/>
      <c r="Q163"/>
      <c r="R163"/>
      <c r="S163"/>
      <c r="T163"/>
      <c r="U163"/>
      <c r="V163"/>
      <c r="W163"/>
      <c r="X163" s="189"/>
      <c r="Y163"/>
      <c r="Z163"/>
      <c r="AA163"/>
      <c r="AB163"/>
    </row>
    <row r="164" spans="2:28" s="4" customFormat="1" x14ac:dyDescent="0.25">
      <c r="B164"/>
      <c r="C164" s="117"/>
      <c r="D164" s="189"/>
      <c r="E164"/>
      <c r="F164"/>
      <c r="G164"/>
      <c r="H164"/>
      <c r="I164"/>
      <c r="J164"/>
      <c r="K164"/>
      <c r="L164"/>
      <c r="M164"/>
      <c r="N164"/>
      <c r="O164"/>
      <c r="P164"/>
      <c r="Q164"/>
      <c r="R164"/>
      <c r="S164"/>
      <c r="T164"/>
      <c r="U164"/>
      <c r="V164"/>
      <c r="W164"/>
      <c r="X164" s="189"/>
      <c r="Y164"/>
      <c r="Z164"/>
      <c r="AA164"/>
      <c r="AB164"/>
    </row>
    <row r="165" spans="2:28" s="4" customFormat="1" x14ac:dyDescent="0.25">
      <c r="B165"/>
      <c r="C165" s="117"/>
      <c r="D165" s="189"/>
      <c r="E165"/>
      <c r="F165"/>
      <c r="G165"/>
      <c r="H165"/>
      <c r="I165"/>
      <c r="J165"/>
      <c r="K165"/>
      <c r="L165"/>
      <c r="M165"/>
      <c r="N165"/>
      <c r="O165"/>
      <c r="P165"/>
      <c r="Q165"/>
      <c r="R165"/>
      <c r="S165"/>
      <c r="T165"/>
      <c r="U165"/>
      <c r="V165"/>
      <c r="W165"/>
      <c r="X165" s="189"/>
      <c r="Y165"/>
      <c r="Z165"/>
      <c r="AA165"/>
      <c r="AB165"/>
    </row>
    <row r="166" spans="2:28" s="4" customFormat="1" x14ac:dyDescent="0.25">
      <c r="B166"/>
      <c r="C166" s="124"/>
      <c r="D166" s="189"/>
      <c r="E166"/>
      <c r="F166"/>
      <c r="G166"/>
      <c r="H166"/>
      <c r="I166"/>
      <c r="J166"/>
      <c r="K166"/>
      <c r="L166"/>
      <c r="M166"/>
      <c r="N166"/>
      <c r="O166"/>
      <c r="P166"/>
      <c r="Q166"/>
      <c r="R166"/>
      <c r="S166"/>
      <c r="T166"/>
      <c r="U166"/>
      <c r="V166"/>
      <c r="W166"/>
      <c r="X166" s="189"/>
      <c r="Y166"/>
      <c r="Z166"/>
      <c r="AA166"/>
      <c r="AB166"/>
    </row>
    <row r="167" spans="2:28" s="4" customFormat="1" x14ac:dyDescent="0.25">
      <c r="B167"/>
      <c r="C167"/>
      <c r="D167" s="189"/>
      <c r="E167" s="116"/>
      <c r="F167" s="116"/>
      <c r="G167"/>
      <c r="H167"/>
      <c r="I167"/>
      <c r="J167"/>
      <c r="K167"/>
      <c r="L167"/>
      <c r="M167"/>
      <c r="N167"/>
      <c r="O167"/>
      <c r="P167"/>
      <c r="Q167"/>
      <c r="R167"/>
      <c r="S167"/>
      <c r="T167"/>
      <c r="U167"/>
      <c r="V167"/>
      <c r="W167"/>
      <c r="X167" s="189"/>
      <c r="Y167"/>
      <c r="Z167"/>
      <c r="AA167"/>
      <c r="AB167"/>
    </row>
    <row r="168" spans="2:28" s="4" customFormat="1" x14ac:dyDescent="0.25">
      <c r="B168"/>
      <c r="C168" s="114"/>
      <c r="D168" s="127"/>
      <c r="E168"/>
      <c r="F168"/>
      <c r="G168"/>
      <c r="H168"/>
      <c r="I168"/>
      <c r="J168"/>
      <c r="K168"/>
      <c r="L168"/>
      <c r="M168"/>
      <c r="N168"/>
      <c r="O168"/>
      <c r="P168"/>
      <c r="Q168"/>
      <c r="R168"/>
      <c r="S168"/>
      <c r="T168"/>
      <c r="U168"/>
      <c r="V168"/>
      <c r="W168"/>
      <c r="X168" s="189"/>
      <c r="Y168"/>
      <c r="Z168"/>
      <c r="AA168"/>
      <c r="AB168"/>
    </row>
    <row r="169" spans="2:28" s="4" customFormat="1" x14ac:dyDescent="0.25">
      <c r="B169"/>
      <c r="C169" s="127"/>
      <c r="D169" s="127"/>
      <c r="E169"/>
      <c r="F169"/>
      <c r="G169"/>
      <c r="H169"/>
      <c r="I169"/>
      <c r="J169"/>
      <c r="K169"/>
      <c r="L169"/>
      <c r="M169"/>
      <c r="N169"/>
      <c r="O169"/>
      <c r="P169"/>
      <c r="Q169"/>
      <c r="R169"/>
      <c r="S169"/>
      <c r="T169"/>
      <c r="U169"/>
      <c r="V169"/>
      <c r="W169"/>
      <c r="X169" s="189"/>
      <c r="Y169"/>
      <c r="Z169"/>
      <c r="AA169"/>
      <c r="AB169"/>
    </row>
    <row r="170" spans="2:28" s="4" customFormat="1" x14ac:dyDescent="0.25">
      <c r="B170"/>
      <c r="C170" s="125"/>
      <c r="D170" s="189"/>
      <c r="E170"/>
      <c r="F170"/>
      <c r="G170"/>
      <c r="H170"/>
      <c r="I170"/>
      <c r="J170"/>
      <c r="K170"/>
      <c r="L170"/>
      <c r="M170"/>
      <c r="N170"/>
      <c r="O170"/>
      <c r="P170"/>
      <c r="Q170"/>
      <c r="R170"/>
      <c r="S170"/>
      <c r="T170"/>
      <c r="U170"/>
      <c r="V170"/>
      <c r="W170"/>
      <c r="X170" s="189"/>
      <c r="Y170"/>
      <c r="Z170"/>
      <c r="AA170"/>
      <c r="AB170"/>
    </row>
    <row r="171" spans="2:28" s="4" customFormat="1" x14ac:dyDescent="0.25">
      <c r="B171"/>
      <c r="C171" s="127"/>
      <c r="D171" s="127"/>
      <c r="E171"/>
      <c r="F171"/>
      <c r="G171"/>
      <c r="H171"/>
      <c r="I171"/>
      <c r="J171"/>
      <c r="K171"/>
      <c r="L171"/>
      <c r="M171"/>
      <c r="N171"/>
      <c r="O171"/>
      <c r="P171"/>
      <c r="Q171"/>
      <c r="R171"/>
      <c r="S171"/>
      <c r="T171"/>
      <c r="U171"/>
      <c r="V171"/>
      <c r="W171"/>
      <c r="X171" s="189"/>
      <c r="Y171"/>
      <c r="Z171"/>
      <c r="AA171"/>
      <c r="AB171"/>
    </row>
    <row r="172" spans="2:28" s="4" customFormat="1" x14ac:dyDescent="0.25">
      <c r="B172"/>
      <c r="C172"/>
      <c r="D172" s="189"/>
      <c r="E172"/>
      <c r="F172"/>
      <c r="G172"/>
      <c r="H172"/>
      <c r="I172"/>
      <c r="J172"/>
      <c r="K172"/>
      <c r="L172"/>
      <c r="M172"/>
      <c r="N172"/>
      <c r="O172"/>
      <c r="P172"/>
      <c r="Q172"/>
      <c r="R172"/>
      <c r="S172"/>
      <c r="T172"/>
      <c r="U172"/>
      <c r="V172"/>
      <c r="W172"/>
      <c r="X172" s="189"/>
      <c r="Y172"/>
      <c r="Z172"/>
      <c r="AA172"/>
      <c r="AB172"/>
    </row>
    <row r="173" spans="2:28" s="4" customFormat="1" x14ac:dyDescent="0.25">
      <c r="B173"/>
      <c r="C173" s="128"/>
      <c r="D173" s="189"/>
      <c r="E173"/>
      <c r="F173"/>
      <c r="G173"/>
      <c r="H173"/>
      <c r="I173"/>
      <c r="J173"/>
      <c r="K173"/>
      <c r="L173"/>
      <c r="M173"/>
      <c r="N173"/>
      <c r="O173"/>
      <c r="P173"/>
      <c r="Q173"/>
      <c r="R173"/>
      <c r="S173"/>
      <c r="T173"/>
      <c r="U173"/>
      <c r="V173"/>
      <c r="W173"/>
      <c r="X173" s="189"/>
      <c r="Y173"/>
      <c r="Z173"/>
      <c r="AA173"/>
      <c r="AB173"/>
    </row>
    <row r="174" spans="2:28" s="4" customFormat="1" x14ac:dyDescent="0.25">
      <c r="B174"/>
      <c r="C174" s="128"/>
      <c r="D174" s="189"/>
      <c r="E174"/>
      <c r="F174"/>
      <c r="G174"/>
      <c r="H174"/>
      <c r="I174"/>
      <c r="J174"/>
      <c r="K174"/>
      <c r="L174"/>
      <c r="M174"/>
      <c r="N174"/>
      <c r="O174"/>
      <c r="P174"/>
      <c r="Q174"/>
      <c r="R174"/>
      <c r="S174"/>
      <c r="T174"/>
      <c r="U174"/>
      <c r="V174"/>
      <c r="W174"/>
      <c r="X174" s="189"/>
      <c r="Y174"/>
      <c r="Z174"/>
      <c r="AA174"/>
      <c r="AB174"/>
    </row>
    <row r="175" spans="2:28" s="4" customFormat="1" x14ac:dyDescent="0.25">
      <c r="B175"/>
      <c r="C175" s="129"/>
      <c r="D175" s="189"/>
      <c r="E175"/>
      <c r="F175"/>
      <c r="G175"/>
      <c r="H175"/>
      <c r="I175"/>
      <c r="J175"/>
      <c r="K175"/>
      <c r="L175"/>
      <c r="M175"/>
      <c r="N175"/>
      <c r="O175"/>
      <c r="P175"/>
      <c r="Q175"/>
      <c r="R175"/>
      <c r="S175"/>
      <c r="T175"/>
      <c r="U175"/>
      <c r="V175"/>
      <c r="W175"/>
      <c r="X175" s="189"/>
      <c r="Y175"/>
      <c r="Z175"/>
      <c r="AA175"/>
      <c r="AB175"/>
    </row>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sheetData>
  <sheetProtection selectLockedCells="1" selectUnlockedCells="1"/>
  <mergeCells count="131">
    <mergeCell ref="B2:N2"/>
    <mergeCell ref="P2:AC2"/>
    <mergeCell ref="C3:D3"/>
    <mergeCell ref="G3:N3"/>
    <mergeCell ref="B4:B6"/>
    <mergeCell ref="C4:D4"/>
    <mergeCell ref="G4:N4"/>
    <mergeCell ref="C5:D5"/>
    <mergeCell ref="G5:N5"/>
    <mergeCell ref="C6:D6"/>
    <mergeCell ref="G6:N6"/>
    <mergeCell ref="B15:B19"/>
    <mergeCell ref="C15:D15"/>
    <mergeCell ref="G15:N15"/>
    <mergeCell ref="C16:D16"/>
    <mergeCell ref="G16:N16"/>
    <mergeCell ref="G19:N19"/>
    <mergeCell ref="C11:D11"/>
    <mergeCell ref="G11:N11"/>
    <mergeCell ref="C12:D12"/>
    <mergeCell ref="G12:N12"/>
    <mergeCell ref="C13:D13"/>
    <mergeCell ref="G13:N13"/>
    <mergeCell ref="B7:B14"/>
    <mergeCell ref="C7:D7"/>
    <mergeCell ref="G7:N7"/>
    <mergeCell ref="C8:D8"/>
    <mergeCell ref="G8:N8"/>
    <mergeCell ref="C9:D9"/>
    <mergeCell ref="G9:N9"/>
    <mergeCell ref="C10:D10"/>
    <mergeCell ref="G10:N10"/>
    <mergeCell ref="C14:D14"/>
    <mergeCell ref="G14:N14"/>
    <mergeCell ref="P16:Z16"/>
    <mergeCell ref="C17:D17"/>
    <mergeCell ref="G17:N17"/>
    <mergeCell ref="P17:R19"/>
    <mergeCell ref="S17:T19"/>
    <mergeCell ref="U17:V19"/>
    <mergeCell ref="W17:Z19"/>
    <mergeCell ref="C18:D18"/>
    <mergeCell ref="G18:N18"/>
    <mergeCell ref="C19:D19"/>
    <mergeCell ref="W20:Z20"/>
    <mergeCell ref="C21:D21"/>
    <mergeCell ref="G21:N21"/>
    <mergeCell ref="C22:D22"/>
    <mergeCell ref="G22:N22"/>
    <mergeCell ref="P22:Z22"/>
    <mergeCell ref="B20:B31"/>
    <mergeCell ref="C20:D20"/>
    <mergeCell ref="G20:N20"/>
    <mergeCell ref="P20:R20"/>
    <mergeCell ref="S20:T20"/>
    <mergeCell ref="U20:V20"/>
    <mergeCell ref="C23:D23"/>
    <mergeCell ref="G23:N23"/>
    <mergeCell ref="P23:P25"/>
    <mergeCell ref="Q23:Q25"/>
    <mergeCell ref="Y23:Y25"/>
    <mergeCell ref="Z23:Z25"/>
    <mergeCell ref="C24:D24"/>
    <mergeCell ref="G24:N24"/>
    <mergeCell ref="C25:D25"/>
    <mergeCell ref="G25:N25"/>
    <mergeCell ref="R23:R25"/>
    <mergeCell ref="S23:S25"/>
    <mergeCell ref="T23:T25"/>
    <mergeCell ref="U23:U25"/>
    <mergeCell ref="V23:V25"/>
    <mergeCell ref="W23:X25"/>
    <mergeCell ref="C28:D28"/>
    <mergeCell ref="G28:N28"/>
    <mergeCell ref="W28:X28"/>
    <mergeCell ref="C29:D29"/>
    <mergeCell ref="G29:N29"/>
    <mergeCell ref="W29:X29"/>
    <mergeCell ref="C26:D26"/>
    <mergeCell ref="G26:N26"/>
    <mergeCell ref="W26:X26"/>
    <mergeCell ref="C27:D27"/>
    <mergeCell ref="G27:N27"/>
    <mergeCell ref="W27:X27"/>
    <mergeCell ref="C32:D32"/>
    <mergeCell ref="G32:N32"/>
    <mergeCell ref="W32:X32"/>
    <mergeCell ref="C33:D33"/>
    <mergeCell ref="G33:N33"/>
    <mergeCell ref="B37:AC37"/>
    <mergeCell ref="C30:D30"/>
    <mergeCell ref="G30:N30"/>
    <mergeCell ref="W30:X30"/>
    <mergeCell ref="C31:D31"/>
    <mergeCell ref="G31:N31"/>
    <mergeCell ref="W31:X31"/>
    <mergeCell ref="B38:C40"/>
    <mergeCell ref="D38:L38"/>
    <mergeCell ref="N38:V38"/>
    <mergeCell ref="X38:AA38"/>
    <mergeCell ref="AC38:AC40"/>
    <mergeCell ref="D39:D40"/>
    <mergeCell ref="E39:E40"/>
    <mergeCell ref="F39:F40"/>
    <mergeCell ref="G39:G40"/>
    <mergeCell ref="H39:H40"/>
    <mergeCell ref="S39:S40"/>
    <mergeCell ref="T39:T40"/>
    <mergeCell ref="U39:U40"/>
    <mergeCell ref="V39:V40"/>
    <mergeCell ref="X39:Z39"/>
    <mergeCell ref="AA39:AA40"/>
    <mergeCell ref="I39:I40"/>
    <mergeCell ref="J39:J40"/>
    <mergeCell ref="K39:K40"/>
    <mergeCell ref="L39:L40"/>
    <mergeCell ref="N39:O40"/>
    <mergeCell ref="P39:R39"/>
    <mergeCell ref="X49:Z49"/>
    <mergeCell ref="B44:C44"/>
    <mergeCell ref="N44:O44"/>
    <mergeCell ref="B45:C45"/>
    <mergeCell ref="N45:O45"/>
    <mergeCell ref="B46:C46"/>
    <mergeCell ref="N46:O46"/>
    <mergeCell ref="B41:C41"/>
    <mergeCell ref="N41:O41"/>
    <mergeCell ref="B42:C42"/>
    <mergeCell ref="N42:O42"/>
    <mergeCell ref="B43:C43"/>
    <mergeCell ref="N43:O43"/>
  </mergeCells>
  <conditionalFormatting sqref="Y26:Y33">
    <cfRule type="cellIs" dxfId="12" priority="6" stopIfTrue="1" operator="greaterThan">
      <formula>0</formula>
    </cfRule>
  </conditionalFormatting>
  <conditionalFormatting sqref="U33:X33">
    <cfRule type="cellIs" dxfId="11" priority="7" stopIfTrue="1" operator="lessThan">
      <formula>0</formula>
    </cfRule>
    <cfRule type="cellIs" dxfId="10" priority="8" stopIfTrue="1" operator="greaterThan">
      <formula>0</formula>
    </cfRule>
  </conditionalFormatting>
  <conditionalFormatting sqref="Y41:Y46">
    <cfRule type="cellIs" dxfId="9" priority="10" stopIfTrue="1" operator="equal">
      <formula>"Låg"</formula>
    </cfRule>
  </conditionalFormatting>
  <conditionalFormatting sqref="Y41:Y46">
    <cfRule type="cellIs" dxfId="8" priority="11" stopIfTrue="1" operator="equal">
      <formula>"Medel"</formula>
    </cfRule>
  </conditionalFormatting>
  <conditionalFormatting sqref="Y41:Y46">
    <cfRule type="cellIs" dxfId="7" priority="12" stopIfTrue="1" operator="equal">
      <formula>"Hög"</formula>
    </cfRule>
  </conditionalFormatting>
  <conditionalFormatting sqref="X48">
    <cfRule type="expression" dxfId="6" priority="9" stopIfTrue="1">
      <formula>LEN(TRIM(#REF!))&gt;0</formula>
    </cfRule>
  </conditionalFormatting>
  <conditionalFormatting sqref="X49">
    <cfRule type="notContainsBlanks" dxfId="5" priority="5">
      <formula>LEN(TRIM(X49))&gt;0</formula>
    </cfRule>
  </conditionalFormatting>
  <conditionalFormatting sqref="E41:E46">
    <cfRule type="cellIs" dxfId="4" priority="2" stopIfTrue="1" operator="equal">
      <formula>"Low"</formula>
    </cfRule>
    <cfRule type="cellIs" dxfId="3" priority="3" stopIfTrue="1" operator="equal">
      <formula>"Medium"</formula>
    </cfRule>
    <cfRule type="cellIs" dxfId="2" priority="4" stopIfTrue="1" operator="equal">
      <formula>"High"</formula>
    </cfRule>
  </conditionalFormatting>
  <dataValidations count="3">
    <dataValidation type="list" allowBlank="1" showErrorMessage="1" sqref="D41:D46 X41:X46 P41:P46">
      <formula1>"Välj,Operator,Swedish Transport Administration,Haulage contractor,Electricity grid operator,Electricity supplier,Truck manufacturer"</formula1>
    </dataValidation>
    <dataValidation type="list" allowBlank="1" showErrorMessage="1" sqref="E42:E46">
      <formula1>"Välj,Low,Medium,High"</formula1>
    </dataValidation>
    <dataValidation type="list" allowBlank="1" showErrorMessage="1" sqref="E41">
      <formula1>"Välj,Low,Medium,High"</formula1>
    </dataValidation>
  </dataValidations>
  <pageMargins left="0.7" right="0.7" top="0.75" bottom="0.75" header="0.51180555555555551" footer="0.51180555555555551"/>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K26"/>
  <sheetViews>
    <sheetView topLeftCell="A4" zoomScaleNormal="100" workbookViewId="0">
      <selection activeCell="I26" sqref="I26"/>
    </sheetView>
  </sheetViews>
  <sheetFormatPr defaultRowHeight="15" x14ac:dyDescent="0.25"/>
  <cols>
    <col min="1" max="1" width="9.140625" style="130"/>
    <col min="2" max="2" width="45" style="130" customWidth="1"/>
    <col min="3" max="3" width="7.85546875" style="130" customWidth="1"/>
    <col min="4" max="4" width="7.7109375" style="130" customWidth="1"/>
    <col min="5" max="5" width="8.140625" style="130" customWidth="1"/>
    <col min="6" max="8" width="0" style="130" hidden="1" customWidth="1"/>
    <col min="9" max="9" width="57.28515625" style="131" customWidth="1"/>
    <col min="10" max="16384" width="9.140625" style="130"/>
  </cols>
  <sheetData>
    <row r="1" spans="1:11" ht="14.45" customHeight="1" x14ac:dyDescent="0.25">
      <c r="A1" s="264" t="s">
        <v>144</v>
      </c>
      <c r="B1" s="264"/>
      <c r="C1" s="264"/>
      <c r="D1" s="264"/>
      <c r="E1" s="264"/>
      <c r="F1"/>
      <c r="G1"/>
      <c r="H1"/>
      <c r="I1"/>
      <c r="J1"/>
      <c r="K1"/>
    </row>
    <row r="2" spans="1:11" x14ac:dyDescent="0.25">
      <c r="A2" s="264"/>
      <c r="B2" s="264"/>
      <c r="C2" s="264"/>
      <c r="D2" s="264"/>
      <c r="E2" s="264"/>
      <c r="F2"/>
      <c r="G2"/>
      <c r="H2"/>
      <c r="I2"/>
      <c r="J2"/>
      <c r="K2"/>
    </row>
    <row r="3" spans="1:11" x14ac:dyDescent="0.25">
      <c r="A3" s="264"/>
      <c r="B3" s="264"/>
      <c r="C3" s="264"/>
      <c r="D3" s="264"/>
      <c r="E3" s="264"/>
      <c r="F3"/>
      <c r="G3"/>
      <c r="H3"/>
      <c r="I3"/>
      <c r="J3"/>
      <c r="K3"/>
    </row>
    <row r="4" spans="1:11" x14ac:dyDescent="0.25">
      <c r="B4" s="132"/>
      <c r="C4" s="133">
        <v>2020</v>
      </c>
      <c r="D4" s="134">
        <v>2040</v>
      </c>
      <c r="E4" s="135">
        <v>2060</v>
      </c>
      <c r="F4"/>
      <c r="G4"/>
      <c r="H4"/>
      <c r="I4"/>
      <c r="J4"/>
      <c r="K4"/>
    </row>
    <row r="5" spans="1:11" x14ac:dyDescent="0.25">
      <c r="B5" s="136" t="s">
        <v>52</v>
      </c>
      <c r="C5" s="137" t="s">
        <v>126</v>
      </c>
      <c r="D5" s="137" t="s">
        <v>126</v>
      </c>
      <c r="E5" s="137" t="s">
        <v>126</v>
      </c>
      <c r="F5" s="138" t="s">
        <v>126</v>
      </c>
      <c r="G5" s="139" t="s">
        <v>127</v>
      </c>
      <c r="H5" s="138" t="s">
        <v>127</v>
      </c>
      <c r="I5" s="140"/>
      <c r="J5"/>
      <c r="K5"/>
    </row>
    <row r="6" spans="1:11" x14ac:dyDescent="0.25">
      <c r="B6" s="141" t="s">
        <v>145</v>
      </c>
      <c r="C6" s="142" t="s">
        <v>128</v>
      </c>
      <c r="D6" s="142" t="s">
        <v>128</v>
      </c>
      <c r="E6" s="142" t="s">
        <v>128</v>
      </c>
      <c r="F6" s="143" t="s">
        <v>129</v>
      </c>
      <c r="G6" s="144" t="s">
        <v>130</v>
      </c>
      <c r="H6" s="143" t="s">
        <v>131</v>
      </c>
      <c r="I6" s="140"/>
      <c r="J6"/>
      <c r="K6"/>
    </row>
    <row r="7" spans="1:11" ht="60" x14ac:dyDescent="0.25">
      <c r="B7" s="145" t="s">
        <v>146</v>
      </c>
      <c r="C7" s="146">
        <v>0.21</v>
      </c>
      <c r="D7" s="146">
        <v>0.4</v>
      </c>
      <c r="E7" s="146">
        <v>0.85</v>
      </c>
      <c r="F7" s="147">
        <v>0.193</v>
      </c>
      <c r="G7" s="147">
        <v>2.5999999999999995E-2</v>
      </c>
      <c r="H7" s="147">
        <v>2.5999999999999995E-2</v>
      </c>
      <c r="I7" s="148" t="s">
        <v>165</v>
      </c>
      <c r="J7"/>
      <c r="K7"/>
    </row>
    <row r="8" spans="1:11" ht="43.15" customHeight="1" x14ac:dyDescent="0.25">
      <c r="B8" s="149" t="s">
        <v>147</v>
      </c>
      <c r="C8" s="150">
        <v>4</v>
      </c>
      <c r="D8" s="150">
        <v>4</v>
      </c>
      <c r="E8" s="150">
        <v>4</v>
      </c>
      <c r="F8" s="151">
        <v>4</v>
      </c>
      <c r="G8" s="151">
        <v>5</v>
      </c>
      <c r="H8" s="151">
        <v>5</v>
      </c>
      <c r="I8" s="152"/>
      <c r="J8"/>
      <c r="K8"/>
    </row>
    <row r="9" spans="1:11" x14ac:dyDescent="0.25">
      <c r="B9" s="145" t="s">
        <v>148</v>
      </c>
      <c r="C9" s="153">
        <v>0.8640000000000001</v>
      </c>
      <c r="D9" s="153">
        <v>0.8640000000000001</v>
      </c>
      <c r="E9" s="153">
        <v>0.8640000000000001</v>
      </c>
      <c r="F9" s="154">
        <v>0.59100000000000008</v>
      </c>
      <c r="G9" s="154">
        <v>0.6090000000000001</v>
      </c>
      <c r="H9" s="154">
        <v>0.84499999999999986</v>
      </c>
      <c r="I9" s="140"/>
      <c r="J9"/>
      <c r="K9"/>
    </row>
    <row r="10" spans="1:11" x14ac:dyDescent="0.25">
      <c r="B10" s="145" t="s">
        <v>149</v>
      </c>
      <c r="C10" s="155">
        <v>95.1</v>
      </c>
      <c r="D10" s="155">
        <v>95.1</v>
      </c>
      <c r="E10" s="155">
        <v>95.1</v>
      </c>
      <c r="F10" s="156">
        <v>95.1</v>
      </c>
      <c r="G10" s="156">
        <v>93.3</v>
      </c>
      <c r="H10" s="156">
        <v>93.3</v>
      </c>
      <c r="I10" s="157"/>
      <c r="J10"/>
      <c r="K10"/>
    </row>
    <row r="11" spans="1:11" x14ac:dyDescent="0.25">
      <c r="B11" s="145" t="s">
        <v>150</v>
      </c>
      <c r="C11" s="158">
        <f t="shared" ref="C11:H11" si="0">C10*(1-C9)</f>
        <v>12.93359999999999</v>
      </c>
      <c r="D11" s="158">
        <f t="shared" si="0"/>
        <v>12.93359999999999</v>
      </c>
      <c r="E11" s="158">
        <f t="shared" si="0"/>
        <v>12.93359999999999</v>
      </c>
      <c r="F11" s="159">
        <f t="shared" si="0"/>
        <v>38.89589999999999</v>
      </c>
      <c r="G11" s="159">
        <f t="shared" si="0"/>
        <v>36.480299999999993</v>
      </c>
      <c r="H11" s="159">
        <f t="shared" si="0"/>
        <v>14.461500000000012</v>
      </c>
      <c r="I11" s="160"/>
      <c r="J11"/>
      <c r="K11"/>
    </row>
    <row r="12" spans="1:11" x14ac:dyDescent="0.25">
      <c r="B12" s="145" t="s">
        <v>151</v>
      </c>
      <c r="C12" s="155">
        <f t="shared" ref="C12:H12" si="1">C10-C11</f>
        <v>82.16640000000001</v>
      </c>
      <c r="D12" s="155">
        <f t="shared" si="1"/>
        <v>82.16640000000001</v>
      </c>
      <c r="E12" s="155">
        <f t="shared" si="1"/>
        <v>82.16640000000001</v>
      </c>
      <c r="F12" s="161">
        <f t="shared" si="1"/>
        <v>56.204100000000004</v>
      </c>
      <c r="G12" s="161">
        <f t="shared" si="1"/>
        <v>56.819700000000005</v>
      </c>
      <c r="H12" s="161">
        <f t="shared" si="1"/>
        <v>78.838499999999982</v>
      </c>
      <c r="I12"/>
      <c r="J12"/>
      <c r="K12"/>
    </row>
    <row r="13" spans="1:11" x14ac:dyDescent="0.25">
      <c r="B13" s="145" t="s">
        <v>152</v>
      </c>
      <c r="C13" s="162">
        <f t="shared" ref="C13:H13" si="2">C8*(C12/1000)</f>
        <v>0.32866560000000006</v>
      </c>
      <c r="D13" s="162">
        <f t="shared" si="2"/>
        <v>0.32866560000000006</v>
      </c>
      <c r="E13" s="162">
        <f t="shared" si="2"/>
        <v>0.32866560000000006</v>
      </c>
      <c r="F13" s="163">
        <f t="shared" si="2"/>
        <v>0.22481640000000003</v>
      </c>
      <c r="G13" s="163">
        <f t="shared" si="2"/>
        <v>0.28409850000000003</v>
      </c>
      <c r="H13" s="163">
        <f t="shared" si="2"/>
        <v>0.39419249999999989</v>
      </c>
      <c r="I13" s="164"/>
      <c r="J13"/>
      <c r="K13"/>
    </row>
    <row r="14" spans="1:11" x14ac:dyDescent="0.25">
      <c r="B14" s="145" t="s">
        <v>153</v>
      </c>
      <c r="C14" s="165">
        <v>34</v>
      </c>
      <c r="D14" s="165">
        <v>34</v>
      </c>
      <c r="E14" s="165">
        <v>34</v>
      </c>
      <c r="F14" s="156">
        <v>33</v>
      </c>
      <c r="G14" s="156">
        <v>21.3</v>
      </c>
      <c r="H14" s="156">
        <v>32</v>
      </c>
      <c r="I14" s="140"/>
      <c r="J14"/>
      <c r="K14"/>
    </row>
    <row r="15" spans="1:11" x14ac:dyDescent="0.25">
      <c r="B15" s="145" t="s">
        <v>154</v>
      </c>
      <c r="C15" s="165">
        <v>35.299999999999997</v>
      </c>
      <c r="D15" s="165">
        <v>35.299999999999997</v>
      </c>
      <c r="E15" s="165">
        <v>35.299999999999997</v>
      </c>
      <c r="F15" s="156">
        <v>35.299999999999997</v>
      </c>
      <c r="G15" s="156"/>
      <c r="H15" s="156"/>
      <c r="I15"/>
      <c r="J15"/>
      <c r="K15"/>
    </row>
    <row r="16" spans="1:11" x14ac:dyDescent="0.25">
      <c r="B16" s="145" t="s">
        <v>155</v>
      </c>
      <c r="C16" s="166">
        <f>C13*C15</f>
        <v>11.601895680000002</v>
      </c>
      <c r="D16" s="166">
        <f>D13*D15</f>
        <v>11.601895680000002</v>
      </c>
      <c r="E16" s="166">
        <f>E13*E15</f>
        <v>11.601895680000002</v>
      </c>
      <c r="F16" s="167">
        <f>F13*F14</f>
        <v>7.4189412000000008</v>
      </c>
      <c r="G16" s="167">
        <f>G13*G14</f>
        <v>6.0512980500000007</v>
      </c>
      <c r="H16" s="167">
        <f>H13*H14</f>
        <v>12.614159999999996</v>
      </c>
      <c r="I16" s="168"/>
      <c r="J16"/>
      <c r="K16"/>
    </row>
    <row r="17" spans="2:11" x14ac:dyDescent="0.25">
      <c r="B17" s="145" t="s">
        <v>156</v>
      </c>
      <c r="C17" s="169">
        <v>6.01079356962018</v>
      </c>
      <c r="D17" s="169">
        <v>7.05</v>
      </c>
      <c r="E17" s="169">
        <v>7.33</v>
      </c>
      <c r="F17" s="170">
        <v>4.97</v>
      </c>
      <c r="G17" s="170"/>
      <c r="H17" s="170"/>
      <c r="I17"/>
      <c r="J17" s="171"/>
      <c r="K17" s="171"/>
    </row>
    <row r="18" spans="2:11" x14ac:dyDescent="0.25">
      <c r="B18" s="145" t="s">
        <v>157</v>
      </c>
      <c r="C18" s="172">
        <f>C17/C15</f>
        <v>0.17027743823286631</v>
      </c>
      <c r="D18" s="172">
        <f>D17/D15</f>
        <v>0.19971671388101983</v>
      </c>
      <c r="E18" s="172">
        <f>E17/E15</f>
        <v>0.20764872521246461</v>
      </c>
      <c r="F18" s="167">
        <f>F17/F15</f>
        <v>0.14079320113314447</v>
      </c>
      <c r="G18" s="167"/>
      <c r="H18" s="167"/>
      <c r="I18" s="140"/>
    </row>
    <row r="19" spans="2:11" x14ac:dyDescent="0.25">
      <c r="B19" s="145" t="s">
        <v>158</v>
      </c>
      <c r="C19" s="153">
        <f t="shared" ref="C19:H19" si="3">(C10*C7)/(C12)</f>
        <v>0.2430555555555555</v>
      </c>
      <c r="D19" s="153">
        <f t="shared" si="3"/>
        <v>0.46296296296296291</v>
      </c>
      <c r="E19" s="153">
        <f t="shared" si="3"/>
        <v>0.98379629629629606</v>
      </c>
      <c r="F19" s="154">
        <f t="shared" si="3"/>
        <v>0.32656514382402702</v>
      </c>
      <c r="G19" s="154">
        <f t="shared" si="3"/>
        <v>4.2692939244663365E-2</v>
      </c>
      <c r="H19" s="154">
        <f t="shared" si="3"/>
        <v>3.0769230769230767E-2</v>
      </c>
      <c r="I19" s="140"/>
    </row>
    <row r="20" spans="2:11" ht="30" x14ac:dyDescent="0.25">
      <c r="B20" s="173" t="s">
        <v>163</v>
      </c>
      <c r="C20" s="166">
        <f t="shared" ref="C20:H20" si="4">C19*C16</f>
        <v>2.8199052</v>
      </c>
      <c r="D20" s="166">
        <f t="shared" si="4"/>
        <v>5.3712480000000005</v>
      </c>
      <c r="E20" s="166">
        <f t="shared" si="4"/>
        <v>11.413901999999998</v>
      </c>
      <c r="F20" s="174">
        <f t="shared" si="4"/>
        <v>2.4227675999999998</v>
      </c>
      <c r="G20" s="174">
        <f t="shared" si="4"/>
        <v>0.2583476999999999</v>
      </c>
      <c r="H20" s="174">
        <f t="shared" si="4"/>
        <v>0.38812799999999986</v>
      </c>
      <c r="I20" s="140"/>
    </row>
    <row r="21" spans="2:11" ht="45" x14ac:dyDescent="0.25">
      <c r="B21" s="175" t="s">
        <v>159</v>
      </c>
      <c r="C21" s="166">
        <f t="shared" ref="C21:H21" si="5">C17+C20</f>
        <v>8.8306987696201809</v>
      </c>
      <c r="D21" s="166">
        <f t="shared" si="5"/>
        <v>12.421248</v>
      </c>
      <c r="E21" s="166">
        <f t="shared" si="5"/>
        <v>18.743901999999999</v>
      </c>
      <c r="F21" s="174">
        <f t="shared" si="5"/>
        <v>7.3927675999999991</v>
      </c>
      <c r="G21" s="174">
        <f t="shared" si="5"/>
        <v>0.2583476999999999</v>
      </c>
      <c r="H21" s="174">
        <f t="shared" si="5"/>
        <v>0.38812799999999986</v>
      </c>
      <c r="I21" s="176" t="s">
        <v>164</v>
      </c>
    </row>
    <row r="22" spans="2:11" x14ac:dyDescent="0.25">
      <c r="B22" s="173" t="s">
        <v>160</v>
      </c>
      <c r="C22" s="166">
        <f>4.161*1.02^2</f>
        <v>4.3291043999999994</v>
      </c>
      <c r="D22" s="166">
        <f>4.161*1.02^22</f>
        <v>6.4328214100984349</v>
      </c>
      <c r="E22" s="166">
        <f>4.161*1.02^42</f>
        <v>9.5588342231295726</v>
      </c>
      <c r="F22" s="177"/>
      <c r="G22" s="177"/>
      <c r="H22" s="177"/>
      <c r="I22"/>
    </row>
    <row r="23" spans="2:11" x14ac:dyDescent="0.25">
      <c r="B23" s="173" t="s">
        <v>161</v>
      </c>
      <c r="C23" s="166">
        <f>C21+C22</f>
        <v>13.159803169620179</v>
      </c>
      <c r="D23" s="166">
        <f>D21+D22</f>
        <v>18.854069410098436</v>
      </c>
      <c r="E23" s="166">
        <f>E21+E22</f>
        <v>28.302736223129571</v>
      </c>
      <c r="F23" s="178"/>
      <c r="G23" s="177"/>
      <c r="H23" s="177"/>
      <c r="I23"/>
    </row>
    <row r="24" spans="2:11" x14ac:dyDescent="0.25">
      <c r="B24" s="173"/>
      <c r="C24" s="179"/>
      <c r="D24" s="179"/>
      <c r="E24" s="179"/>
      <c r="F24" s="177"/>
      <c r="G24" s="177"/>
      <c r="H24" s="177"/>
      <c r="I24"/>
    </row>
    <row r="25" spans="2:11" ht="30" x14ac:dyDescent="0.25">
      <c r="B25" s="180" t="s">
        <v>162</v>
      </c>
      <c r="C25" s="181">
        <f>((C10-(C10*(1-C7)))*C15/1000)*C8</f>
        <v>2.8199051999999982</v>
      </c>
      <c r="D25" s="181">
        <f>((D10-(D10*(1-D7)))*D15/1000)*D8</f>
        <v>5.3712479999999996</v>
      </c>
      <c r="E25" s="181">
        <f>((E10-(E10*(1-E7)))*E15/1000)*E8</f>
        <v>11.413901999999998</v>
      </c>
      <c r="F25" s="174">
        <f>((F10-(F10*(1-F7)))*35.3/1000)*F8</f>
        <v>2.5916271600000007</v>
      </c>
      <c r="G25" s="174">
        <f>((G10-(G10*(1-G7)))*35.3/1000)*G8</f>
        <v>0.42815369999999914</v>
      </c>
      <c r="H25" s="174">
        <f>((H10-(H10*(1-H7)))*35.3/1000)*H8</f>
        <v>0.42815369999999914</v>
      </c>
      <c r="I25" s="182"/>
    </row>
    <row r="26" spans="2:11" ht="16.5" customHeight="1" x14ac:dyDescent="0.25"/>
  </sheetData>
  <sheetProtection selectLockedCells="1" selectUnlockedCells="1"/>
  <mergeCells count="1">
    <mergeCell ref="A1:E3"/>
  </mergeCells>
  <conditionalFormatting sqref="C19:E19">
    <cfRule type="cellIs" dxfId="1" priority="1" stopIfTrue="1" operator="greaterThan">
      <formula>1</formula>
    </cfRule>
    <cfRule type="cellIs" dxfId="0" priority="2" stopIfTrue="1" operator="greaterThan">
      <formula>100</formula>
    </cfRule>
  </conditionalFormatting>
  <pageMargins left="0.7" right="0.7" top="0.75" bottom="0.75" header="0.51180555555555551" footer="0.51180555555555551"/>
  <pageSetup paperSize="9"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178</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Instructions</vt:lpstr>
      <vt:lpstr>Calculation model</vt:lpstr>
      <vt:lpstr>Diesel prices from Elvägskalk</vt:lpstr>
      <vt:lpstr>High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Hasselgren Björn, PLnpv</dc:creator>
  <cp:keywords/>
  <dc:description/>
  <cp:lastModifiedBy>Näsström Elin, PLnpv</cp:lastModifiedBy>
  <cp:revision>17</cp:revision>
  <cp:lastPrinted>2019-04-04T08:07:59Z</cp:lastPrinted>
  <dcterms:created xsi:type="dcterms:W3CDTF">2019-03-13T09:31:23Z</dcterms:created>
  <dcterms:modified xsi:type="dcterms:W3CDTF">2020-01-20T13:54:39Z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