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drawings/drawing3.xml" ContentType="application/vnd.openxmlformats-officedocument.drawingml.chartshap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seli01\Desktop\Översättningar rapporter slutliga\Rapport affärsmodeller\"/>
    </mc:Choice>
  </mc:AlternateContent>
  <bookViews>
    <workbookView xWindow="0" yWindow="0" windowWidth="28800" windowHeight="12300" tabRatio="736" activeTab="1"/>
  </bookViews>
  <sheets>
    <sheet name="Instructions" sheetId="1" r:id="rId1"/>
    <sheet name="Calculation model" sheetId="2" r:id="rId2"/>
    <sheet name="Diesel prices from Elvägskalk" sheetId="3" r:id="rId3"/>
  </sheets>
  <definedNames>
    <definedName name="__xlfn_IFERROR">#N/A</definedName>
    <definedName name="__xlfn_SUMIFS">#N/A</definedName>
    <definedName name="High">'Calculation model'!$E$41</definedName>
  </definedNames>
  <calcPr calcId="162913"/>
</workbook>
</file>

<file path=xl/calcChain.xml><?xml version="1.0" encoding="utf-8"?>
<calcChain xmlns="http://schemas.openxmlformats.org/spreadsheetml/2006/main">
  <c r="Q32" i="2" l="1"/>
  <c r="L46" i="2"/>
  <c r="L43" i="2"/>
  <c r="R43" i="2" s="1"/>
  <c r="L42" i="2"/>
  <c r="R42" i="2" s="1"/>
  <c r="L41" i="2"/>
  <c r="E7" i="2"/>
  <c r="E13" i="2" s="1"/>
  <c r="Z46" i="2" s="1"/>
  <c r="E9" i="2"/>
  <c r="E11" i="2"/>
  <c r="E15" i="2"/>
  <c r="L44" i="2" s="1"/>
  <c r="E8" i="2"/>
  <c r="E17" i="2"/>
  <c r="E25" i="2"/>
  <c r="E26" i="2"/>
  <c r="E28" i="2" s="1"/>
  <c r="S45" i="2" s="1"/>
  <c r="Q27" i="2"/>
  <c r="Q29" i="2"/>
  <c r="Q30" i="2"/>
  <c r="R30" i="2"/>
  <c r="S30" i="2"/>
  <c r="U30" i="2" s="1"/>
  <c r="W30" i="2" s="1"/>
  <c r="E31" i="2"/>
  <c r="T30" i="2" s="1"/>
  <c r="T31" i="2"/>
  <c r="Q31" i="2"/>
  <c r="R31" i="2"/>
  <c r="S31" i="2"/>
  <c r="U31" i="2" s="1"/>
  <c r="S32" i="2"/>
  <c r="T32" i="2"/>
  <c r="E33" i="2"/>
  <c r="P20" i="2"/>
  <c r="S20" i="2"/>
  <c r="U20" i="2" s="1"/>
  <c r="N43" i="2"/>
  <c r="T44" i="2"/>
  <c r="T46" i="2"/>
  <c r="N46" i="2"/>
  <c r="V46" i="2" s="1"/>
  <c r="C11" i="3"/>
  <c r="C12" i="3"/>
  <c r="C19" i="3"/>
  <c r="C20" i="3" s="1"/>
  <c r="C21" i="3" s="1"/>
  <c r="C23" i="3" s="1"/>
  <c r="D11" i="3"/>
  <c r="E11" i="3"/>
  <c r="E12" i="3" s="1"/>
  <c r="F11" i="3"/>
  <c r="F12" i="3"/>
  <c r="F13" i="3" s="1"/>
  <c r="F16" i="3" s="1"/>
  <c r="G11" i="3"/>
  <c r="G12" i="3"/>
  <c r="H11" i="3"/>
  <c r="H12" i="3" s="1"/>
  <c r="H13" i="3" s="1"/>
  <c r="H16" i="3" s="1"/>
  <c r="D12" i="3"/>
  <c r="D13" i="3"/>
  <c r="D16" i="3"/>
  <c r="C18" i="3"/>
  <c r="D18" i="3"/>
  <c r="E18" i="3"/>
  <c r="F18" i="3"/>
  <c r="D19" i="3"/>
  <c r="D20" i="3" s="1"/>
  <c r="D21" i="3" s="1"/>
  <c r="D23" i="3" s="1"/>
  <c r="C22" i="3"/>
  <c r="D22" i="3"/>
  <c r="E22" i="3"/>
  <c r="C25" i="3"/>
  <c r="D25" i="3"/>
  <c r="E25" i="3"/>
  <c r="F25" i="3"/>
  <c r="G25" i="3"/>
  <c r="H25" i="3"/>
  <c r="T29" i="2"/>
  <c r="T41" i="2"/>
  <c r="H19" i="3"/>
  <c r="N41" i="2"/>
  <c r="Y30" i="2"/>
  <c r="R41" i="2"/>
  <c r="C13" i="3"/>
  <c r="C16" i="3"/>
  <c r="Z41" i="2"/>
  <c r="Z42" i="2"/>
  <c r="S26" i="2"/>
  <c r="V41" i="2"/>
  <c r="R29" i="2" s="1"/>
  <c r="H20" i="3" l="1"/>
  <c r="H21" i="3" s="1"/>
  <c r="F19" i="3"/>
  <c r="F20" i="3" s="1"/>
  <c r="F21" i="3" s="1"/>
  <c r="AC41" i="2"/>
  <c r="V30" i="2"/>
  <c r="G19" i="3"/>
  <c r="G20" i="3" s="1"/>
  <c r="G21" i="3" s="1"/>
  <c r="G13" i="3"/>
  <c r="G16" i="3" s="1"/>
  <c r="E19" i="3"/>
  <c r="E13" i="3"/>
  <c r="E16" i="3" s="1"/>
  <c r="AC46" i="2"/>
  <c r="W31" i="2"/>
  <c r="Z31" i="2"/>
  <c r="V31" i="2"/>
  <c r="Y31" i="2"/>
  <c r="N42" i="2"/>
  <c r="V42" i="2" s="1"/>
  <c r="R26" i="2" s="1"/>
  <c r="T42" i="2"/>
  <c r="Q26" i="2"/>
  <c r="Z30" i="2"/>
  <c r="Z45" i="2"/>
  <c r="V45" i="2"/>
  <c r="Q28" i="2"/>
  <c r="R44" i="2"/>
  <c r="N44" i="2"/>
  <c r="V44" i="2" s="1"/>
  <c r="S29" i="2"/>
  <c r="U29" i="2" s="1"/>
  <c r="Z43" i="2"/>
  <c r="T43" i="2"/>
  <c r="V43" i="2" s="1"/>
  <c r="R27" i="2" s="1"/>
  <c r="T27" i="2"/>
  <c r="Z44" i="2"/>
  <c r="R32" i="2"/>
  <c r="U32" i="2" s="1"/>
  <c r="U26" i="2" l="1"/>
  <c r="W32" i="2"/>
  <c r="V32" i="2"/>
  <c r="AC43" i="2"/>
  <c r="S27" i="2"/>
  <c r="S28" i="2"/>
  <c r="U28" i="2" s="1"/>
  <c r="AC44" i="2"/>
  <c r="V29" i="2"/>
  <c r="Z29" i="2"/>
  <c r="Y29" i="2"/>
  <c r="W29" i="2"/>
  <c r="Q33" i="2"/>
  <c r="Z26" i="2"/>
  <c r="Y45" i="2"/>
  <c r="AC45" i="2"/>
  <c r="R28" i="2"/>
  <c r="R33" i="2" s="1"/>
  <c r="Y46" i="2"/>
  <c r="T26" i="2" s="1"/>
  <c r="E20" i="3"/>
  <c r="E21" i="3" s="1"/>
  <c r="E23" i="3" s="1"/>
  <c r="Z32" i="2"/>
  <c r="AC42" i="2"/>
  <c r="W28" i="2" l="1"/>
  <c r="V28" i="2"/>
  <c r="Y28" i="2"/>
  <c r="U27" i="2"/>
  <c r="U33" i="2" s="1"/>
  <c r="Z33" i="2" s="1"/>
  <c r="S33" i="2"/>
  <c r="W26" i="2"/>
  <c r="Y26" i="2"/>
  <c r="V26" i="2"/>
  <c r="Y47" i="2"/>
  <c r="X49" i="2" s="1"/>
  <c r="T28" i="2"/>
  <c r="T33" i="2" s="1"/>
  <c r="Z28" i="2"/>
  <c r="W27" i="2" l="1"/>
  <c r="V27" i="2"/>
  <c r="W20" i="2"/>
  <c r="Y27" i="2"/>
  <c r="Y33" i="2" s="1"/>
  <c r="Z27" i="2"/>
</calcChain>
</file>

<file path=xl/comments1.xml><?xml version="1.0" encoding="utf-8"?>
<comments xmlns="http://schemas.openxmlformats.org/spreadsheetml/2006/main">
  <authors>
    <author/>
  </authors>
  <commentList>
    <comment ref="V23" authorId="0" shapeId="0">
      <text>
        <r>
          <rPr>
            <sz val="9"/>
            <color indexed="8"/>
            <rFont val="Tahoma"/>
            <family val="2"/>
            <charset val="1"/>
          </rPr>
          <t>Profit before tax and interest expenses in relation to investment</t>
        </r>
      </text>
    </comment>
    <comment ref="Z23" authorId="0" shapeId="0">
      <text>
        <r>
          <rPr>
            <sz val="9"/>
            <color indexed="8"/>
            <rFont val="Tahoma"/>
            <family val="2"/>
            <charset val="1"/>
          </rPr>
          <t>Only in case of positive result</t>
        </r>
      </text>
    </comment>
    <comment ref="Q32" authorId="0" shapeId="0">
      <text>
        <r>
          <rPr>
            <sz val="9"/>
            <color indexed="8"/>
            <rFont val="Tahoma"/>
            <family val="2"/>
            <charset val="1"/>
          </rPr>
          <t>State support when purchasing trucks</t>
        </r>
      </text>
    </comment>
    <comment ref="R32" authorId="0" shapeId="0">
      <text>
        <r>
          <rPr>
            <sz val="9"/>
            <color indexed="8"/>
            <rFont val="Tahoma"/>
            <family val="2"/>
            <charset val="1"/>
          </rPr>
          <t>Tax losses on diesel and value-added tax</t>
        </r>
      </text>
    </comment>
    <comment ref="S32" authorId="0" shapeId="0">
      <text>
        <r>
          <rPr>
            <sz val="9"/>
            <color indexed="8"/>
            <rFont val="Tahoma"/>
            <family val="2"/>
            <charset val="1"/>
          </rPr>
          <t xml:space="preserve">Additionat tax revenue from electricity and value-added tax </t>
        </r>
      </text>
    </comment>
    <comment ref="P33" authorId="0" shapeId="0">
      <text>
        <r>
          <rPr>
            <sz val="9"/>
            <color indexed="8"/>
            <rFont val="Tahoma"/>
            <family val="2"/>
            <charset val="1"/>
          </rPr>
          <t>Excluding the State</t>
        </r>
      </text>
    </comment>
    <comment ref="Y45" authorId="0" shapeId="0">
      <text>
        <r>
          <rPr>
            <sz val="9"/>
            <color indexed="8"/>
            <rFont val="Tahoma"/>
            <family val="2"/>
            <charset val="1"/>
          </rPr>
          <t xml:space="preserve">The starting point is that the cost of electricity should be covered by the user fee
</t>
        </r>
      </text>
    </comment>
  </commentList>
</comments>
</file>

<file path=xl/comments2.xml><?xml version="1.0" encoding="utf-8"?>
<comments xmlns="http://schemas.openxmlformats.org/spreadsheetml/2006/main">
  <authors>
    <author/>
  </authors>
  <commentList>
    <comment ref="B7" authorId="0" shapeId="0">
      <text>
        <r>
          <rPr>
            <b/>
            <sz val="9"/>
            <color indexed="8"/>
            <rFont val="Tahoma"/>
            <family val="2"/>
            <charset val="1"/>
          </rPr>
          <t xml:space="preserve">Author:
</t>
        </r>
        <r>
          <rPr>
            <sz val="9"/>
            <color indexed="8"/>
            <rFont val="Tahoma"/>
            <family val="2"/>
            <charset val="1"/>
          </rPr>
          <t>Initially the reduction levels are 2.6 per cent for petrol and 19.3 per cent for diesel according to the Swedish Energy Agency. The indicative levels are a 40 per cent reduction from diesel and petrol 2030. 
Since only diesel is relevant, diesel has been used here.</t>
        </r>
      </text>
    </comment>
    <comment ref="B8" authorId="0" shapeId="0">
      <text>
        <r>
          <rPr>
            <b/>
            <sz val="9"/>
            <color indexed="8"/>
            <rFont val="Tahoma"/>
            <family val="2"/>
            <charset val="1"/>
          </rPr>
          <t xml:space="preserve">Author:
</t>
        </r>
        <r>
          <rPr>
            <sz val="9"/>
            <color indexed="8"/>
            <rFont val="Tahoma"/>
            <family val="2"/>
            <charset val="1"/>
          </rPr>
          <t>“If you are unable to take over the surplus you will be required to pay a fee for each kilo of carbon dioxide equivalent that exceeds its reduction obligation. For petrol the fee shall be SEK 5 per kg and for diesel SEK 4 per kg”
/</t>
        </r>
        <r>
          <rPr>
            <b/>
            <sz val="9"/>
            <color indexed="8"/>
            <rFont val="Tahoma"/>
            <family val="2"/>
          </rPr>
          <t>Swedish Energy Agency</t>
        </r>
      </text>
    </comment>
    <comment ref="B9" authorId="0" shapeId="0">
      <text>
        <r>
          <rPr>
            <b/>
            <sz val="9"/>
            <color indexed="8"/>
            <rFont val="Tahoma"/>
            <family val="2"/>
            <charset val="1"/>
          </rPr>
          <t xml:space="preserve">Author:
</t>
        </r>
        <r>
          <rPr>
            <sz val="9"/>
            <color indexed="8"/>
            <rFont val="Tahoma"/>
            <family val="2"/>
            <charset val="1"/>
          </rPr>
          <t xml:space="preserve">I.e. the emission reduction from just biofuel (cf. with a complete fossil equivalent), e.g. HVO emits 86.4 less than pure diesel. This is used to obtain emission g/MJ of biofuel (as this figure was not available)
</t>
        </r>
      </text>
    </comment>
    <comment ref="B10" authorId="0" shapeId="0">
      <text>
        <r>
          <rPr>
            <b/>
            <sz val="9"/>
            <color indexed="8"/>
            <rFont val="Tahoma"/>
            <family val="2"/>
            <charset val="1"/>
          </rPr>
          <t xml:space="preserve">Author:
</t>
        </r>
        <r>
          <rPr>
            <sz val="9"/>
            <color indexed="8"/>
            <rFont val="Tahoma"/>
            <family val="2"/>
            <charset val="1"/>
          </rPr>
          <t xml:space="preserve">When you calculate the reduction of emissions, you use the fossil equivalent 93.3 grams carbon dioxide equivalents per megajoule for petrol and 95.1 for diesel fuel.
</t>
        </r>
        <r>
          <rPr>
            <b/>
            <sz val="9"/>
            <color indexed="8"/>
            <rFont val="Tahoma"/>
            <family val="2"/>
          </rPr>
          <t>Swedish Energy Agency</t>
        </r>
      </text>
    </comment>
    <comment ref="B13" authorId="0" shapeId="0">
      <text>
        <r>
          <rPr>
            <b/>
            <sz val="9"/>
            <color indexed="8"/>
            <rFont val="Tahoma"/>
            <family val="2"/>
            <charset val="1"/>
          </rPr>
          <t xml:space="preserve">Author:
</t>
        </r>
        <r>
          <rPr>
            <sz val="9"/>
            <color indexed="8"/>
            <rFont val="Tahoma"/>
            <family val="2"/>
            <charset val="1"/>
          </rPr>
          <t>Max price diff users are prepared to pay per MJ</t>
        </r>
      </text>
    </comment>
    <comment ref="B14" authorId="0" shapeId="0">
      <text>
        <r>
          <rPr>
            <b/>
            <sz val="9"/>
            <color indexed="8"/>
            <rFont val="Tahoma"/>
            <family val="2"/>
            <charset val="1"/>
          </rPr>
          <t xml:space="preserve">Author:
</t>
        </r>
        <r>
          <rPr>
            <sz val="9"/>
            <color indexed="8"/>
            <rFont val="Tahoma"/>
            <family val="2"/>
            <charset val="1"/>
          </rPr>
          <t xml:space="preserve">From the table below (OKQ8)
</t>
        </r>
      </text>
    </comment>
    <comment ref="B15" authorId="0" shapeId="0">
      <text>
        <r>
          <rPr>
            <b/>
            <sz val="9"/>
            <color indexed="8"/>
            <rFont val="Tahoma"/>
            <family val="2"/>
            <charset val="1"/>
          </rPr>
          <t xml:space="preserve">Author:
</t>
        </r>
        <r>
          <rPr>
            <sz val="9"/>
            <color indexed="8"/>
            <rFont val="Tahoma"/>
            <family val="2"/>
            <charset val="1"/>
          </rPr>
          <t xml:space="preserve">From table below (OKQ8)
</t>
        </r>
      </text>
    </comment>
    <comment ref="B16" authorId="0" shapeId="0">
      <text>
        <r>
          <rPr>
            <b/>
            <sz val="9"/>
            <color indexed="8"/>
            <rFont val="Tahoma"/>
            <family val="2"/>
            <charset val="1"/>
          </rPr>
          <t xml:space="preserve">Author:
</t>
        </r>
        <r>
          <rPr>
            <sz val="9"/>
            <color indexed="8"/>
            <rFont val="Tahoma"/>
            <family val="2"/>
            <charset val="1"/>
          </rPr>
          <t>I.e. SEK/MJ*MJ/L = SEK/L
NB: This is price diff per L compared with complete fossil diesel (for sellers of fuel)</t>
        </r>
      </text>
    </comment>
    <comment ref="B17" authorId="0" shapeId="0">
      <text>
        <r>
          <rPr>
            <b/>
            <sz val="9"/>
            <color indexed="8"/>
            <rFont val="Tahoma"/>
            <family val="2"/>
            <charset val="1"/>
          </rPr>
          <t xml:space="preserve">Author:
</t>
        </r>
        <r>
          <rPr>
            <sz val="9"/>
            <color indexed="8"/>
            <rFont val="Tahoma"/>
            <family val="2"/>
            <charset val="1"/>
          </rPr>
          <t>From ASEK calculation appendix tab 11 fuel costs Diesel Truck (bulk) product price excl. excise duties and VAT SEK/litre 2020 counted up from 2014, 0.8% per year), 2040 and 2060</t>
        </r>
      </text>
    </comment>
    <comment ref="B19" authorId="0" shapeId="0">
      <text>
        <r>
          <rPr>
            <b/>
            <sz val="9"/>
            <color indexed="8"/>
            <rFont val="Tahoma"/>
            <family val="2"/>
            <charset val="1"/>
          </rPr>
          <t xml:space="preserve">Author:
</t>
        </r>
        <r>
          <rPr>
            <sz val="9"/>
            <color indexed="8"/>
            <rFont val="Tahoma"/>
            <family val="2"/>
            <charset val="1"/>
          </rPr>
          <t>This is larger than what is perhaps intuitive since biofuel is less energy dense (MJ) than equivalent fossils, and has a certain emission level itself. 
If you want to reduce emissions by 13.4 per cent you must therefore mix in more than 13.4 per cent bio.
Note that with a reduction obligation larger than 86.4 per cent, the mixture level will be above 100%, and that will be incorrect.</t>
        </r>
      </text>
    </comment>
    <comment ref="B21" authorId="0" shapeId="0">
      <text>
        <r>
          <rPr>
            <b/>
            <sz val="9"/>
            <color indexed="8"/>
            <rFont val="Tahoma"/>
            <family val="2"/>
            <charset val="1"/>
          </rPr>
          <t xml:space="preserve">Author:
</t>
        </r>
        <r>
          <rPr>
            <sz val="9"/>
            <color indexed="8"/>
            <rFont val="Tahoma"/>
            <family val="2"/>
            <charset val="1"/>
          </rPr>
          <t>Excl. Tax and VAT
Above this level it is more profitable to just pay the fee</t>
        </r>
      </text>
    </comment>
    <comment ref="B22" authorId="0" shapeId="0">
      <text>
        <r>
          <rPr>
            <b/>
            <sz val="9"/>
            <color indexed="8"/>
            <rFont val="Tahoma"/>
            <family val="2"/>
            <charset val="1"/>
          </rPr>
          <t xml:space="preserve">Author:
</t>
        </r>
        <r>
          <rPr>
            <sz val="9"/>
            <color indexed="8"/>
            <rFont val="Tahoma"/>
            <family val="2"/>
            <charset val="1"/>
          </rPr>
          <t xml:space="preserve">Author:
From Swedish Tax Agency 2018 (diesel oil)
https://www.skatteverket.se/foretagochorganisationer/skatter/punktskatter/energiskatter/skattesatserochvaxelkurser.4.77dbcb041438070e0395e96.html
Counted up by 2% according to ASEK 2018-2040
</t>
        </r>
      </text>
    </comment>
    <comment ref="B23" authorId="0" shapeId="0">
      <text>
        <r>
          <rPr>
            <b/>
            <sz val="9"/>
            <color indexed="8"/>
            <rFont val="Tahoma"/>
            <family val="2"/>
            <charset val="1"/>
          </rPr>
          <t xml:space="preserve">Author:
</t>
        </r>
        <r>
          <rPr>
            <sz val="9"/>
            <color indexed="8"/>
            <rFont val="Tahoma"/>
            <family val="2"/>
            <charset val="1"/>
          </rPr>
          <t>As companies do not pay VAT</t>
        </r>
      </text>
    </comment>
  </commentList>
</comments>
</file>

<file path=xl/sharedStrings.xml><?xml version="1.0" encoding="utf-8"?>
<sst xmlns="http://schemas.openxmlformats.org/spreadsheetml/2006/main" count="228" uniqueCount="180">
  <si>
    <r>
      <t xml:space="preserve">INSTRUCTIONS FOR THE ECONOMIC CALCULATION MODEL FOR ELECTRIC ROADS. </t>
    </r>
    <r>
      <rPr>
        <sz val="12"/>
        <rFont val="Times New Roman"/>
        <family val="1"/>
      </rPr>
      <t xml:space="preserve">SWEDISH TRANSPORT ADMINISTRATION </t>
    </r>
    <r>
      <rPr>
        <sz val="12"/>
        <rFont val="Calibri"/>
        <family val="1"/>
        <charset val="1"/>
      </rPr>
      <t>Version 1 191031 TRV 2018/18530</t>
    </r>
  </si>
  <si>
    <t>1. INPUT DATA</t>
  </si>
  <si>
    <t>Category</t>
  </si>
  <si>
    <t>Sub-category</t>
  </si>
  <si>
    <t>Value</t>
  </si>
  <si>
    <t>Unit</t>
  </si>
  <si>
    <t>Comment</t>
  </si>
  <si>
    <t>Number of days in a year</t>
  </si>
  <si>
    <t>days</t>
  </si>
  <si>
    <t>Total ERS-length</t>
  </si>
  <si>
    <t>km</t>
  </si>
  <si>
    <t>Number of kilometres of road covered by ERS installation</t>
  </si>
  <si>
    <t>Percentage of the road electrified</t>
  </si>
  <si>
    <t>%</t>
  </si>
  <si>
    <t xml:space="preserve">Affects "Construction and maintenance ERS infrastructure" and "Construction and maintenance road furniture". </t>
  </si>
  <si>
    <t>Traffic</t>
  </si>
  <si>
    <t>Vehicle kilometres on ERS</t>
  </si>
  <si>
    <t>km / year</t>
  </si>
  <si>
    <t>A function of ADT (daily average traffic flow for any point in the road section), days per year and ERS length</t>
  </si>
  <si>
    <t>Vehicle kilometres on ERS + non-ERS</t>
  </si>
  <si>
    <t>The distance that the HGVs in the system drive in a year (both on ERS and outside the ERS</t>
  </si>
  <si>
    <t>Percentage of total HGV kilometres in Sweden</t>
  </si>
  <si>
    <t>Used as a control reference, based on total vehicle kilometres in the system</t>
  </si>
  <si>
    <t>ÅDT (Daily average traffic flow for any point in the road strech)</t>
  </si>
  <si>
    <t>Passages/day</t>
  </si>
  <si>
    <t>Daily average traffic flow for any point in the road section. In Swedish: Årsmedeldygnstrafik</t>
  </si>
  <si>
    <t>Number of passages per HGV per day</t>
  </si>
  <si>
    <t>A function of annual HGV kilometres, ERS length, and percentage of HGV kilometres on ERS</t>
  </si>
  <si>
    <t>Percentage of HGV kilometres on ERS</t>
  </si>
  <si>
    <t>Percentage of section HGV drives on ERS of total section. Affecting number HGVs required to generate selected ADT</t>
  </si>
  <si>
    <t>Number of transactions per year</t>
  </si>
  <si>
    <t>transactions/year</t>
  </si>
  <si>
    <t>Cost per payment transaction</t>
  </si>
  <si>
    <t>SEK/transaction</t>
  </si>
  <si>
    <t>HGV</t>
  </si>
  <si>
    <t>Number of HGVs in the system</t>
  </si>
  <si>
    <t># HGV</t>
  </si>
  <si>
    <t>A function of ADT, ERS length, days per year and HGV kilometres on ERS per year</t>
  </si>
  <si>
    <t>Number of HGVs in Sweden</t>
  </si>
  <si>
    <t>Based on HGVs heavier than 3.5 tonnes according to TRAFA 2019 for plausibility cheking of the values</t>
  </si>
  <si>
    <t>Environment (tonnes CO2 / year)</t>
  </si>
  <si>
    <t>Percentage of total amount of HGV in Sweden</t>
  </si>
  <si>
    <t>Used only as a control reference, based on trucks heavier than 3.5 tonnes according to TRAFA 2019</t>
  </si>
  <si>
    <t>Annual emissions from HGVs if selected ERS section is not electrified (tonnes CO2)</t>
  </si>
  <si>
    <t>Annual emissions from HGVs if selected ERS section is electrified (tonnes CO2)</t>
  </si>
  <si>
    <t>Annual emissions reduction if selected ERS section is electrified (tonnes CO2)</t>
  </si>
  <si>
    <t>Annual cost to the State (incl. Swedish Transport Administration) per tonne CO2 reduction per year (SEK per reduced CO2 tonne per year)</t>
  </si>
  <si>
    <t>Maximum eco-subsidy per HGV</t>
  </si>
  <si>
    <t>SEK/HGV</t>
  </si>
  <si>
    <t>According to preliminary indications from Traffic Anaysis report 2019:2 approx. SEK 400 000 in eco-friendly goods vehicle premium per truck</t>
  </si>
  <si>
    <t>Annual vehicle kilometers per HGV</t>
  </si>
  <si>
    <t>Estimate based on dialogue with market participants</t>
  </si>
  <si>
    <t>Fuel</t>
  </si>
  <si>
    <t>Diesel price (excl. VAT)</t>
  </si>
  <si>
    <t>SEK / litre</t>
  </si>
  <si>
    <t>According to the socio-economic calculation, average 2020-2060. Price excl. VAT, see separate tab for reference.</t>
  </si>
  <si>
    <t>Diesel consumption</t>
  </si>
  <si>
    <t>litre / km</t>
  </si>
  <si>
    <t>From table "14.7 Basic data for calculating truck costs", ASEK 6.1</t>
  </si>
  <si>
    <t>VAT</t>
  </si>
  <si>
    <t>Tax (% of diesel price)</t>
  </si>
  <si>
    <t>According to the socio-economic calculation model</t>
  </si>
  <si>
    <t>Tax (% of electricity price)</t>
  </si>
  <si>
    <t>According to the socio-economic calculation model and Swedish Energy Agency, based on energy tax SEK 0.35/km and Total price excl. VAT of SEK 0.717/km (0.35/0.717= approx. 49%)</t>
  </si>
  <si>
    <t>Cost of diesel</t>
  </si>
  <si>
    <t>SEK / km</t>
  </si>
  <si>
    <t>Electricity consumption</t>
  </si>
  <si>
    <t>kWh / km</t>
  </si>
  <si>
    <t>Re-calculated from Bertelsen (2018) that uses Diesel consumption/km = 0.4 and Electricity consumption kWh/km = 1.80</t>
  </si>
  <si>
    <t>Electricity price (excl. VAT)</t>
  </si>
  <si>
    <t>SEK / kWh</t>
  </si>
  <si>
    <t>Value for 2020 according to socio-economic calculation model, tab "Input data". Total price excl. VAT incl. energy tax</t>
  </si>
  <si>
    <t>Cost of electricity (excl. VAT)</t>
  </si>
  <si>
    <t>A function of electricity price x electricity consumption</t>
  </si>
  <si>
    <t>Effect fee and transmission fee for overhead grid</t>
  </si>
  <si>
    <t>Additional willingness to pay for ERS</t>
  </si>
  <si>
    <t>Additional incentives for haulage contractor to drive on ERS apart from purely financial</t>
  </si>
  <si>
    <t>Total fee ERS usage</t>
  </si>
  <si>
    <t>Highest possible user fees that can be charged without exceeding the diesel price</t>
  </si>
  <si>
    <t>Financing</t>
  </si>
  <si>
    <t>Economies of scale ERS related investments</t>
  </si>
  <si>
    <t>Links to all investments (electricity grid, ERS infrastructure, road furniture), the cost saving per km that can arise for larger installations</t>
  </si>
  <si>
    <t>Environment</t>
  </si>
  <si>
    <t>Emission factor CO2 truck</t>
  </si>
  <si>
    <t>tonnes / km</t>
  </si>
  <si>
    <t>Values from socio-economic calculation model, retrieved from the file ASEK_6_MC_EF_emissioner_CO2_160208_Pbl 2040</t>
  </si>
  <si>
    <t>SUMMA exkl. Staten</t>
  </si>
  <si>
    <t>2. CALCULATION</t>
  </si>
  <si>
    <t>Component</t>
  </si>
  <si>
    <t>Investment (SEK)</t>
  </si>
  <si>
    <t>Costs (SEK/year)</t>
  </si>
  <si>
    <t>Revenue (SEK/year)</t>
  </si>
  <si>
    <t>Result before taxes (SEK/year)</t>
  </si>
  <si>
    <t>Actor responsible for the investment</t>
  </si>
  <si>
    <t>Select level of investment</t>
  </si>
  <si>
    <t xml:space="preserve">Low investment  (SEK/km)
</t>
  </si>
  <si>
    <t>Medium investment (SEK/km)</t>
  </si>
  <si>
    <t>High investment (SEK/km)</t>
  </si>
  <si>
    <t>Depreciation period (years)</t>
  </si>
  <si>
    <t>Percentage of investment financed by loan (%)</t>
  </si>
  <si>
    <t>Interest rate
 (%)</t>
  </si>
  <si>
    <t>Total investment for ERS (SEK)</t>
  </si>
  <si>
    <t>Depreciation 
(SEK/year)</t>
  </si>
  <si>
    <t>Operation &amp; maintenance as % of investment</t>
  </si>
  <si>
    <t>Electricity (SEK/year)</t>
  </si>
  <si>
    <t>Interest rate (SEK/year)</t>
  </si>
  <si>
    <t>Other costs (SEK/year)</t>
  </si>
  <si>
    <t>SUM costs (SEK/year)</t>
  </si>
  <si>
    <t>User fees</t>
  </si>
  <si>
    <t>Additional services (SEK/year)</t>
  </si>
  <si>
    <t>Actor responsible for operation and maintenance</t>
  </si>
  <si>
    <t>Percentage of investment</t>
  </si>
  <si>
    <t>Operation and maintenance (SEK/year)</t>
  </si>
  <si>
    <t>Actor due user fees</t>
  </si>
  <si>
    <t>Select (% of user fees)</t>
  </si>
  <si>
    <t>Revenue from user fees (SEK/year)</t>
  </si>
  <si>
    <t>Construction and maintenance electricity grid extension</t>
  </si>
  <si>
    <t>Electricity grid operator</t>
  </si>
  <si>
    <t>Construction and maintenance ERS infrastructure</t>
  </si>
  <si>
    <t>Operator</t>
  </si>
  <si>
    <t>Construction and maintenance road furniture</t>
  </si>
  <si>
    <t>Swedish Transport Administration</t>
  </si>
  <si>
    <t>Conversion to electric operation on ERS for truck</t>
  </si>
  <si>
    <t>Haulage contractor</t>
  </si>
  <si>
    <t>System for measurement and billing</t>
  </si>
  <si>
    <t>High</t>
  </si>
  <si>
    <t>Diesel</t>
  </si>
  <si>
    <t>Bensin</t>
  </si>
  <si>
    <t>HVO</t>
  </si>
  <si>
    <t>RME</t>
  </si>
  <si>
    <t>Etanol</t>
  </si>
  <si>
    <t>Biobensin</t>
  </si>
  <si>
    <t>3. RESULT</t>
  </si>
  <si>
    <t>Electricity supplier</t>
  </si>
  <si>
    <t>The State</t>
  </si>
  <si>
    <t>Low</t>
  </si>
  <si>
    <t>Medium</t>
  </si>
  <si>
    <t>Investment/result</t>
  </si>
  <si>
    <t>Deficit (SEK/year)</t>
  </si>
  <si>
    <t>Profit margin</t>
  </si>
  <si>
    <t>Result/year in relation to investment</t>
  </si>
  <si>
    <t>Revenus from user fees (SEK/km)</t>
  </si>
  <si>
    <t>Cost (SEK/year)</t>
  </si>
  <si>
    <t>ERS investment (SEK)</t>
  </si>
  <si>
    <t>This table comes from the socio-economic calculation model "Electric Road Calculator" and can be used as inspiration to determine the input value of diesel in different scenarios.</t>
  </si>
  <si>
    <t>Biofuel mixed in</t>
  </si>
  <si>
    <t>Reduction obligation amount (emissions) %</t>
  </si>
  <si>
    <t>Fee SEK/kg emission (fine imposed for not meeting reduction obligation)</t>
  </si>
  <si>
    <t>Emission reduction (of biofuel) %</t>
  </si>
  <si>
    <t>Emission g/MJ fossil</t>
  </si>
  <si>
    <t>Emission g/MJ bio</t>
  </si>
  <si>
    <t>Emission difference g/MJ</t>
  </si>
  <si>
    <t>Max price diff (cf. with fossil diesel), SEK/MJ</t>
  </si>
  <si>
    <t>Energy content biofuel MJ/litre</t>
  </si>
  <si>
    <t>Energy content fossil MJ/litre</t>
  </si>
  <si>
    <t>Max price diff per litre pure biofuel (SEK/litre)</t>
  </si>
  <si>
    <t>Fossil – product price + gross margin, SEK/litre</t>
  </si>
  <si>
    <t>Fossil - product price + gross margin, SEK/MJ</t>
  </si>
  <si>
    <t>Percentage biofuel (level of mixing)</t>
  </si>
  <si>
    <t>Maximum cost for one litre fuel (SEK/litre)</t>
  </si>
  <si>
    <t>Tax (SEK/litre)</t>
  </si>
  <si>
    <t>Price at pump (excl. VAT) (SEK/litre)</t>
  </si>
  <si>
    <t>Fee per L if you sell fuel completely without mixture (should also be max price diff per litre)</t>
  </si>
  <si>
    <t xml:space="preserve">Max price diff per litre fuel 
Percentage biofuel * biofuel price (max diff) </t>
  </si>
  <si>
    <t xml:space="preserve">One L reduced fuel can cost this amount, if it costs more then it is profitable to only sell fossil and pay the fee. 
</t>
  </si>
  <si>
    <t>If you have to add more, increase the relative emissions difference cf. fossil, which increases the fee, which increases maximum price diff (higher level = higher willingness to pay for biofuel)</t>
  </si>
  <si>
    <t>For more detailed information on the calculation model, please see associated manual</t>
  </si>
  <si>
    <t>Using the calculation model</t>
  </si>
  <si>
    <t>The caluclation model consists of three parts</t>
  </si>
  <si>
    <t>Purpose and usage of the calculation model</t>
  </si>
  <si>
    <t>Different levels of investments per kilometer. These cells contain a drop down list where you can choose between "Low", "Medium" and "High".</t>
  </si>
  <si>
    <t>A function of other input variables. These values should not be altered.</t>
  </si>
  <si>
    <t>Adjustable cells. When choosing an actor, you will find a drop down list to choose from.</t>
  </si>
  <si>
    <t>RESULT: Illustrates costs, revenues and results for each actor in the system as well as CO2 effects. The result is also illustrated graphically.</t>
  </si>
  <si>
    <t>CALCULATION: Calculates the size of the investment, costs and revenues for each investment component and allocates them to different actors in the system.</t>
  </si>
  <si>
    <t>INPUT DATA: General input variables in the model. Use the values you see fit.</t>
  </si>
  <si>
    <t>The calculation model is a tool for the purpose of furthering the understanding of the monetary consequences for different actors in an electric road system in its entirety from a profit and loss (P&amp;L) perspective. The result from the calculation model gives the user a snapshot for a particular year. 
The calculation model can be used as basis for discussion in order to create an understanding of the implications of various prerequisites for the electric road operator and other actors in the electric road system. 
The calculation model must not be used to make investment decisions or similar. 
The application area for the calculation model only extends, on an overall level, to simulating consequences based on input data. Prior to an investment decision, the user should conduct his/her own analyses in his/her own models in order to obtain complete and accurate data. The Swedish Transport Administration accepts no responsibility for the investment decisions taken by another party and where the calculation model has been used..</t>
  </si>
  <si>
    <r>
      <t>A function of di</t>
    </r>
    <r>
      <rPr>
        <sz val="9"/>
        <rFont val="Arial"/>
        <family val="2"/>
      </rPr>
      <t>esel price SEK / litre</t>
    </r>
    <r>
      <rPr>
        <sz val="9"/>
        <color indexed="8"/>
        <rFont val="Arial"/>
        <family val="2"/>
        <charset val="1"/>
      </rPr>
      <t xml:space="preserve"> x diesel consumption/km</t>
    </r>
  </si>
  <si>
    <t>Vehicle manufacturer</t>
  </si>
  <si>
    <t>Financial position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</si>
</sst>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_);_(* \(#,##0.00\);_(* \-??_);_(@_)"/>
    <numFmt numFmtId="165" formatCode="#,##0.0"/>
    <numFmt numFmtId="166" formatCode="0.0000"/>
    <numFmt numFmtId="167" formatCode="0.0%"/>
    <numFmt numFmtId="168" formatCode="_-* #,##0.00\ _k_r_-;\-* #,##0.00\ _k_r_-;_-* \-??\ _k_r_-;_-@_-"/>
    <numFmt numFmtId="169" formatCode="0.000000000000"/>
    <numFmt numFmtId="170" formatCode="#,##0.0&quot; kr&quot;"/>
    <numFmt numFmtId="171" formatCode="0.0"/>
    <numFmt numFmtId="172" formatCode="0.00000"/>
    <numFmt numFmtId="173" formatCode="#,##0.00&quot; kr&quot;"/>
  </numFmts>
  <fonts count="32" x14ac:knownFonts="1">
    <font>
      <sz val="11"/>
      <color indexed="8"/>
      <name val="Calibri"/>
      <family val="2"/>
      <charset val="1"/>
    </font>
    <font>
      <sz val="10"/>
      <name val="Arial"/>
      <family val="2"/>
      <charset val="1"/>
    </font>
    <font>
      <b/>
      <sz val="10"/>
      <name val="Calibri Light"/>
      <family val="2"/>
      <charset val="1"/>
    </font>
    <font>
      <sz val="9"/>
      <color indexed="8"/>
      <name val="Arial"/>
      <family val="2"/>
      <charset val="1"/>
    </font>
    <font>
      <sz val="12"/>
      <name val="Calibri"/>
      <family val="1"/>
      <charset val="1"/>
    </font>
    <font>
      <sz val="12"/>
      <name val="Times New Roman"/>
      <family val="1"/>
    </font>
    <font>
      <b/>
      <sz val="9"/>
      <color indexed="8"/>
      <name val="Arial"/>
      <family val="2"/>
      <charset val="1"/>
    </font>
    <font>
      <b/>
      <sz val="9"/>
      <color indexed="9"/>
      <name val="Arial"/>
      <family val="2"/>
      <charset val="1"/>
    </font>
    <font>
      <sz val="9"/>
      <name val="Arial"/>
      <family val="2"/>
      <charset val="1"/>
    </font>
    <font>
      <sz val="9"/>
      <color indexed="9"/>
      <name val="Arial"/>
      <family val="2"/>
      <charset val="1"/>
    </font>
    <font>
      <b/>
      <sz val="9"/>
      <name val="Arial"/>
      <family val="2"/>
      <charset val="1"/>
    </font>
    <font>
      <b/>
      <sz val="9"/>
      <color indexed="8"/>
      <name val="Arial"/>
      <family val="2"/>
    </font>
    <font>
      <sz val="9"/>
      <color indexed="10"/>
      <name val="Arial"/>
      <family val="2"/>
      <charset val="1"/>
    </font>
    <font>
      <b/>
      <sz val="9"/>
      <color indexed="10"/>
      <name val="Arial"/>
      <family val="2"/>
      <charset val="1"/>
    </font>
    <font>
      <b/>
      <sz val="9"/>
      <name val="Arial"/>
      <family val="2"/>
    </font>
    <font>
      <b/>
      <sz val="15"/>
      <color indexed="62"/>
      <name val="Calibri"/>
      <family val="2"/>
      <charset val="1"/>
    </font>
    <font>
      <sz val="18"/>
      <color indexed="62"/>
      <name val="Calibri Light"/>
      <family val="2"/>
      <charset val="1"/>
    </font>
    <font>
      <sz val="9"/>
      <color indexed="8"/>
      <name val="Tahoma"/>
      <family val="2"/>
      <charset val="1"/>
    </font>
    <font>
      <i/>
      <sz val="11"/>
      <color indexed="8"/>
      <name val="Calibri"/>
      <family val="2"/>
      <charset val="1"/>
    </font>
    <font>
      <b/>
      <sz val="11"/>
      <color indexed="8"/>
      <name val="Calibri"/>
      <family val="2"/>
      <charset val="1"/>
    </font>
    <font>
      <sz val="11"/>
      <color indexed="10"/>
      <name val="Calibri"/>
      <family val="2"/>
      <charset val="1"/>
    </font>
    <font>
      <sz val="11"/>
      <color indexed="17"/>
      <name val="Calibri"/>
      <family val="2"/>
      <charset val="1"/>
    </font>
    <font>
      <i/>
      <sz val="11"/>
      <color indexed="10"/>
      <name val="Calibri"/>
      <family val="2"/>
      <charset val="1"/>
    </font>
    <font>
      <sz val="11"/>
      <name val="Calibri"/>
      <family val="2"/>
      <charset val="1"/>
    </font>
    <font>
      <i/>
      <sz val="11"/>
      <name val="Calibri"/>
      <family val="2"/>
      <charset val="1"/>
    </font>
    <font>
      <b/>
      <sz val="11"/>
      <name val="Calibri"/>
      <family val="2"/>
      <charset val="1"/>
    </font>
    <font>
      <b/>
      <sz val="9"/>
      <color indexed="8"/>
      <name val="Tahoma"/>
      <family val="2"/>
      <charset val="1"/>
    </font>
    <font>
      <sz val="11"/>
      <color indexed="8"/>
      <name val="Calibri"/>
      <family val="2"/>
      <charset val="1"/>
    </font>
    <font>
      <b/>
      <sz val="9"/>
      <color indexed="8"/>
      <name val="Tahoma"/>
      <family val="2"/>
    </font>
    <font>
      <b/>
      <sz val="9"/>
      <color rgb="FFFF0000"/>
      <name val="Arial"/>
      <family val="2"/>
    </font>
    <font>
      <sz val="11"/>
      <color indexed="8"/>
      <name val="Arial"/>
      <family val="2"/>
      <charset val="1"/>
    </font>
    <font>
      <sz val="9"/>
      <name val="Arial"/>
      <family val="2"/>
    </font>
  </fonts>
  <fills count="19">
    <fill>
      <patternFill patternType="none"/>
    </fill>
    <fill>
      <patternFill patternType="gray125"/>
    </fill>
    <fill>
      <patternFill patternType="solid">
        <fgColor indexed="41"/>
        <bgColor indexed="27"/>
      </patternFill>
    </fill>
    <fill>
      <patternFill patternType="solid">
        <fgColor indexed="42"/>
        <bgColor indexed="27"/>
      </patternFill>
    </fill>
    <fill>
      <patternFill patternType="solid">
        <fgColor indexed="9"/>
        <bgColor indexed="26"/>
      </patternFill>
    </fill>
    <fill>
      <patternFill patternType="solid">
        <fgColor indexed="8"/>
        <bgColor indexed="58"/>
      </patternFill>
    </fill>
    <fill>
      <patternFill patternType="solid">
        <fgColor indexed="48"/>
        <bgColor indexed="49"/>
      </patternFill>
    </fill>
    <fill>
      <patternFill patternType="solid">
        <fgColor indexed="26"/>
        <bgColor indexed="27"/>
      </patternFill>
    </fill>
    <fill>
      <patternFill patternType="solid">
        <fgColor indexed="13"/>
        <bgColor indexed="34"/>
      </patternFill>
    </fill>
    <fill>
      <patternFill patternType="solid">
        <fgColor indexed="22"/>
        <bgColor indexed="24"/>
      </patternFill>
    </fill>
    <fill>
      <patternFill patternType="solid">
        <fgColor indexed="27"/>
        <bgColor indexed="41"/>
      </patternFill>
    </fill>
    <fill>
      <patternFill patternType="solid">
        <fgColor indexed="51"/>
        <bgColor indexed="52"/>
      </patternFill>
    </fill>
    <fill>
      <patternFill patternType="solid">
        <fgColor indexed="23"/>
        <bgColor indexed="54"/>
      </patternFill>
    </fill>
    <fill>
      <patternFill patternType="solid">
        <fgColor indexed="54"/>
        <bgColor indexed="23"/>
      </patternFill>
    </fill>
    <fill>
      <patternFill patternType="solid">
        <fgColor indexed="19"/>
        <bgColor indexed="54"/>
      </patternFill>
    </fill>
    <fill>
      <patternFill patternType="solid">
        <fgColor theme="7"/>
        <bgColor indexed="64"/>
      </patternFill>
    </fill>
    <fill>
      <patternFill patternType="solid">
        <fgColor theme="9"/>
        <bgColor indexed="27"/>
      </patternFill>
    </fill>
    <fill>
      <patternFill patternType="solid">
        <fgColor theme="7"/>
        <bgColor indexed="27"/>
      </patternFill>
    </fill>
    <fill>
      <patternFill patternType="solid">
        <fgColor rgb="FFFF0000"/>
        <bgColor indexed="27"/>
      </patternFill>
    </fill>
  </fills>
  <borders count="45">
    <border>
      <left/>
      <right/>
      <top/>
      <bottom/>
      <diagonal/>
    </border>
    <border>
      <left/>
      <right/>
      <top/>
      <bottom style="thick">
        <color indexed="48"/>
      </bottom>
      <diagonal/>
    </border>
    <border>
      <left style="medium">
        <color indexed="8"/>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medium">
        <color indexed="8"/>
      </top>
      <bottom style="thin">
        <color indexed="8"/>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top style="thin">
        <color indexed="8"/>
      </top>
      <bottom style="thin">
        <color indexed="8"/>
      </bottom>
      <diagonal/>
    </border>
    <border>
      <left style="medium">
        <color indexed="8"/>
      </left>
      <right style="medium">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medium">
        <color indexed="8"/>
      </left>
      <right style="medium">
        <color indexed="8"/>
      </right>
      <top/>
      <bottom style="thin">
        <color indexed="8"/>
      </bottom>
      <diagonal/>
    </border>
    <border>
      <left style="medium">
        <color indexed="8"/>
      </left>
      <right style="medium">
        <color indexed="8"/>
      </right>
      <top style="medium">
        <color indexed="8"/>
      </top>
      <bottom style="thin">
        <color indexed="8"/>
      </bottom>
      <diagonal/>
    </border>
    <border>
      <left/>
      <right style="thin">
        <color indexed="8"/>
      </right>
      <top/>
      <bottom style="thin">
        <color indexed="8"/>
      </bottom>
      <diagonal/>
    </border>
    <border>
      <left style="medium">
        <color indexed="8"/>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medium">
        <color indexed="8"/>
      </right>
      <top/>
      <bottom/>
      <diagonal/>
    </border>
    <border>
      <left/>
      <right style="thin">
        <color indexed="8"/>
      </right>
      <top style="thin">
        <color indexed="8"/>
      </top>
      <bottom/>
      <diagonal/>
    </border>
  </borders>
  <cellStyleXfs count="9">
    <xf numFmtId="0" fontId="0" fillId="0" borderId="0"/>
    <xf numFmtId="168" fontId="27" fillId="0" borderId="0" applyFill="0" applyBorder="0" applyProtection="0"/>
    <xf numFmtId="9" fontId="27" fillId="0" borderId="0" applyFill="0" applyBorder="0" applyProtection="0"/>
    <xf numFmtId="164" fontId="27" fillId="0" borderId="0" applyFill="0" applyBorder="0" applyProtection="0"/>
    <xf numFmtId="0" fontId="1" fillId="0" borderId="0"/>
    <xf numFmtId="0" fontId="2" fillId="2" borderId="0" applyNumberFormat="0" applyBorder="0" applyProtection="0"/>
    <xf numFmtId="0" fontId="15" fillId="0" borderId="1" applyNumberFormat="0" applyFill="0" applyProtection="0"/>
    <xf numFmtId="0" fontId="16" fillId="0" borderId="0" applyNumberFormat="0" applyFill="0" applyBorder="0" applyProtection="0"/>
    <xf numFmtId="0" fontId="21" fillId="3" borderId="0" applyNumberFormat="0" applyBorder="0" applyProtection="0"/>
  </cellStyleXfs>
  <cellXfs count="265">
    <xf numFmtId="0" fontId="0" fillId="0" borderId="0" xfId="0"/>
    <xf numFmtId="0" fontId="0" fillId="4" borderId="0" xfId="0" applyFont="1" applyFill="1" applyAlignment="1"/>
    <xf numFmtId="0" fontId="3" fillId="4" borderId="0" xfId="0" applyFont="1" applyFill="1" applyAlignment="1">
      <alignment horizontal="center" vertical="center"/>
    </xf>
    <xf numFmtId="0" fontId="3" fillId="4" borderId="3" xfId="0" applyFont="1" applyFill="1" applyBorder="1" applyAlignment="1">
      <alignment vertical="center"/>
    </xf>
    <xf numFmtId="0" fontId="3" fillId="4" borderId="0" xfId="0" applyFont="1" applyFill="1" applyBorder="1" applyAlignment="1">
      <alignment vertical="center"/>
    </xf>
    <xf numFmtId="0" fontId="3" fillId="4" borderId="4" xfId="0" applyFont="1" applyFill="1" applyBorder="1" applyAlignment="1">
      <alignment vertical="center"/>
    </xf>
    <xf numFmtId="0" fontId="7" fillId="4" borderId="0" xfId="0" applyFont="1" applyFill="1" applyBorder="1" applyAlignment="1">
      <alignment horizontal="center" vertical="center"/>
    </xf>
    <xf numFmtId="0" fontId="7" fillId="6" borderId="5" xfId="0" applyFont="1" applyFill="1" applyBorder="1" applyAlignment="1">
      <alignment horizontal="center" vertical="center"/>
    </xf>
    <xf numFmtId="0" fontId="3" fillId="4" borderId="0" xfId="0" applyFont="1" applyFill="1" applyBorder="1" applyAlignment="1">
      <alignment horizontal="center" vertical="center"/>
    </xf>
    <xf numFmtId="0" fontId="3" fillId="7" borderId="5" xfId="0" applyFont="1" applyFill="1" applyBorder="1" applyAlignment="1">
      <alignment vertical="center"/>
    </xf>
    <xf numFmtId="0" fontId="3" fillId="4" borderId="7" xfId="0" applyFont="1" applyFill="1" applyBorder="1" applyAlignment="1">
      <alignment vertical="center"/>
    </xf>
    <xf numFmtId="0" fontId="3" fillId="4" borderId="8" xfId="0" applyFont="1" applyFill="1" applyBorder="1" applyAlignment="1">
      <alignment vertical="center"/>
    </xf>
    <xf numFmtId="0" fontId="3" fillId="4" borderId="9" xfId="0" applyFont="1" applyFill="1" applyBorder="1" applyAlignment="1">
      <alignment vertical="center"/>
    </xf>
    <xf numFmtId="0" fontId="3" fillId="4" borderId="5" xfId="0" applyFont="1" applyFill="1" applyBorder="1" applyAlignment="1">
      <alignment vertical="center"/>
    </xf>
    <xf numFmtId="0" fontId="3" fillId="4" borderId="10" xfId="0" applyFont="1" applyFill="1" applyBorder="1" applyAlignment="1">
      <alignment vertical="center"/>
    </xf>
    <xf numFmtId="0" fontId="3" fillId="4" borderId="11" xfId="0" applyFont="1" applyFill="1" applyBorder="1" applyAlignment="1">
      <alignment vertical="center"/>
    </xf>
    <xf numFmtId="0" fontId="3" fillId="4" borderId="12" xfId="0" applyFont="1" applyFill="1" applyBorder="1" applyAlignment="1">
      <alignment vertical="center"/>
    </xf>
    <xf numFmtId="3" fontId="3" fillId="4" borderId="0" xfId="0" applyNumberFormat="1" applyFont="1" applyFill="1" applyAlignment="1">
      <alignment vertical="center"/>
    </xf>
    <xf numFmtId="165" fontId="3" fillId="4" borderId="0" xfId="0" applyNumberFormat="1" applyFont="1" applyFill="1" applyAlignment="1">
      <alignment vertical="center"/>
    </xf>
    <xf numFmtId="0" fontId="3" fillId="4" borderId="0" xfId="0" applyFont="1" applyFill="1" applyAlignment="1">
      <alignment vertical="center"/>
    </xf>
    <xf numFmtId="0" fontId="6" fillId="9" borderId="14" xfId="0" applyFont="1" applyFill="1" applyBorder="1" applyAlignment="1">
      <alignment horizontal="center" vertical="center"/>
    </xf>
    <xf numFmtId="0" fontId="6" fillId="9" borderId="15" xfId="0" applyFont="1" applyFill="1" applyBorder="1" applyAlignment="1">
      <alignment horizontal="center" vertical="center"/>
    </xf>
    <xf numFmtId="3" fontId="3" fillId="7" borderId="18" xfId="0" applyNumberFormat="1" applyFont="1" applyFill="1" applyBorder="1" applyAlignment="1">
      <alignment horizontal="center" vertical="center"/>
    </xf>
    <xf numFmtId="3" fontId="3" fillId="4" borderId="18" xfId="0" applyNumberFormat="1" applyFont="1" applyFill="1" applyBorder="1" applyAlignment="1">
      <alignment horizontal="center" vertical="center"/>
    </xf>
    <xf numFmtId="9" fontId="9" fillId="4" borderId="0" xfId="2" applyFont="1" applyFill="1" applyBorder="1" applyAlignment="1" applyProtection="1">
      <alignment horizontal="left" vertical="center"/>
    </xf>
    <xf numFmtId="3" fontId="3" fillId="7" borderId="5" xfId="0" applyNumberFormat="1" applyFont="1" applyFill="1" applyBorder="1" applyAlignment="1">
      <alignment horizontal="center" vertical="center"/>
    </xf>
    <xf numFmtId="3" fontId="3" fillId="4" borderId="5" xfId="0" applyNumberFormat="1" applyFont="1" applyFill="1" applyBorder="1" applyAlignment="1">
      <alignment horizontal="center" vertical="center"/>
    </xf>
    <xf numFmtId="9" fontId="3" fillId="7" borderId="23" xfId="0" applyNumberFormat="1" applyFont="1" applyFill="1" applyBorder="1" applyAlignment="1">
      <alignment horizontal="center" vertical="center"/>
    </xf>
    <xf numFmtId="9" fontId="3" fillId="4" borderId="23" xfId="0" applyNumberFormat="1" applyFont="1" applyFill="1" applyBorder="1" applyAlignment="1">
      <alignment horizontal="center" vertical="center"/>
    </xf>
    <xf numFmtId="0" fontId="3" fillId="4" borderId="2" xfId="0" applyFont="1" applyFill="1" applyBorder="1" applyAlignment="1">
      <alignment horizontal="left" vertical="center"/>
    </xf>
    <xf numFmtId="3" fontId="3" fillId="4" borderId="25" xfId="0" applyNumberFormat="1" applyFont="1" applyFill="1" applyBorder="1" applyAlignment="1">
      <alignment horizontal="center" vertical="center"/>
    </xf>
    <xf numFmtId="10" fontId="8" fillId="4" borderId="5" xfId="2" applyNumberFormat="1" applyFont="1" applyFill="1" applyBorder="1" applyAlignment="1" applyProtection="1">
      <alignment horizontal="center" vertical="center"/>
    </xf>
    <xf numFmtId="2" fontId="3" fillId="4" borderId="5" xfId="0" applyNumberFormat="1" applyFont="1" applyFill="1" applyBorder="1" applyAlignment="1">
      <alignment horizontal="center" vertical="center"/>
    </xf>
    <xf numFmtId="9" fontId="3" fillId="7" borderId="5" xfId="2" applyFont="1" applyFill="1" applyBorder="1" applyAlignment="1" applyProtection="1">
      <alignment horizontal="center" vertical="center"/>
    </xf>
    <xf numFmtId="9" fontId="3" fillId="4" borderId="5" xfId="2" applyFont="1" applyFill="1" applyBorder="1" applyAlignment="1" applyProtection="1">
      <alignment horizontal="center" vertical="center"/>
    </xf>
    <xf numFmtId="3" fontId="8" fillId="7" borderId="5" xfId="0" applyNumberFormat="1" applyFont="1" applyFill="1" applyBorder="1" applyAlignment="1">
      <alignment horizontal="center" vertical="center"/>
    </xf>
    <xf numFmtId="3" fontId="8" fillId="4" borderId="5" xfId="0" applyNumberFormat="1" applyFont="1" applyFill="1" applyBorder="1" applyAlignment="1">
      <alignment horizontal="center" vertical="center"/>
    </xf>
    <xf numFmtId="4" fontId="8" fillId="7" borderId="26" xfId="0" applyNumberFormat="1" applyFont="1" applyFill="1" applyBorder="1" applyAlignment="1">
      <alignment horizontal="center" vertical="center"/>
    </xf>
    <xf numFmtId="165" fontId="8" fillId="4" borderId="26" xfId="0" applyNumberFormat="1" applyFont="1" applyFill="1" applyBorder="1" applyAlignment="1">
      <alignment horizontal="center" vertical="center"/>
    </xf>
    <xf numFmtId="3" fontId="8" fillId="4" borderId="27" xfId="0" applyNumberFormat="1" applyFont="1" applyFill="1" applyBorder="1" applyAlignment="1">
      <alignment horizontal="center" vertical="center"/>
    </xf>
    <xf numFmtId="3" fontId="8" fillId="7" borderId="25" xfId="0" applyNumberFormat="1" applyFont="1" applyFill="1" applyBorder="1" applyAlignment="1">
      <alignment horizontal="center" vertical="center"/>
    </xf>
    <xf numFmtId="3" fontId="8" fillId="4" borderId="25" xfId="0" applyNumberFormat="1" applyFont="1" applyFill="1" applyBorder="1" applyAlignment="1">
      <alignment horizontal="center" vertical="center"/>
    </xf>
    <xf numFmtId="9" fontId="8" fillId="4" borderId="5" xfId="2" applyFont="1" applyFill="1" applyBorder="1" applyAlignment="1" applyProtection="1">
      <alignment horizontal="center" vertical="center"/>
    </xf>
    <xf numFmtId="3" fontId="3" fillId="7" borderId="23" xfId="0" applyNumberFormat="1" applyFont="1" applyFill="1" applyBorder="1" applyAlignment="1">
      <alignment horizontal="center" vertical="center"/>
    </xf>
    <xf numFmtId="3" fontId="3" fillId="4" borderId="23" xfId="0" applyNumberFormat="1" applyFont="1" applyFill="1" applyBorder="1" applyAlignment="1">
      <alignment horizontal="center" vertical="center"/>
    </xf>
    <xf numFmtId="4" fontId="3" fillId="7" borderId="25" xfId="2" applyNumberFormat="1" applyFont="1" applyFill="1" applyBorder="1" applyAlignment="1" applyProtection="1">
      <alignment horizontal="center" vertical="center"/>
    </xf>
    <xf numFmtId="4" fontId="3" fillId="4" borderId="25" xfId="2" applyNumberFormat="1" applyFont="1" applyFill="1" applyBorder="1" applyAlignment="1" applyProtection="1">
      <alignment horizontal="center" vertical="center"/>
    </xf>
    <xf numFmtId="2" fontId="3" fillId="7" borderId="5" xfId="0" applyNumberFormat="1" applyFont="1" applyFill="1" applyBorder="1" applyAlignment="1">
      <alignment horizontal="center" vertical="center"/>
    </xf>
    <xf numFmtId="0" fontId="12" fillId="4" borderId="0" xfId="2" applyNumberFormat="1" applyFont="1" applyFill="1" applyBorder="1" applyAlignment="1" applyProtection="1">
      <alignment horizontal="left" vertical="center"/>
    </xf>
    <xf numFmtId="9" fontId="8" fillId="4" borderId="0" xfId="2" applyFont="1" applyFill="1" applyBorder="1" applyAlignment="1" applyProtection="1">
      <alignment horizontal="left" vertical="center"/>
    </xf>
    <xf numFmtId="2" fontId="8" fillId="7" borderId="5" xfId="0" applyNumberFormat="1" applyFont="1" applyFill="1" applyBorder="1" applyAlignment="1">
      <alignment horizontal="center" vertical="center"/>
    </xf>
    <xf numFmtId="2" fontId="8" fillId="4" borderId="5" xfId="0" applyNumberFormat="1" applyFont="1" applyFill="1" applyBorder="1" applyAlignment="1">
      <alignment horizontal="center" vertical="center"/>
    </xf>
    <xf numFmtId="0" fontId="3" fillId="4" borderId="30" xfId="0" applyFont="1" applyFill="1" applyBorder="1" applyAlignment="1">
      <alignment vertical="center"/>
    </xf>
    <xf numFmtId="3" fontId="8" fillId="4" borderId="5" xfId="0" applyNumberFormat="1" applyFont="1" applyFill="1" applyBorder="1" applyAlignment="1">
      <alignment vertical="center"/>
    </xf>
    <xf numFmtId="4" fontId="8" fillId="4" borderId="5" xfId="0" applyNumberFormat="1" applyFont="1" applyFill="1" applyBorder="1" applyAlignment="1">
      <alignment vertical="center"/>
    </xf>
    <xf numFmtId="3" fontId="12" fillId="4" borderId="5" xfId="0" applyNumberFormat="1" applyFont="1" applyFill="1" applyBorder="1" applyAlignment="1">
      <alignment vertical="center"/>
    </xf>
    <xf numFmtId="1" fontId="3" fillId="4" borderId="21" xfId="0" applyNumberFormat="1" applyFont="1" applyFill="1" applyBorder="1" applyAlignment="1">
      <alignment horizontal="center" vertical="center"/>
    </xf>
    <xf numFmtId="0" fontId="3" fillId="4" borderId="20" xfId="0" applyFont="1" applyFill="1" applyBorder="1" applyAlignment="1">
      <alignment vertical="center"/>
    </xf>
    <xf numFmtId="2" fontId="8" fillId="4" borderId="26" xfId="0" applyNumberFormat="1" applyFont="1" applyFill="1" applyBorder="1" applyAlignment="1">
      <alignment horizontal="center" vertical="center"/>
    </xf>
    <xf numFmtId="9" fontId="12" fillId="4" borderId="0" xfId="2" applyFont="1" applyFill="1" applyBorder="1" applyAlignment="1" applyProtection="1">
      <alignment horizontal="left" vertical="center"/>
    </xf>
    <xf numFmtId="9" fontId="8" fillId="7" borderId="15" xfId="0" applyNumberFormat="1" applyFont="1" applyFill="1" applyBorder="1" applyAlignment="1">
      <alignment horizontal="center" vertical="center"/>
    </xf>
    <xf numFmtId="9" fontId="8" fillId="4" borderId="15" xfId="0" applyNumberFormat="1" applyFont="1" applyFill="1" applyBorder="1" applyAlignment="1">
      <alignment horizontal="center" vertical="center"/>
    </xf>
    <xf numFmtId="0" fontId="3" fillId="10" borderId="22" xfId="0" applyFont="1" applyFill="1" applyBorder="1" applyAlignment="1">
      <alignment vertical="center"/>
    </xf>
    <xf numFmtId="3" fontId="8" fillId="10" borderId="23" xfId="0" applyNumberFormat="1" applyFont="1" applyFill="1" applyBorder="1" applyAlignment="1">
      <alignment vertical="center"/>
    </xf>
    <xf numFmtId="4" fontId="8" fillId="10" borderId="23" xfId="0" applyNumberFormat="1" applyFont="1" applyFill="1" applyBorder="1" applyAlignment="1">
      <alignment vertical="center"/>
    </xf>
    <xf numFmtId="9" fontId="8" fillId="10" borderId="23" xfId="2" applyFont="1" applyFill="1" applyBorder="1" applyAlignment="1" applyProtection="1">
      <alignment horizontal="center" vertical="center"/>
    </xf>
    <xf numFmtId="3" fontId="12" fillId="10" borderId="23" xfId="0" applyNumberFormat="1" applyFont="1" applyFill="1" applyBorder="1" applyAlignment="1">
      <alignment vertical="center"/>
    </xf>
    <xf numFmtId="1" fontId="3" fillId="10" borderId="24" xfId="0" applyNumberFormat="1" applyFont="1" applyFill="1" applyBorder="1" applyAlignment="1">
      <alignment horizontal="center" vertical="center"/>
    </xf>
    <xf numFmtId="0" fontId="8" fillId="4" borderId="31" xfId="0" applyFont="1" applyFill="1" applyBorder="1" applyAlignment="1">
      <alignment horizontal="left" vertical="center" wrapText="1"/>
    </xf>
    <xf numFmtId="166" fontId="8" fillId="7" borderId="32" xfId="0" applyNumberFormat="1" applyFont="1" applyFill="1" applyBorder="1" applyAlignment="1">
      <alignment horizontal="center" vertical="center"/>
    </xf>
    <xf numFmtId="166" fontId="8" fillId="4" borderId="32" xfId="0" applyNumberFormat="1" applyFont="1" applyFill="1" applyBorder="1" applyAlignment="1">
      <alignment horizontal="center" vertical="center"/>
    </xf>
    <xf numFmtId="0" fontId="6" fillId="4" borderId="10" xfId="0" applyFont="1" applyFill="1" applyBorder="1" applyAlignment="1">
      <alignment vertical="center"/>
    </xf>
    <xf numFmtId="3" fontId="6" fillId="4" borderId="11" xfId="0" applyNumberFormat="1" applyFont="1" applyFill="1" applyBorder="1" applyAlignment="1">
      <alignment vertical="center"/>
    </xf>
    <xf numFmtId="4" fontId="6" fillId="4" borderId="11" xfId="0" applyNumberFormat="1" applyFont="1" applyFill="1" applyBorder="1" applyAlignment="1">
      <alignment vertical="center"/>
    </xf>
    <xf numFmtId="3" fontId="13" fillId="4" borderId="11" xfId="0" applyNumberFormat="1" applyFont="1" applyFill="1" applyBorder="1" applyAlignment="1">
      <alignment vertical="center"/>
    </xf>
    <xf numFmtId="1" fontId="3" fillId="4" borderId="33" xfId="0" applyNumberFormat="1" applyFont="1" applyFill="1" applyBorder="1" applyAlignment="1">
      <alignment horizontal="center" vertical="center"/>
    </xf>
    <xf numFmtId="10" fontId="0" fillId="0" borderId="0" xfId="0" applyNumberFormat="1"/>
    <xf numFmtId="0" fontId="6" fillId="4" borderId="0" xfId="0" applyFont="1" applyFill="1" applyBorder="1" applyAlignment="1">
      <alignment horizontal="center" vertical="center"/>
    </xf>
    <xf numFmtId="0" fontId="7" fillId="12" borderId="25" xfId="0" applyFont="1" applyFill="1" applyBorder="1" applyAlignment="1">
      <alignment horizontal="center" vertical="center" wrapText="1"/>
    </xf>
    <xf numFmtId="0" fontId="7" fillId="12" borderId="29"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12" borderId="36" xfId="0" applyFont="1" applyFill="1" applyBorder="1" applyAlignment="1">
      <alignment horizontal="center" vertical="center" wrapText="1"/>
    </xf>
    <xf numFmtId="3" fontId="3" fillId="4" borderId="21" xfId="0" applyNumberFormat="1" applyFont="1" applyFill="1" applyBorder="1" applyAlignment="1">
      <alignment horizontal="center" vertical="center"/>
    </xf>
    <xf numFmtId="3" fontId="3" fillId="4" borderId="37" xfId="0" applyNumberFormat="1" applyFont="1" applyFill="1" applyBorder="1" applyAlignment="1">
      <alignment horizontal="center" vertical="center"/>
    </xf>
    <xf numFmtId="167" fontId="3" fillId="7" borderId="5" xfId="0" applyNumberFormat="1" applyFont="1" applyFill="1" applyBorder="1" applyAlignment="1">
      <alignment horizontal="center" vertical="center"/>
    </xf>
    <xf numFmtId="3" fontId="3" fillId="13" borderId="38" xfId="0" applyNumberFormat="1" applyFont="1" applyFill="1" applyBorder="1" applyAlignment="1">
      <alignment horizontal="center" vertical="center"/>
    </xf>
    <xf numFmtId="3" fontId="3" fillId="4" borderId="0" xfId="0" applyNumberFormat="1" applyFont="1" applyFill="1" applyBorder="1" applyAlignment="1">
      <alignment horizontal="center" vertical="center"/>
    </xf>
    <xf numFmtId="0" fontId="3" fillId="7" borderId="39" xfId="0" applyFont="1" applyFill="1" applyBorder="1" applyAlignment="1">
      <alignment horizontal="center" vertical="center"/>
    </xf>
    <xf numFmtId="168" fontId="3" fillId="4" borderId="0" xfId="1" applyFont="1" applyFill="1" applyBorder="1" applyAlignment="1" applyProtection="1">
      <alignment vertical="center"/>
    </xf>
    <xf numFmtId="0" fontId="3" fillId="14" borderId="5" xfId="0" applyFont="1" applyFill="1" applyBorder="1" applyAlignment="1">
      <alignment horizontal="center" vertical="center"/>
    </xf>
    <xf numFmtId="3" fontId="3" fillId="13" borderId="5" xfId="0" applyNumberFormat="1" applyFont="1" applyFill="1" applyBorder="1" applyAlignment="1">
      <alignment horizontal="center" vertical="center"/>
    </xf>
    <xf numFmtId="3" fontId="3" fillId="13" borderId="21" xfId="0" applyNumberFormat="1" applyFont="1" applyFill="1" applyBorder="1" applyAlignment="1">
      <alignment horizontal="center" vertical="center"/>
    </xf>
    <xf numFmtId="167" fontId="3" fillId="14" borderId="5" xfId="0" applyNumberFormat="1" applyFont="1" applyFill="1" applyBorder="1" applyAlignment="1">
      <alignment horizontal="center" vertical="center"/>
    </xf>
    <xf numFmtId="3" fontId="8" fillId="4" borderId="38" xfId="0" applyNumberFormat="1" applyFont="1" applyFill="1" applyBorder="1" applyAlignment="1">
      <alignment horizontal="center" vertical="center"/>
    </xf>
    <xf numFmtId="3" fontId="3" fillId="14" borderId="5" xfId="0" applyNumberFormat="1" applyFont="1" applyFill="1" applyBorder="1" applyAlignment="1">
      <alignment horizontal="center" vertical="center"/>
    </xf>
    <xf numFmtId="3" fontId="8" fillId="7" borderId="23" xfId="0" applyNumberFormat="1" applyFont="1" applyFill="1" applyBorder="1" applyAlignment="1">
      <alignment horizontal="center" vertical="center"/>
    </xf>
    <xf numFmtId="9" fontId="8" fillId="7" borderId="23" xfId="2" applyFont="1" applyFill="1" applyBorder="1" applyAlignment="1" applyProtection="1">
      <alignment horizontal="center" vertical="center"/>
    </xf>
    <xf numFmtId="3" fontId="3" fillId="4" borderId="24" xfId="0" applyNumberFormat="1" applyFont="1" applyFill="1" applyBorder="1" applyAlignment="1">
      <alignment horizontal="center" vertical="center"/>
    </xf>
    <xf numFmtId="3" fontId="3" fillId="4" borderId="40" xfId="0" applyNumberFormat="1" applyFont="1" applyFill="1" applyBorder="1" applyAlignment="1">
      <alignment horizontal="center" vertical="center"/>
    </xf>
    <xf numFmtId="3" fontId="3" fillId="14" borderId="23" xfId="0" applyNumberFormat="1" applyFont="1" applyFill="1" applyBorder="1" applyAlignment="1">
      <alignment horizontal="center" vertical="center"/>
    </xf>
    <xf numFmtId="3" fontId="3" fillId="7" borderId="24" xfId="0" applyNumberFormat="1" applyFont="1" applyFill="1" applyBorder="1" applyAlignment="1">
      <alignment horizontal="center" vertical="center"/>
    </xf>
    <xf numFmtId="3" fontId="3" fillId="13" borderId="41" xfId="0" applyNumberFormat="1" applyFont="1" applyFill="1" applyBorder="1" applyAlignment="1">
      <alignment horizontal="center" vertical="center"/>
    </xf>
    <xf numFmtId="10" fontId="3" fillId="4" borderId="23" xfId="2" applyNumberFormat="1" applyFont="1" applyFill="1" applyBorder="1" applyAlignment="1" applyProtection="1">
      <alignment horizontal="center" vertical="center"/>
    </xf>
    <xf numFmtId="3" fontId="3" fillId="4" borderId="24" xfId="0" applyNumberFormat="1" applyFont="1" applyFill="1" applyBorder="1" applyAlignment="1">
      <alignment horizontal="center" vertical="center" wrapText="1"/>
    </xf>
    <xf numFmtId="0" fontId="3" fillId="7" borderId="42" xfId="0" applyFont="1" applyFill="1" applyBorder="1" applyAlignment="1">
      <alignment horizontal="center" vertical="center"/>
    </xf>
    <xf numFmtId="0" fontId="8" fillId="4" borderId="0" xfId="0" applyFont="1" applyFill="1" applyBorder="1" applyAlignment="1">
      <alignment vertical="center"/>
    </xf>
    <xf numFmtId="0" fontId="8" fillId="4" borderId="0" xfId="0" applyFont="1" applyFill="1" applyBorder="1" applyAlignment="1">
      <alignment horizontal="center" vertical="center"/>
    </xf>
    <xf numFmtId="3" fontId="8" fillId="4" borderId="0" xfId="0" applyNumberFormat="1" applyFont="1" applyFill="1" applyBorder="1" applyAlignment="1">
      <alignment vertical="center"/>
    </xf>
    <xf numFmtId="0" fontId="8" fillId="4" borderId="0" xfId="0" applyFont="1" applyFill="1" applyAlignment="1">
      <alignment vertical="center"/>
    </xf>
    <xf numFmtId="9" fontId="8" fillId="4" borderId="0" xfId="0" applyNumberFormat="1" applyFont="1" applyFill="1" applyAlignment="1">
      <alignment horizontal="center" vertical="center"/>
    </xf>
    <xf numFmtId="3" fontId="8" fillId="4" borderId="0" xfId="0" applyNumberFormat="1" applyFont="1" applyFill="1" applyBorder="1" applyAlignment="1">
      <alignment horizontal="center" vertical="center"/>
    </xf>
    <xf numFmtId="2" fontId="10" fillId="4" borderId="0" xfId="0" applyNumberFormat="1" applyFont="1" applyFill="1" applyBorder="1" applyAlignment="1">
      <alignment vertical="center"/>
    </xf>
    <xf numFmtId="10" fontId="10" fillId="4" borderId="0" xfId="2" applyNumberFormat="1" applyFont="1" applyFill="1" applyBorder="1" applyAlignment="1" applyProtection="1">
      <alignment horizontal="center" vertical="center"/>
    </xf>
    <xf numFmtId="169" fontId="10" fillId="4" borderId="0" xfId="0" applyNumberFormat="1" applyFont="1" applyFill="1" applyBorder="1" applyAlignment="1">
      <alignment vertical="center"/>
    </xf>
    <xf numFmtId="0" fontId="7" fillId="4" borderId="0" xfId="6" applyNumberFormat="1" applyFont="1" applyFill="1" applyBorder="1" applyAlignment="1" applyProtection="1">
      <alignment vertical="center"/>
    </xf>
    <xf numFmtId="0" fontId="7" fillId="4" borderId="0" xfId="6" applyNumberFormat="1" applyFont="1" applyFill="1" applyBorder="1" applyAlignment="1" applyProtection="1">
      <alignment horizontal="center" vertical="center"/>
    </xf>
    <xf numFmtId="0" fontId="10" fillId="4" borderId="0" xfId="6" applyNumberFormat="1" applyFont="1" applyFill="1" applyBorder="1" applyAlignment="1" applyProtection="1">
      <alignment vertical="center"/>
    </xf>
    <xf numFmtId="9" fontId="8" fillId="4" borderId="0" xfId="2" applyFont="1" applyFill="1" applyBorder="1" applyAlignment="1" applyProtection="1">
      <alignment horizontal="center" vertical="center"/>
    </xf>
    <xf numFmtId="165" fontId="8" fillId="4" borderId="0" xfId="7" applyNumberFormat="1" applyFont="1" applyFill="1" applyBorder="1" applyAlignment="1" applyProtection="1">
      <alignment horizontal="right" vertical="center"/>
    </xf>
    <xf numFmtId="165" fontId="8" fillId="4" borderId="0" xfId="5" applyNumberFormat="1" applyFont="1" applyFill="1" applyBorder="1" applyAlignment="1" applyProtection="1">
      <alignment horizontal="right" vertical="center"/>
    </xf>
    <xf numFmtId="3" fontId="8" fillId="4" borderId="0" xfId="7" applyNumberFormat="1" applyFont="1" applyFill="1" applyBorder="1" applyAlignment="1" applyProtection="1">
      <alignment horizontal="right" vertical="center"/>
    </xf>
    <xf numFmtId="3" fontId="8" fillId="4" borderId="0" xfId="2" applyNumberFormat="1" applyFont="1" applyFill="1" applyBorder="1" applyAlignment="1" applyProtection="1">
      <alignment horizontal="right" vertical="center"/>
    </xf>
    <xf numFmtId="9" fontId="8" fillId="4" borderId="0" xfId="2" applyFont="1" applyFill="1" applyBorder="1" applyAlignment="1" applyProtection="1">
      <alignment horizontal="right" vertical="center"/>
    </xf>
    <xf numFmtId="0" fontId="3" fillId="4" borderId="0" xfId="0" applyFont="1" applyFill="1" applyBorder="1" applyAlignment="1">
      <alignment horizontal="right" vertical="center"/>
    </xf>
    <xf numFmtId="0" fontId="8" fillId="4" borderId="0" xfId="7" applyNumberFormat="1" applyFont="1" applyFill="1" applyBorder="1" applyAlignment="1" applyProtection="1">
      <alignment horizontal="right" vertical="center"/>
    </xf>
    <xf numFmtId="3" fontId="8" fillId="4" borderId="0" xfId="2" applyNumberFormat="1" applyFont="1" applyFill="1" applyBorder="1" applyAlignment="1" applyProtection="1">
      <alignment horizontal="center" vertical="center"/>
    </xf>
    <xf numFmtId="3" fontId="8" fillId="4" borderId="0" xfId="7" applyNumberFormat="1" applyFont="1" applyFill="1" applyBorder="1" applyAlignment="1" applyProtection="1">
      <alignment horizontal="center" vertical="center"/>
    </xf>
    <xf numFmtId="0" fontId="7" fillId="4" borderId="0" xfId="6" applyNumberFormat="1" applyFont="1" applyFill="1" applyBorder="1" applyAlignment="1" applyProtection="1">
      <alignment horizontal="left" vertical="center"/>
    </xf>
    <xf numFmtId="3" fontId="8" fillId="4" borderId="0" xfId="7" applyNumberFormat="1" applyFont="1" applyFill="1" applyBorder="1" applyAlignment="1" applyProtection="1">
      <alignment vertical="center"/>
    </xf>
    <xf numFmtId="9" fontId="8" fillId="4" borderId="0" xfId="2" applyFont="1" applyFill="1" applyBorder="1" applyAlignment="1" applyProtection="1">
      <alignment vertical="center"/>
    </xf>
    <xf numFmtId="0" fontId="0" fillId="4" borderId="0" xfId="0" applyFill="1"/>
    <xf numFmtId="0" fontId="0" fillId="4" borderId="0" xfId="0" applyFill="1" applyAlignment="1">
      <alignment horizontal="left"/>
    </xf>
    <xf numFmtId="0" fontId="18" fillId="4" borderId="0" xfId="0" applyFont="1" applyFill="1"/>
    <xf numFmtId="0" fontId="19" fillId="4" borderId="14" xfId="0" applyFont="1" applyFill="1" applyBorder="1" applyAlignment="1">
      <alignment horizontal="center" vertical="center"/>
    </xf>
    <xf numFmtId="0" fontId="19" fillId="4" borderId="15" xfId="0" applyFont="1" applyFill="1" applyBorder="1" applyAlignment="1">
      <alignment horizontal="center" vertical="center"/>
    </xf>
    <xf numFmtId="0" fontId="19" fillId="4" borderId="16" xfId="0" applyFont="1" applyFill="1" applyBorder="1" applyAlignment="1">
      <alignment horizontal="center" vertical="center"/>
    </xf>
    <xf numFmtId="0" fontId="0" fillId="4" borderId="13" xfId="0" applyFont="1" applyFill="1" applyBorder="1"/>
    <xf numFmtId="0" fontId="0" fillId="4" borderId="43"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26" xfId="0" applyFont="1" applyFill="1" applyBorder="1" applyAlignment="1">
      <alignment horizontal="center" vertical="center"/>
    </xf>
    <xf numFmtId="0" fontId="20" fillId="4" borderId="0" xfId="0" applyFont="1" applyFill="1" applyAlignment="1">
      <alignment horizontal="left" vertical="center"/>
    </xf>
    <xf numFmtId="0" fontId="0" fillId="4" borderId="34" xfId="0" applyFont="1" applyFill="1" applyBorder="1"/>
    <xf numFmtId="0" fontId="0" fillId="4" borderId="34"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43" xfId="0" applyFont="1" applyFill="1" applyBorder="1" applyAlignment="1">
      <alignment vertical="center"/>
    </xf>
    <xf numFmtId="167" fontId="21" fillId="4" borderId="43" xfId="8" applyNumberFormat="1" applyFill="1" applyBorder="1" applyAlignment="1" applyProtection="1">
      <alignment horizontal="center" vertical="center"/>
    </xf>
    <xf numFmtId="10" fontId="21" fillId="4" borderId="0" xfId="8" applyNumberFormat="1" applyFill="1" applyBorder="1" applyAlignment="1" applyProtection="1">
      <alignment horizontal="center" vertical="center"/>
    </xf>
    <xf numFmtId="0" fontId="18" fillId="4" borderId="0" xfId="0" applyFont="1" applyFill="1" applyAlignment="1">
      <alignment horizontal="left" vertical="center" wrapText="1"/>
    </xf>
    <xf numFmtId="0" fontId="0" fillId="4" borderId="43" xfId="0" applyFont="1" applyFill="1" applyBorder="1" applyAlignment="1">
      <alignment vertical="center" wrapText="1"/>
    </xf>
    <xf numFmtId="170" fontId="21" fillId="4" borderId="43" xfId="8" applyNumberFormat="1" applyFill="1" applyBorder="1" applyAlignment="1" applyProtection="1">
      <alignment horizontal="center" vertical="center"/>
    </xf>
    <xf numFmtId="170" fontId="21" fillId="4" borderId="0" xfId="8" applyNumberFormat="1" applyFill="1" applyBorder="1" applyAlignment="1" applyProtection="1">
      <alignment horizontal="center" vertical="center"/>
    </xf>
    <xf numFmtId="0" fontId="22" fillId="4" borderId="0" xfId="0" applyFont="1" applyFill="1" applyAlignment="1">
      <alignment horizontal="left" vertical="center" wrapText="1"/>
    </xf>
    <xf numFmtId="10" fontId="0" fillId="4" borderId="43" xfId="0" applyNumberFormat="1" applyFill="1" applyBorder="1" applyAlignment="1">
      <alignment horizontal="center" vertical="center"/>
    </xf>
    <xf numFmtId="10" fontId="0" fillId="4" borderId="0" xfId="0" applyNumberFormat="1" applyFill="1" applyAlignment="1">
      <alignment horizontal="center" vertical="center"/>
    </xf>
    <xf numFmtId="171" fontId="0" fillId="4" borderId="43" xfId="0" applyNumberFormat="1" applyFill="1" applyBorder="1" applyAlignment="1">
      <alignment horizontal="center" vertical="center"/>
    </xf>
    <xf numFmtId="0" fontId="0" fillId="4" borderId="0" xfId="0" applyFill="1" applyAlignment="1">
      <alignment horizontal="center" vertical="center"/>
    </xf>
    <xf numFmtId="170" fontId="20" fillId="4" borderId="0" xfId="0" applyNumberFormat="1" applyFont="1" applyFill="1" applyAlignment="1">
      <alignment horizontal="left" vertical="center"/>
    </xf>
    <xf numFmtId="1" fontId="0" fillId="4" borderId="43" xfId="0" applyNumberFormat="1" applyFill="1" applyBorder="1" applyAlignment="1">
      <alignment horizontal="center" vertical="center"/>
    </xf>
    <xf numFmtId="1" fontId="0" fillId="4" borderId="0" xfId="0" applyNumberFormat="1" applyFill="1" applyAlignment="1">
      <alignment horizontal="center" vertical="center"/>
    </xf>
    <xf numFmtId="172" fontId="0" fillId="4" borderId="0" xfId="0" applyNumberFormat="1" applyFill="1" applyAlignment="1">
      <alignment horizontal="center" vertical="center"/>
    </xf>
    <xf numFmtId="171" fontId="0" fillId="4" borderId="0" xfId="0" applyNumberFormat="1" applyFill="1" applyAlignment="1">
      <alignment horizontal="center" vertical="center"/>
    </xf>
    <xf numFmtId="173" fontId="0" fillId="4" borderId="43" xfId="2" applyNumberFormat="1" applyFont="1" applyFill="1" applyBorder="1" applyAlignment="1" applyProtection="1">
      <alignment horizontal="center" vertical="center"/>
    </xf>
    <xf numFmtId="173" fontId="0" fillId="4" borderId="0" xfId="2" applyNumberFormat="1" applyFont="1" applyFill="1" applyBorder="1" applyAlignment="1" applyProtection="1">
      <alignment horizontal="center" vertical="center"/>
    </xf>
    <xf numFmtId="0" fontId="20" fillId="4" borderId="0" xfId="0" applyFont="1" applyFill="1" applyAlignment="1">
      <alignment horizontal="left"/>
    </xf>
    <xf numFmtId="0" fontId="0" fillId="4" borderId="43" xfId="0" applyFill="1" applyBorder="1" applyAlignment="1">
      <alignment horizontal="center" vertical="center"/>
    </xf>
    <xf numFmtId="173" fontId="23" fillId="4" borderId="43" xfId="0" applyNumberFormat="1" applyFont="1" applyFill="1" applyBorder="1" applyAlignment="1">
      <alignment horizontal="center" vertical="center"/>
    </xf>
    <xf numFmtId="173" fontId="0" fillId="4" borderId="0" xfId="0" applyNumberFormat="1" applyFill="1" applyAlignment="1">
      <alignment horizontal="center" vertical="center"/>
    </xf>
    <xf numFmtId="173" fontId="20" fillId="4" borderId="0" xfId="0" applyNumberFormat="1" applyFont="1" applyFill="1" applyAlignment="1">
      <alignment horizontal="left" vertical="center"/>
    </xf>
    <xf numFmtId="173" fontId="21" fillId="4" borderId="43" xfId="8" applyNumberFormat="1" applyFill="1" applyBorder="1" applyAlignment="1" applyProtection="1">
      <alignment horizontal="center" vertical="center"/>
    </xf>
    <xf numFmtId="173" fontId="21" fillId="4" borderId="0" xfId="8" applyNumberFormat="1" applyFill="1" applyBorder="1" applyAlignment="1" applyProtection="1">
      <alignment horizontal="center" vertical="center"/>
    </xf>
    <xf numFmtId="2" fontId="0" fillId="4" borderId="0" xfId="0" applyNumberFormat="1" applyFill="1"/>
    <xf numFmtId="173" fontId="0" fillId="4" borderId="43" xfId="0" applyNumberFormat="1" applyFill="1" applyBorder="1" applyAlignment="1">
      <alignment horizontal="center" vertical="center"/>
    </xf>
    <xf numFmtId="0" fontId="23" fillId="4" borderId="43" xfId="0" applyFont="1" applyFill="1" applyBorder="1" applyAlignment="1">
      <alignment vertical="center" wrapText="1"/>
    </xf>
    <xf numFmtId="173" fontId="23" fillId="4" borderId="0" xfId="0" applyNumberFormat="1" applyFont="1" applyFill="1" applyAlignment="1">
      <alignment horizontal="center" vertical="center"/>
    </xf>
    <xf numFmtId="0" fontId="23" fillId="4" borderId="43" xfId="0" applyFont="1" applyFill="1" applyBorder="1" applyAlignment="1">
      <alignment vertical="center"/>
    </xf>
    <xf numFmtId="0" fontId="24" fillId="4" borderId="0" xfId="0" applyFont="1" applyFill="1" applyAlignment="1">
      <alignment wrapText="1"/>
    </xf>
    <xf numFmtId="0" fontId="25" fillId="4" borderId="0" xfId="0" applyFont="1" applyFill="1" applyAlignment="1">
      <alignment horizontal="center" vertical="center"/>
    </xf>
    <xf numFmtId="10" fontId="25" fillId="4" borderId="0" xfId="0" applyNumberFormat="1" applyFont="1" applyFill="1" applyAlignment="1">
      <alignment horizontal="center" vertical="center"/>
    </xf>
    <xf numFmtId="173" fontId="25" fillId="4" borderId="43" xfId="0" applyNumberFormat="1" applyFont="1" applyFill="1" applyBorder="1" applyAlignment="1">
      <alignment horizontal="center" vertical="center"/>
    </xf>
    <xf numFmtId="0" fontId="0" fillId="4" borderId="31" xfId="0" applyFont="1" applyFill="1" applyBorder="1" applyAlignment="1">
      <alignment vertical="center" wrapText="1"/>
    </xf>
    <xf numFmtId="173" fontId="23" fillId="4" borderId="31" xfId="0" applyNumberFormat="1" applyFont="1" applyFill="1" applyBorder="1" applyAlignment="1">
      <alignment horizontal="center" vertical="center"/>
    </xf>
    <xf numFmtId="0" fontId="18" fillId="4" borderId="0" xfId="0" applyFont="1" applyFill="1" applyAlignment="1">
      <alignment horizontal="left"/>
    </xf>
    <xf numFmtId="0" fontId="0" fillId="4" borderId="0" xfId="0" applyFont="1" applyFill="1" applyAlignment="1">
      <alignment horizontal="center"/>
    </xf>
    <xf numFmtId="9" fontId="8" fillId="4" borderId="0" xfId="0" applyNumberFormat="1" applyFont="1" applyFill="1" applyBorder="1" applyAlignment="1">
      <alignment horizontal="center" vertical="center"/>
    </xf>
    <xf numFmtId="0" fontId="30" fillId="16" borderId="5" xfId="0" applyFont="1" applyFill="1" applyBorder="1" applyAlignment="1">
      <alignment horizontal="center" vertical="center"/>
    </xf>
    <xf numFmtId="0" fontId="30" fillId="17" borderId="5" xfId="0" applyFont="1" applyFill="1" applyBorder="1" applyAlignment="1">
      <alignment horizontal="center" vertical="center"/>
    </xf>
    <xf numFmtId="0" fontId="30" fillId="18" borderId="5" xfId="0" applyFont="1" applyFill="1" applyBorder="1" applyAlignment="1">
      <alignment horizontal="center" vertical="center"/>
    </xf>
    <xf numFmtId="0" fontId="3" fillId="18" borderId="5" xfId="0" applyFont="1" applyFill="1" applyBorder="1" applyAlignment="1">
      <alignment horizontal="center" vertical="center"/>
    </xf>
    <xf numFmtId="0" fontId="0" fillId="0" borderId="0" xfId="0" applyAlignment="1">
      <alignment horizontal="left"/>
    </xf>
    <xf numFmtId="0" fontId="3" fillId="4" borderId="0" xfId="0" applyFont="1" applyFill="1" applyBorder="1" applyAlignment="1">
      <alignment horizontal="left" vertical="center"/>
    </xf>
    <xf numFmtId="3" fontId="6" fillId="4" borderId="11" xfId="0" applyNumberFormat="1" applyFont="1" applyFill="1" applyBorder="1" applyAlignment="1">
      <alignment horizontal="left" vertical="center"/>
    </xf>
    <xf numFmtId="0" fontId="7" fillId="12" borderId="28" xfId="0" applyFont="1" applyFill="1" applyBorder="1" applyAlignment="1">
      <alignment horizontal="left" vertical="center" wrapText="1"/>
    </xf>
    <xf numFmtId="0" fontId="3" fillId="7" borderId="20" xfId="0" applyFont="1" applyFill="1" applyBorder="1" applyAlignment="1">
      <alignment horizontal="left" vertical="center"/>
    </xf>
    <xf numFmtId="0" fontId="3" fillId="7" borderId="22" xfId="0" applyFont="1" applyFill="1" applyBorder="1" applyAlignment="1">
      <alignment horizontal="left" vertical="center"/>
    </xf>
    <xf numFmtId="3" fontId="8" fillId="4" borderId="0" xfId="0" applyNumberFormat="1" applyFont="1" applyFill="1" applyBorder="1" applyAlignment="1">
      <alignment horizontal="left" vertical="center"/>
    </xf>
    <xf numFmtId="2" fontId="10" fillId="4" borderId="0" xfId="0" applyNumberFormat="1" applyFont="1" applyFill="1" applyBorder="1" applyAlignment="1">
      <alignment horizontal="left" vertical="center"/>
    </xf>
    <xf numFmtId="0" fontId="0" fillId="4" borderId="0" xfId="0" applyFont="1" applyFill="1" applyAlignment="1">
      <alignment horizontal="left"/>
    </xf>
    <xf numFmtId="0" fontId="8" fillId="4" borderId="0" xfId="0" applyFont="1" applyFill="1" applyBorder="1" applyAlignment="1">
      <alignment horizontal="left" vertical="center"/>
    </xf>
    <xf numFmtId="0" fontId="3" fillId="7" borderId="38" xfId="0" applyFont="1" applyFill="1" applyBorder="1" applyAlignment="1">
      <alignment horizontal="left" vertical="center"/>
    </xf>
    <xf numFmtId="0" fontId="3" fillId="14" borderId="38" xfId="0" applyFont="1" applyFill="1" applyBorder="1" applyAlignment="1">
      <alignment horizontal="left" vertical="center"/>
    </xf>
    <xf numFmtId="0" fontId="6" fillId="8" borderId="0" xfId="0" applyFont="1" applyFill="1" applyBorder="1" applyAlignment="1">
      <alignment horizontal="center" vertical="center"/>
    </xf>
    <xf numFmtId="0" fontId="4" fillId="5" borderId="2" xfId="0" applyFont="1" applyFill="1" applyBorder="1" applyAlignment="1">
      <alignment horizontal="center" vertical="center"/>
    </xf>
    <xf numFmtId="0" fontId="6" fillId="2" borderId="5" xfId="0" applyFont="1" applyFill="1" applyBorder="1" applyAlignment="1">
      <alignment horizontal="center" vertical="center"/>
    </xf>
    <xf numFmtId="0" fontId="3" fillId="4" borderId="6" xfId="0" applyFont="1" applyFill="1" applyBorder="1" applyAlignment="1">
      <alignment horizontal="left" vertical="center" wrapText="1"/>
    </xf>
    <xf numFmtId="0" fontId="3" fillId="4" borderId="6" xfId="0" applyFont="1" applyFill="1" applyBorder="1" applyAlignment="1">
      <alignment horizontal="left" vertical="center"/>
    </xf>
    <xf numFmtId="0" fontId="29" fillId="15" borderId="0" xfId="0" applyFont="1" applyFill="1" applyBorder="1" applyAlignment="1">
      <alignment horizontal="center" vertical="center"/>
    </xf>
    <xf numFmtId="14" fontId="8" fillId="4" borderId="37" xfId="0" applyNumberFormat="1" applyFont="1" applyFill="1" applyBorder="1" applyAlignment="1">
      <alignment horizontal="left" vertical="center"/>
    </xf>
    <xf numFmtId="3" fontId="3" fillId="4" borderId="37" xfId="0" applyNumberFormat="1" applyFont="1" applyFill="1" applyBorder="1" applyAlignment="1">
      <alignment horizontal="center" vertical="center"/>
    </xf>
    <xf numFmtId="3" fontId="3" fillId="13" borderId="37" xfId="0" applyNumberFormat="1" applyFont="1" applyFill="1" applyBorder="1" applyAlignment="1">
      <alignment horizontal="center" vertical="center"/>
    </xf>
    <xf numFmtId="14" fontId="8" fillId="4" borderId="40" xfId="0" applyNumberFormat="1" applyFont="1" applyFill="1" applyBorder="1" applyAlignment="1">
      <alignment horizontal="left" vertical="center"/>
    </xf>
    <xf numFmtId="3" fontId="3" fillId="4" borderId="40" xfId="0" applyNumberFormat="1" applyFont="1" applyFill="1" applyBorder="1" applyAlignment="1">
      <alignment horizontal="center" vertical="center"/>
    </xf>
    <xf numFmtId="14" fontId="10" fillId="11" borderId="34" xfId="0" applyNumberFormat="1" applyFont="1" applyFill="1" applyBorder="1" applyAlignment="1">
      <alignment horizontal="center" vertical="center"/>
    </xf>
    <xf numFmtId="0" fontId="14" fillId="11" borderId="31" xfId="0" applyFont="1" applyFill="1" applyBorder="1" applyAlignment="1">
      <alignment horizontal="center" vertical="center" wrapText="1"/>
    </xf>
    <xf numFmtId="0" fontId="11" fillId="11" borderId="2" xfId="0" applyFont="1" applyFill="1" applyBorder="1" applyAlignment="1">
      <alignment horizontal="center" vertical="center"/>
    </xf>
    <xf numFmtId="0" fontId="11" fillId="11" borderId="35" xfId="0" applyFont="1" applyFill="1" applyBorder="1" applyAlignment="1">
      <alignment horizontal="center" vertical="center" wrapText="1"/>
    </xf>
    <xf numFmtId="0" fontId="7" fillId="12" borderId="28" xfId="0" applyFont="1" applyFill="1" applyBorder="1" applyAlignment="1">
      <alignment horizontal="left" vertical="center" wrapText="1"/>
    </xf>
    <xf numFmtId="0" fontId="7" fillId="12" borderId="27" xfId="0" applyFont="1" applyFill="1" applyBorder="1" applyAlignment="1">
      <alignment horizontal="center" vertical="center" wrapText="1"/>
    </xf>
    <xf numFmtId="0" fontId="7" fillId="12" borderId="25" xfId="0" applyFont="1" applyFill="1" applyBorder="1" applyAlignment="1">
      <alignment horizontal="center" vertical="center" wrapText="1"/>
    </xf>
    <xf numFmtId="0" fontId="7" fillId="12" borderId="28" xfId="0" applyFont="1" applyFill="1" applyBorder="1" applyAlignment="1">
      <alignment horizontal="center" vertical="center" wrapText="1"/>
    </xf>
    <xf numFmtId="0" fontId="7" fillId="12" borderId="29" xfId="0" applyFont="1" applyFill="1" applyBorder="1" applyAlignment="1">
      <alignment horizontal="center" vertical="center" wrapText="1"/>
    </xf>
    <xf numFmtId="0" fontId="14" fillId="4" borderId="2" xfId="0" applyFont="1" applyFill="1" applyBorder="1" applyAlignment="1">
      <alignment horizontal="center" vertical="center"/>
    </xf>
    <xf numFmtId="0" fontId="7" fillId="12" borderId="35" xfId="0" applyFont="1" applyFill="1" applyBorder="1" applyAlignment="1">
      <alignment horizontal="center" vertical="center" wrapText="1"/>
    </xf>
    <xf numFmtId="0" fontId="7" fillId="12" borderId="13"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1" fillId="4" borderId="14" xfId="0" applyFont="1" applyFill="1" applyBorder="1" applyAlignment="1">
      <alignment horizontal="left" vertical="center"/>
    </xf>
    <xf numFmtId="0" fontId="3" fillId="4" borderId="16" xfId="0" applyFont="1" applyFill="1" applyBorder="1" applyAlignment="1">
      <alignment horizontal="left" vertical="center"/>
    </xf>
    <xf numFmtId="9" fontId="8" fillId="10" borderId="23" xfId="2" applyFont="1" applyFill="1" applyBorder="1" applyAlignment="1" applyProtection="1">
      <alignment horizontal="center" vertical="center"/>
    </xf>
    <xf numFmtId="0" fontId="7" fillId="6" borderId="2" xfId="0" applyFont="1" applyFill="1" applyBorder="1" applyAlignment="1">
      <alignment horizontal="center" vertical="center"/>
    </xf>
    <xf numFmtId="0" fontId="6" fillId="4" borderId="20" xfId="0" applyFont="1" applyFill="1" applyBorder="1" applyAlignment="1">
      <alignment horizontal="left" vertical="center"/>
    </xf>
    <xf numFmtId="0" fontId="3" fillId="4" borderId="21" xfId="0" applyFont="1" applyFill="1" applyBorder="1" applyAlignment="1">
      <alignment horizontal="left" vertical="center"/>
    </xf>
    <xf numFmtId="9" fontId="8" fillId="4" borderId="5" xfId="2" applyFont="1" applyFill="1" applyBorder="1" applyAlignment="1" applyProtection="1">
      <alignment horizontal="center" vertical="center"/>
    </xf>
    <xf numFmtId="0" fontId="6" fillId="4" borderId="22" xfId="0" applyFont="1" applyFill="1" applyBorder="1" applyAlignment="1">
      <alignment horizontal="left" vertical="center"/>
    </xf>
    <xf numFmtId="0" fontId="3" fillId="4" borderId="24" xfId="0" applyFont="1" applyFill="1" applyBorder="1" applyAlignment="1">
      <alignment horizontal="left" vertical="center"/>
    </xf>
    <xf numFmtId="0" fontId="10" fillId="2" borderId="25"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8" fillId="0" borderId="21" xfId="0" applyFont="1" applyFill="1" applyBorder="1" applyAlignment="1">
      <alignment horizontal="left" vertical="center"/>
    </xf>
    <xf numFmtId="3" fontId="6" fillId="4" borderId="24" xfId="0" applyNumberFormat="1" applyFont="1" applyFill="1" applyBorder="1" applyAlignment="1">
      <alignment horizontal="center" vertical="center"/>
    </xf>
    <xf numFmtId="0" fontId="3" fillId="4" borderId="21" xfId="0" applyFont="1" applyFill="1" applyBorder="1" applyAlignment="1">
      <alignment horizontal="center" vertical="center"/>
    </xf>
    <xf numFmtId="0" fontId="6" fillId="9" borderId="2" xfId="0" applyFont="1" applyFill="1" applyBorder="1" applyAlignment="1">
      <alignment horizontal="left" vertical="center"/>
    </xf>
    <xf numFmtId="0" fontId="3" fillId="4" borderId="2" xfId="0" applyFont="1" applyFill="1" applyBorder="1" applyAlignment="1">
      <alignment horizontal="left" vertical="center"/>
    </xf>
    <xf numFmtId="0" fontId="6" fillId="4" borderId="17" xfId="0" applyFont="1" applyFill="1" applyBorder="1" applyAlignment="1">
      <alignment horizontal="left" vertical="center"/>
    </xf>
    <xf numFmtId="0" fontId="3" fillId="4" borderId="19" xfId="0" applyFont="1" applyFill="1" applyBorder="1" applyAlignment="1">
      <alignment horizontal="left" vertical="center"/>
    </xf>
    <xf numFmtId="3" fontId="6" fillId="4" borderId="22" xfId="0" applyNumberFormat="1" applyFont="1" applyFill="1" applyBorder="1" applyAlignment="1">
      <alignment horizontal="center" vertical="center"/>
    </xf>
    <xf numFmtId="3" fontId="6" fillId="4" borderId="23" xfId="0" applyNumberFormat="1" applyFont="1" applyFill="1" applyBorder="1" applyAlignment="1">
      <alignment horizontal="center" vertical="center"/>
    </xf>
    <xf numFmtId="0" fontId="6" fillId="4" borderId="17" xfId="0" applyFont="1" applyFill="1" applyBorder="1" applyAlignment="1">
      <alignment horizontal="center" vertical="center"/>
    </xf>
    <xf numFmtId="14" fontId="10" fillId="2" borderId="25" xfId="0" applyNumberFormat="1" applyFont="1" applyFill="1" applyBorder="1" applyAlignment="1">
      <alignment horizontal="center" vertical="center" wrapText="1"/>
    </xf>
    <xf numFmtId="0" fontId="6" fillId="2" borderId="29" xfId="0" applyFont="1" applyFill="1" applyBorder="1" applyAlignment="1">
      <alignment horizontal="center" vertical="center" wrapText="1"/>
    </xf>
    <xf numFmtId="0" fontId="10" fillId="0" borderId="20" xfId="0" applyFont="1" applyFill="1" applyBorder="1" applyAlignment="1">
      <alignment horizontal="left" vertical="center"/>
    </xf>
    <xf numFmtId="0" fontId="11" fillId="9" borderId="2" xfId="0" applyFont="1" applyFill="1" applyBorder="1" applyAlignment="1">
      <alignment horizontal="left" vertical="center"/>
    </xf>
    <xf numFmtId="0" fontId="6" fillId="2" borderId="2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3" fillId="4" borderId="2" xfId="0" applyFont="1" applyFill="1" applyBorder="1" applyAlignment="1">
      <alignment horizontal="left" vertical="center" wrapText="1"/>
    </xf>
    <xf numFmtId="0" fontId="8" fillId="0" borderId="19" xfId="0" applyFont="1" applyFill="1" applyBorder="1" applyAlignment="1">
      <alignment horizontal="left" vertical="center"/>
    </xf>
    <xf numFmtId="0" fontId="3" fillId="0" borderId="21" xfId="0" applyFont="1" applyFill="1" applyBorder="1" applyAlignment="1">
      <alignment horizontal="left" vertical="center"/>
    </xf>
    <xf numFmtId="0" fontId="10" fillId="4" borderId="17" xfId="0" applyFont="1" applyFill="1" applyBorder="1" applyAlignment="1">
      <alignment horizontal="left" vertical="center"/>
    </xf>
    <xf numFmtId="0" fontId="10" fillId="4" borderId="20" xfId="0" applyFont="1" applyFill="1" applyBorder="1" applyAlignment="1">
      <alignment horizontal="left" vertical="center"/>
    </xf>
    <xf numFmtId="0" fontId="10" fillId="0" borderId="22" xfId="0" applyFont="1" applyFill="1" applyBorder="1" applyAlignment="1">
      <alignment horizontal="left" vertical="center"/>
    </xf>
    <xf numFmtId="0" fontId="7" fillId="6" borderId="13" xfId="0" applyFont="1" applyFill="1" applyBorder="1" applyAlignment="1">
      <alignment horizontal="center" vertical="center"/>
    </xf>
    <xf numFmtId="0" fontId="6" fillId="9" borderId="15" xfId="0" applyFont="1" applyFill="1" applyBorder="1" applyAlignment="1">
      <alignment horizontal="center" vertical="center"/>
    </xf>
    <xf numFmtId="0" fontId="6" fillId="9" borderId="16" xfId="0" applyFont="1" applyFill="1" applyBorder="1" applyAlignment="1">
      <alignment horizontal="center" vertical="center"/>
    </xf>
    <xf numFmtId="0" fontId="8" fillId="4" borderId="2" xfId="0" applyFont="1" applyFill="1" applyBorder="1" applyAlignment="1">
      <alignment horizontal="center" vertical="center" wrapText="1"/>
    </xf>
    <xf numFmtId="0" fontId="3" fillId="4" borderId="19" xfId="0" applyFont="1" applyFill="1" applyBorder="1" applyAlignment="1">
      <alignment horizontal="center" vertical="center"/>
    </xf>
    <xf numFmtId="0" fontId="0" fillId="4" borderId="0" xfId="0" applyFont="1" applyFill="1" applyBorder="1" applyAlignment="1">
      <alignment horizontal="left" vertical="top" wrapText="1"/>
    </xf>
  </cellXfs>
  <cellStyles count="9">
    <cellStyle name="Comma 2" xfId="3"/>
    <cellStyle name="Excel Built-in Good" xfId="8"/>
    <cellStyle name="Excel Built-in Heading 1" xfId="6"/>
    <cellStyle name="Excel Built-in Title" xfId="7"/>
    <cellStyle name="Normal" xfId="0" builtinId="0"/>
    <cellStyle name="Normal 3" xfId="4"/>
    <cellStyle name="Procent" xfId="2" builtinId="5"/>
    <cellStyle name="Title 2" xfId="5"/>
    <cellStyle name="Tusental" xfId="1" builtinId="3"/>
  </cellStyles>
  <dxfs count="16">
    <dxf>
      <font>
        <b val="0"/>
        <condense val="0"/>
        <extend val="0"/>
        <sz val="11"/>
        <color indexed="16"/>
      </font>
      <fill>
        <patternFill patternType="solid">
          <fgColor indexed="31"/>
          <bgColor indexed="47"/>
        </patternFill>
      </fill>
    </dxf>
    <dxf>
      <font>
        <b val="0"/>
        <condense val="0"/>
        <extend val="0"/>
        <sz val="11"/>
        <color indexed="16"/>
      </font>
      <fill>
        <patternFill patternType="solid">
          <fgColor indexed="31"/>
          <bgColor indexed="47"/>
        </patternFill>
      </fill>
    </dxf>
    <dxf>
      <font>
        <b val="0"/>
        <condense val="0"/>
        <extend val="0"/>
        <sz val="11"/>
        <color indexed="8"/>
      </font>
      <fill>
        <patternFill patternType="solid">
          <fgColor indexed="16"/>
          <bgColor indexed="10"/>
        </patternFill>
      </fill>
    </dxf>
    <dxf>
      <font>
        <b val="0"/>
        <condense val="0"/>
        <extend val="0"/>
        <sz val="11"/>
        <color indexed="8"/>
      </font>
      <fill>
        <patternFill patternType="solid">
          <fgColor indexed="52"/>
          <bgColor indexed="51"/>
        </patternFill>
      </fill>
    </dxf>
    <dxf>
      <font>
        <b val="0"/>
        <condense val="0"/>
        <extend val="0"/>
        <sz val="11"/>
        <color indexed="8"/>
      </font>
      <fill>
        <patternFill patternType="solid">
          <fgColor indexed="50"/>
          <bgColor indexed="57"/>
        </patternFill>
      </fill>
    </dxf>
    <dxf>
      <font>
        <color rgb="FFFF0000"/>
      </font>
      <fill>
        <patternFill>
          <bgColor theme="7"/>
        </patternFill>
      </fill>
    </dxf>
    <dxf>
      <font>
        <b val="0"/>
        <condense val="0"/>
        <extend val="0"/>
        <sz val="11"/>
        <color indexed="8"/>
      </font>
      <fill>
        <patternFill patternType="solid">
          <fgColor indexed="52"/>
          <bgColor indexed="51"/>
        </patternFill>
      </fill>
    </dxf>
    <dxf>
      <font>
        <b val="0"/>
        <condense val="0"/>
        <extend val="0"/>
        <sz val="11"/>
        <color indexed="8"/>
      </font>
      <fill>
        <patternFill patternType="solid">
          <fgColor indexed="16"/>
          <bgColor indexed="10"/>
        </patternFill>
      </fill>
    </dxf>
    <dxf>
      <font>
        <b val="0"/>
        <condense val="0"/>
        <extend val="0"/>
        <sz val="11"/>
        <color indexed="8"/>
      </font>
      <fill>
        <patternFill patternType="solid">
          <fgColor indexed="52"/>
          <bgColor indexed="51"/>
        </patternFill>
      </fill>
    </dxf>
    <dxf>
      <font>
        <b val="0"/>
        <condense val="0"/>
        <extend val="0"/>
        <sz val="11"/>
        <color indexed="8"/>
      </font>
      <fill>
        <patternFill patternType="solid">
          <fgColor indexed="50"/>
          <bgColor indexed="57"/>
        </patternFill>
      </fill>
    </dxf>
    <dxf>
      <font>
        <b val="0"/>
        <condense val="0"/>
        <extend val="0"/>
        <sz val="11"/>
        <color indexed="8"/>
      </font>
      <fill>
        <patternFill patternType="solid">
          <fgColor indexed="57"/>
          <bgColor indexed="50"/>
        </patternFill>
      </fill>
    </dxf>
    <dxf>
      <font>
        <b val="0"/>
        <condense val="0"/>
        <extend val="0"/>
        <sz val="11"/>
        <color indexed="9"/>
      </font>
      <fill>
        <patternFill patternType="solid">
          <fgColor indexed="16"/>
          <bgColor indexed="10"/>
        </patternFill>
      </fill>
    </dxf>
    <dxf>
      <font>
        <b val="0"/>
        <condense val="0"/>
        <extend val="0"/>
        <sz val="11"/>
        <color indexed="10"/>
      </font>
    </dxf>
    <dxf>
      <font>
        <b val="0"/>
        <condense val="0"/>
        <extend val="0"/>
        <sz val="11"/>
        <color indexed="8"/>
      </font>
      <fill>
        <patternFill patternType="solid">
          <fgColor indexed="16"/>
          <bgColor indexed="10"/>
        </patternFill>
      </fill>
    </dxf>
    <dxf>
      <font>
        <b val="0"/>
        <condense val="0"/>
        <extend val="0"/>
        <sz val="11"/>
        <color indexed="8"/>
      </font>
      <fill>
        <patternFill patternType="solid">
          <fgColor indexed="52"/>
          <bgColor indexed="51"/>
        </patternFill>
      </fill>
    </dxf>
    <dxf>
      <font>
        <b val="0"/>
        <condense val="0"/>
        <extend val="0"/>
        <sz val="11"/>
        <color indexed="8"/>
      </font>
      <fill>
        <patternFill patternType="solid">
          <fgColor indexed="50"/>
          <bgColor indexed="57"/>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9C0006"/>
      <rgbColor rgb="00006100"/>
      <rgbColor rgb="00000080"/>
      <rgbColor rgb="007F7966"/>
      <rgbColor rgb="00800080"/>
      <rgbColor rgb="00008080"/>
      <rgbColor rgb="00BFBFBF"/>
      <rgbColor rgb="00808080"/>
      <rgbColor rgb="00A5A5A5"/>
      <rgbColor rgb="00993366"/>
      <rgbColor rgb="00FFF2CC"/>
      <rgbColor rgb="00E2F0D9"/>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E7E6E6"/>
      <rgbColor rgb="00C6EFCE"/>
      <rgbColor rgb="00FFFF99"/>
      <rgbColor rgb="0099CCFF"/>
      <rgbColor rgb="00FF99CC"/>
      <rgbColor rgb="00CC99FF"/>
      <rgbColor rgb="00FFC7CE"/>
      <rgbColor rgb="004472C4"/>
      <rgbColor rgb="005B9BD5"/>
      <rgbColor rgb="0092D050"/>
      <rgbColor rgb="00FFC000"/>
      <rgbColor rgb="00FF9900"/>
      <rgbColor rgb="00ED7D31"/>
      <rgbColor rgb="007F7F80"/>
      <rgbColor rgb="008B8B8B"/>
      <rgbColor rgb="00003366"/>
      <rgbColor rgb="0070AD47"/>
      <rgbColor rgb="00003300"/>
      <rgbColor rgb="00333300"/>
      <rgbColor rgb="00993300"/>
      <rgbColor rgb="00993366"/>
      <rgbColor rgb="0044546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a:ea typeface="Arial"/>
                <a:cs typeface="Arial"/>
              </a:defRPr>
            </a:pPr>
            <a:r>
              <a:rPr lang="en-US"/>
              <a:t>Distribution of user fees per actor</a:t>
            </a:r>
          </a:p>
        </c:rich>
      </c:tx>
      <c:layout>
        <c:manualLayout>
          <c:xMode val="edge"/>
          <c:yMode val="edge"/>
          <c:x val="0.14832553211621108"/>
          <c:y val="4.2654127143177817E-2"/>
        </c:manualLayout>
      </c:layout>
      <c:overlay val="0"/>
      <c:spPr>
        <a:noFill/>
        <a:ln w="25400">
          <a:noFill/>
        </a:ln>
      </c:spPr>
    </c:title>
    <c:autoTitleDeleted val="0"/>
    <c:plotArea>
      <c:layout>
        <c:manualLayout>
          <c:layoutTarget val="inner"/>
          <c:xMode val="edge"/>
          <c:yMode val="edge"/>
          <c:x val="6.4593376889317725E-2"/>
          <c:y val="0.43128061889213126"/>
          <c:w val="0.2583735075572709"/>
          <c:h val="0.5118495257181338"/>
        </c:manualLayout>
      </c:layout>
      <c:pieChart>
        <c:varyColors val="1"/>
        <c:ser>
          <c:idx val="0"/>
          <c:order val="0"/>
          <c:spPr>
            <a:solidFill>
              <a:srgbClr val="4472C4"/>
            </a:solidFill>
            <a:ln w="25400">
              <a:noFill/>
            </a:ln>
          </c:spPr>
          <c:dPt>
            <c:idx val="0"/>
            <c:bubble3D val="0"/>
            <c:spPr>
              <a:solidFill>
                <a:srgbClr val="70AD47"/>
              </a:solidFill>
              <a:ln w="25400">
                <a:solidFill>
                  <a:srgbClr val="FFFFFF"/>
                </a:solidFill>
                <a:prstDash val="solid"/>
              </a:ln>
            </c:spPr>
            <c:extLst>
              <c:ext xmlns:c16="http://schemas.microsoft.com/office/drawing/2014/chart" uri="{C3380CC4-5D6E-409C-BE32-E72D297353CC}">
                <c16:uniqueId val="{00000001-24B4-4F1B-B046-171B9C245143}"/>
              </c:ext>
            </c:extLst>
          </c:dPt>
          <c:dPt>
            <c:idx val="1"/>
            <c:bubble3D val="0"/>
            <c:spPr>
              <a:solidFill>
                <a:srgbClr val="ED7D31"/>
              </a:solidFill>
              <a:ln w="25400">
                <a:solidFill>
                  <a:srgbClr val="FFFFFF"/>
                </a:solidFill>
                <a:prstDash val="solid"/>
              </a:ln>
            </c:spPr>
            <c:extLst>
              <c:ext xmlns:c16="http://schemas.microsoft.com/office/drawing/2014/chart" uri="{C3380CC4-5D6E-409C-BE32-E72D297353CC}">
                <c16:uniqueId val="{00000003-24B4-4F1B-B046-171B9C245143}"/>
              </c:ext>
            </c:extLst>
          </c:dPt>
          <c:dPt>
            <c:idx val="2"/>
            <c:bubble3D val="0"/>
            <c:spPr>
              <a:solidFill>
                <a:srgbClr val="A5A5A5"/>
              </a:solidFill>
              <a:ln w="25400">
                <a:solidFill>
                  <a:srgbClr val="FFFFFF"/>
                </a:solidFill>
                <a:prstDash val="solid"/>
              </a:ln>
            </c:spPr>
            <c:extLst>
              <c:ext xmlns:c16="http://schemas.microsoft.com/office/drawing/2014/chart" uri="{C3380CC4-5D6E-409C-BE32-E72D297353CC}">
                <c16:uniqueId val="{00000005-24B4-4F1B-B046-171B9C245143}"/>
              </c:ext>
            </c:extLst>
          </c:dPt>
          <c:dPt>
            <c:idx val="3"/>
            <c:bubble3D val="0"/>
            <c:spPr>
              <a:solidFill>
                <a:srgbClr val="FFC000"/>
              </a:solidFill>
              <a:ln w="25400">
                <a:solidFill>
                  <a:srgbClr val="FFFFFF"/>
                </a:solidFill>
                <a:prstDash val="solid"/>
              </a:ln>
            </c:spPr>
            <c:extLst>
              <c:ext xmlns:c16="http://schemas.microsoft.com/office/drawing/2014/chart" uri="{C3380CC4-5D6E-409C-BE32-E72D297353CC}">
                <c16:uniqueId val="{00000007-24B4-4F1B-B046-171B9C245143}"/>
              </c:ext>
            </c:extLst>
          </c:dPt>
          <c:dPt>
            <c:idx val="4"/>
            <c:bubble3D val="0"/>
            <c:spPr>
              <a:solidFill>
                <a:srgbClr val="5B9BD5"/>
              </a:solidFill>
              <a:ln w="25400">
                <a:solidFill>
                  <a:srgbClr val="FFFFFF"/>
                </a:solidFill>
                <a:prstDash val="solid"/>
              </a:ln>
            </c:spPr>
            <c:extLst>
              <c:ext xmlns:c16="http://schemas.microsoft.com/office/drawing/2014/chart" uri="{C3380CC4-5D6E-409C-BE32-E72D297353CC}">
                <c16:uniqueId val="{00000009-24B4-4F1B-B046-171B9C245143}"/>
              </c:ext>
            </c:extLst>
          </c:dPt>
          <c:dPt>
            <c:idx val="5"/>
            <c:bubble3D val="0"/>
            <c:spPr>
              <a:solidFill>
                <a:srgbClr val="70AD47"/>
              </a:solidFill>
              <a:ln w="25400">
                <a:solidFill>
                  <a:srgbClr val="FFFFFF"/>
                </a:solidFill>
                <a:prstDash val="solid"/>
              </a:ln>
            </c:spPr>
            <c:extLst>
              <c:ext xmlns:c16="http://schemas.microsoft.com/office/drawing/2014/chart" uri="{C3380CC4-5D6E-409C-BE32-E72D297353CC}">
                <c16:uniqueId val="{0000000B-24B4-4F1B-B046-171B9C245143}"/>
              </c:ext>
            </c:extLst>
          </c:dPt>
          <c:dLbls>
            <c:dLbl>
              <c:idx val="0"/>
              <c:spPr>
                <a:noFill/>
                <a:ln w="25400">
                  <a:noFill/>
                </a:ln>
              </c:spPr>
              <c:txPr>
                <a:bodyPr/>
                <a:lstStyle/>
                <a:p>
                  <a:pPr>
                    <a:defRPr sz="900" b="0" i="0" u="none" strike="noStrike" baseline="0">
                      <a:solidFill>
                        <a:srgbClr val="000000"/>
                      </a:solidFill>
                      <a:latin typeface="Arial"/>
                      <a:ea typeface="Arial"/>
                      <a:cs typeface="Arial"/>
                    </a:defRPr>
                  </a:pPr>
                  <a:endParaRPr lang="sv-SE"/>
                </a:p>
              </c:txPr>
              <c:showLegendKey val="0"/>
              <c:showVal val="0"/>
              <c:showCatName val="0"/>
              <c:showSerName val="0"/>
              <c:showPercent val="1"/>
              <c:showBubbleSize val="0"/>
              <c:extLst>
                <c:ext xmlns:c16="http://schemas.microsoft.com/office/drawing/2014/chart" uri="{C3380CC4-5D6E-409C-BE32-E72D297353CC}">
                  <c16:uniqueId val="{00000001-24B4-4F1B-B046-171B9C245143}"/>
                </c:ext>
              </c:extLst>
            </c:dLbl>
            <c:dLbl>
              <c:idx val="1"/>
              <c:spPr>
                <a:noFill/>
                <a:ln w="25400">
                  <a:noFill/>
                </a:ln>
              </c:spPr>
              <c:txPr>
                <a:bodyPr/>
                <a:lstStyle/>
                <a:p>
                  <a:pPr>
                    <a:defRPr sz="900" b="0" i="0" u="none" strike="noStrike" baseline="0">
                      <a:solidFill>
                        <a:srgbClr val="000000"/>
                      </a:solidFill>
                      <a:latin typeface="Arial"/>
                      <a:ea typeface="Arial"/>
                      <a:cs typeface="Arial"/>
                    </a:defRPr>
                  </a:pPr>
                  <a:endParaRPr lang="sv-SE"/>
                </a:p>
              </c:txPr>
              <c:showLegendKey val="0"/>
              <c:showVal val="0"/>
              <c:showCatName val="0"/>
              <c:showSerName val="0"/>
              <c:showPercent val="1"/>
              <c:showBubbleSize val="0"/>
              <c:extLst>
                <c:ext xmlns:c16="http://schemas.microsoft.com/office/drawing/2014/chart" uri="{C3380CC4-5D6E-409C-BE32-E72D297353CC}">
                  <c16:uniqueId val="{00000003-24B4-4F1B-B046-171B9C245143}"/>
                </c:ext>
              </c:extLst>
            </c:dLbl>
            <c:dLbl>
              <c:idx val="2"/>
              <c:spPr>
                <a:noFill/>
                <a:ln w="25400">
                  <a:noFill/>
                </a:ln>
              </c:spPr>
              <c:txPr>
                <a:bodyPr/>
                <a:lstStyle/>
                <a:p>
                  <a:pPr>
                    <a:defRPr sz="900" b="0" i="0" u="none" strike="noStrike" baseline="0">
                      <a:solidFill>
                        <a:srgbClr val="000000"/>
                      </a:solidFill>
                      <a:latin typeface="Arial"/>
                      <a:ea typeface="Arial"/>
                      <a:cs typeface="Arial"/>
                    </a:defRPr>
                  </a:pPr>
                  <a:endParaRPr lang="sv-SE"/>
                </a:p>
              </c:txPr>
              <c:showLegendKey val="0"/>
              <c:showVal val="0"/>
              <c:showCatName val="0"/>
              <c:showSerName val="0"/>
              <c:showPercent val="1"/>
              <c:showBubbleSize val="0"/>
              <c:extLst>
                <c:ext xmlns:c16="http://schemas.microsoft.com/office/drawing/2014/chart" uri="{C3380CC4-5D6E-409C-BE32-E72D297353CC}">
                  <c16:uniqueId val="{00000005-24B4-4F1B-B046-171B9C245143}"/>
                </c:ext>
              </c:extLst>
            </c:dLbl>
            <c:dLbl>
              <c:idx val="3"/>
              <c:spPr>
                <a:noFill/>
                <a:ln w="25400">
                  <a:noFill/>
                </a:ln>
              </c:spPr>
              <c:txPr>
                <a:bodyPr/>
                <a:lstStyle/>
                <a:p>
                  <a:pPr>
                    <a:defRPr sz="900" b="0" i="0" u="none" strike="noStrike" baseline="0">
                      <a:solidFill>
                        <a:srgbClr val="000000"/>
                      </a:solidFill>
                      <a:latin typeface="Arial"/>
                      <a:ea typeface="Arial"/>
                      <a:cs typeface="Arial"/>
                    </a:defRPr>
                  </a:pPr>
                  <a:endParaRPr lang="sv-SE"/>
                </a:p>
              </c:txPr>
              <c:showLegendKey val="0"/>
              <c:showVal val="0"/>
              <c:showCatName val="0"/>
              <c:showSerName val="0"/>
              <c:showPercent val="1"/>
              <c:showBubbleSize val="0"/>
              <c:extLst>
                <c:ext xmlns:c16="http://schemas.microsoft.com/office/drawing/2014/chart" uri="{C3380CC4-5D6E-409C-BE32-E72D297353CC}">
                  <c16:uniqueId val="{00000007-24B4-4F1B-B046-171B9C245143}"/>
                </c:ext>
              </c:extLst>
            </c:dLbl>
            <c:dLbl>
              <c:idx val="4"/>
              <c:spPr>
                <a:noFill/>
                <a:ln w="25400">
                  <a:noFill/>
                </a:ln>
              </c:spPr>
              <c:txPr>
                <a:bodyPr/>
                <a:lstStyle/>
                <a:p>
                  <a:pPr>
                    <a:defRPr sz="1000" b="0" i="0" u="none" strike="noStrike" baseline="0">
                      <a:solidFill>
                        <a:srgbClr val="000000"/>
                      </a:solidFill>
                      <a:latin typeface="Arial"/>
                      <a:ea typeface="Arial"/>
                      <a:cs typeface="Arial"/>
                    </a:defRPr>
                  </a:pPr>
                  <a:endParaRPr lang="sv-SE"/>
                </a:p>
              </c:txPr>
              <c:showLegendKey val="0"/>
              <c:showVal val="0"/>
              <c:showCatName val="0"/>
              <c:showSerName val="0"/>
              <c:showPercent val="1"/>
              <c:showBubbleSize val="0"/>
              <c:extLst>
                <c:ext xmlns:c16="http://schemas.microsoft.com/office/drawing/2014/chart" uri="{C3380CC4-5D6E-409C-BE32-E72D297353CC}">
                  <c16:uniqueId val="{00000009-24B4-4F1B-B046-171B9C245143}"/>
                </c:ext>
              </c:extLst>
            </c:dLbl>
            <c:dLbl>
              <c:idx val="5"/>
              <c:spPr>
                <a:noFill/>
                <a:ln w="25400">
                  <a:noFill/>
                </a:ln>
              </c:spPr>
              <c:txPr>
                <a:bodyPr/>
                <a:lstStyle/>
                <a:p>
                  <a:pPr>
                    <a:defRPr sz="900" b="0" i="0" u="none" strike="noStrike" baseline="0">
                      <a:solidFill>
                        <a:srgbClr val="000000"/>
                      </a:solidFill>
                      <a:latin typeface="Arial"/>
                      <a:ea typeface="Arial"/>
                      <a:cs typeface="Arial"/>
                    </a:defRPr>
                  </a:pPr>
                  <a:endParaRPr lang="sv-SE"/>
                </a:p>
              </c:txPr>
              <c:showLegendKey val="0"/>
              <c:showVal val="0"/>
              <c:showCatName val="0"/>
              <c:showSerName val="0"/>
              <c:showPercent val="1"/>
              <c:showBubbleSize val="0"/>
              <c:extLst>
                <c:ext xmlns:c16="http://schemas.microsoft.com/office/drawing/2014/chart" uri="{C3380CC4-5D6E-409C-BE32-E72D297353CC}">
                  <c16:uniqueId val="{0000000B-24B4-4F1B-B046-171B9C245143}"/>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sv-SE"/>
              </a:p>
            </c:txPr>
            <c:showLegendKey val="0"/>
            <c:showVal val="0"/>
            <c:showCatName val="0"/>
            <c:showSerName val="0"/>
            <c:showPercent val="1"/>
            <c:showBubbleSize val="0"/>
            <c:showLeaderLines val="0"/>
            <c:extLst>
              <c:ext xmlns:c15="http://schemas.microsoft.com/office/drawing/2012/chart" uri="{CE6537A1-D6FC-4f65-9D91-7224C49458BB}"/>
            </c:extLst>
          </c:dLbls>
          <c:cat>
            <c:strRef>
              <c:f>'Calculation model'!$P$26:$P$31</c:f>
              <c:strCache>
                <c:ptCount val="6"/>
                <c:pt idx="0">
                  <c:v>Operator</c:v>
                </c:pt>
                <c:pt idx="1">
                  <c:v>Swedish Transport Administration</c:v>
                </c:pt>
                <c:pt idx="2">
                  <c:v>Haulage contractor</c:v>
                </c:pt>
                <c:pt idx="3">
                  <c:v>Electricity grid operator</c:v>
                </c:pt>
                <c:pt idx="4">
                  <c:v>Electricity supplier</c:v>
                </c:pt>
                <c:pt idx="5">
                  <c:v>Vehicle manufacturer</c:v>
                </c:pt>
              </c:strCache>
            </c:strRef>
          </c:cat>
          <c:val>
            <c:numRef>
              <c:f>'Calculation model'!$T$26:$T$31</c:f>
              <c:numCache>
                <c:formatCode>#,##0.00</c:formatCode>
                <c:ptCount val="6"/>
                <c:pt idx="0">
                  <c:v>1.1388629588271815</c:v>
                </c:pt>
                <c:pt idx="1">
                  <c:v>0</c:v>
                </c:pt>
                <c:pt idx="2">
                  <c:v>2.2634754178715895</c:v>
                </c:pt>
                <c:pt idx="3">
                  <c:v>1.1375</c:v>
                </c:pt>
                <c:pt idx="4">
                  <c:v>0</c:v>
                </c:pt>
                <c:pt idx="5">
                  <c:v>0</c:v>
                </c:pt>
              </c:numCache>
            </c:numRef>
          </c:val>
          <c:extLst>
            <c:ext xmlns:c16="http://schemas.microsoft.com/office/drawing/2014/chart" uri="{C3380CC4-5D6E-409C-BE32-E72D297353CC}">
              <c16:uniqueId val="{0000000C-24B4-4F1B-B046-171B9C245143}"/>
            </c:ext>
          </c:extLst>
        </c:ser>
        <c:dLbls>
          <c:showLegendKey val="0"/>
          <c:showVal val="0"/>
          <c:showCatName val="0"/>
          <c:showSerName val="0"/>
          <c:showPercent val="0"/>
          <c:showBubbleSize val="0"/>
          <c:showLeaderLines val="0"/>
        </c:dLbls>
        <c:firstSliceAng val="0"/>
      </c:pieChart>
      <c:spPr>
        <a:noFill/>
        <a:ln w="25400">
          <a:noFill/>
        </a:ln>
      </c:spPr>
    </c:plotArea>
    <c:legend>
      <c:legendPos val="r"/>
      <c:layout>
        <c:manualLayout>
          <c:xMode val="edge"/>
          <c:yMode val="edge"/>
          <c:x val="0.41866077613446673"/>
          <c:y val="0.42180192397142507"/>
          <c:w val="0.53827814074431435"/>
          <c:h val="0.45497735619389668"/>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sv-SE"/>
        </a:p>
      </c:txPr>
    </c:legend>
    <c:plotVisOnly val="1"/>
    <c:dispBlanksAs val="zero"/>
    <c:showDLblsOverMax val="0"/>
  </c:chart>
  <c:spPr>
    <a:solidFill>
      <a:srgbClr val="FFFFFF"/>
    </a:solidFill>
    <a:ln w="25400">
      <a:solidFill>
        <a:srgbClr val="000000"/>
      </a:solidFill>
      <a:prstDash val="solid"/>
    </a:ln>
  </c:spPr>
  <c:txPr>
    <a:bodyPr/>
    <a:lstStyle/>
    <a:p>
      <a:pPr>
        <a:defRPr sz="1100" b="0" i="0" u="none" strike="noStrike" baseline="0">
          <a:solidFill>
            <a:srgbClr val="000000"/>
          </a:solidFill>
          <a:latin typeface="Calibri"/>
          <a:ea typeface="Calibri"/>
          <a:cs typeface="Calibri"/>
        </a:defRPr>
      </a:pPr>
      <a:endParaRPr lang="sv-SE"/>
    </a:p>
  </c:txPr>
  <c:printSettings>
    <c:headerFooter alignWithMargins="0"/>
    <c:pageMargins b="1" l="0.75" r="0.75" t="1" header="0.51180555555555551" footer="0.51180555555555551"/>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a:ea typeface="Arial"/>
                <a:cs typeface="Arial"/>
              </a:defRPr>
            </a:pPr>
            <a:r>
              <a:rPr lang="en-US"/>
              <a:t>Result per actor</a:t>
            </a:r>
          </a:p>
        </c:rich>
      </c:tx>
      <c:layout>
        <c:manualLayout>
          <c:xMode val="edge"/>
          <c:yMode val="edge"/>
          <c:x val="0.3502938767943875"/>
          <c:y val="4.4776336949709214E-2"/>
        </c:manualLayout>
      </c:layout>
      <c:overlay val="0"/>
      <c:spPr>
        <a:noFill/>
        <a:ln w="25400">
          <a:noFill/>
        </a:ln>
      </c:spPr>
    </c:title>
    <c:autoTitleDeleted val="0"/>
    <c:plotArea>
      <c:layout>
        <c:manualLayout>
          <c:layoutTarget val="inner"/>
          <c:xMode val="edge"/>
          <c:yMode val="edge"/>
          <c:x val="0.17025456581626658"/>
          <c:y val="0.33333495284783526"/>
          <c:w val="0.8003921542396899"/>
          <c:h val="0.23880713039844914"/>
        </c:manualLayout>
      </c:layout>
      <c:barChart>
        <c:barDir val="col"/>
        <c:grouping val="clustered"/>
        <c:varyColors val="0"/>
        <c:ser>
          <c:idx val="0"/>
          <c:order val="0"/>
          <c:spPr>
            <a:solidFill>
              <a:srgbClr val="4472C4"/>
            </a:solidFill>
            <a:ln w="25400">
              <a:noFill/>
            </a:ln>
          </c:spPr>
          <c:invertIfNegative val="0"/>
          <c:dPt>
            <c:idx val="0"/>
            <c:invertIfNegative val="0"/>
            <c:bubble3D val="0"/>
            <c:spPr>
              <a:solidFill>
                <a:srgbClr val="70AD47"/>
              </a:solidFill>
              <a:ln w="25400">
                <a:noFill/>
              </a:ln>
            </c:spPr>
            <c:extLst>
              <c:ext xmlns:c16="http://schemas.microsoft.com/office/drawing/2014/chart" uri="{C3380CC4-5D6E-409C-BE32-E72D297353CC}">
                <c16:uniqueId val="{00000001-BF91-4873-AADB-5F2B5C1AD37E}"/>
              </c:ext>
            </c:extLst>
          </c:dPt>
          <c:dPt>
            <c:idx val="1"/>
            <c:invertIfNegative val="0"/>
            <c:bubble3D val="0"/>
            <c:spPr>
              <a:solidFill>
                <a:srgbClr val="ED7D31"/>
              </a:solidFill>
              <a:ln w="25400">
                <a:noFill/>
              </a:ln>
            </c:spPr>
            <c:extLst>
              <c:ext xmlns:c16="http://schemas.microsoft.com/office/drawing/2014/chart" uri="{C3380CC4-5D6E-409C-BE32-E72D297353CC}">
                <c16:uniqueId val="{00000003-BF91-4873-AADB-5F2B5C1AD37E}"/>
              </c:ext>
            </c:extLst>
          </c:dPt>
          <c:dPt>
            <c:idx val="2"/>
            <c:invertIfNegative val="0"/>
            <c:bubble3D val="0"/>
            <c:spPr>
              <a:solidFill>
                <a:srgbClr val="A5A5A5"/>
              </a:solidFill>
              <a:ln w="25400">
                <a:noFill/>
              </a:ln>
            </c:spPr>
            <c:extLst>
              <c:ext xmlns:c16="http://schemas.microsoft.com/office/drawing/2014/chart" uri="{C3380CC4-5D6E-409C-BE32-E72D297353CC}">
                <c16:uniqueId val="{00000005-BF91-4873-AADB-5F2B5C1AD37E}"/>
              </c:ext>
            </c:extLst>
          </c:dPt>
          <c:dPt>
            <c:idx val="3"/>
            <c:invertIfNegative val="0"/>
            <c:bubble3D val="0"/>
            <c:spPr>
              <a:solidFill>
                <a:srgbClr val="FFC000"/>
              </a:solidFill>
              <a:ln w="25400">
                <a:noFill/>
              </a:ln>
            </c:spPr>
            <c:extLst>
              <c:ext xmlns:c16="http://schemas.microsoft.com/office/drawing/2014/chart" uri="{C3380CC4-5D6E-409C-BE32-E72D297353CC}">
                <c16:uniqueId val="{00000007-BF91-4873-AADB-5F2B5C1AD37E}"/>
              </c:ext>
            </c:extLst>
          </c:dPt>
          <c:dPt>
            <c:idx val="4"/>
            <c:invertIfNegative val="0"/>
            <c:bubble3D val="0"/>
            <c:spPr>
              <a:solidFill>
                <a:srgbClr val="5B9BD5"/>
              </a:solidFill>
              <a:ln w="25400">
                <a:noFill/>
              </a:ln>
            </c:spPr>
            <c:extLst>
              <c:ext xmlns:c16="http://schemas.microsoft.com/office/drawing/2014/chart" uri="{C3380CC4-5D6E-409C-BE32-E72D297353CC}">
                <c16:uniqueId val="{00000009-BF91-4873-AADB-5F2B5C1AD37E}"/>
              </c:ext>
            </c:extLst>
          </c:dPt>
          <c:cat>
            <c:strRef>
              <c:f>'Calculation model'!$P$26:$P$32</c:f>
              <c:strCache>
                <c:ptCount val="7"/>
                <c:pt idx="0">
                  <c:v>Operator</c:v>
                </c:pt>
                <c:pt idx="1">
                  <c:v>Swedish Transport Administration</c:v>
                </c:pt>
                <c:pt idx="2">
                  <c:v>Haulage contractor</c:v>
                </c:pt>
                <c:pt idx="3">
                  <c:v>Electricity grid operator</c:v>
                </c:pt>
                <c:pt idx="4">
                  <c:v>Electricity supplier</c:v>
                </c:pt>
                <c:pt idx="5">
                  <c:v>Vehicle manufacturer</c:v>
                </c:pt>
                <c:pt idx="6">
                  <c:v>The State</c:v>
                </c:pt>
              </c:strCache>
            </c:strRef>
          </c:cat>
          <c:val>
            <c:numRef>
              <c:f>'Calculation model'!$U$26:$U$32</c:f>
              <c:numCache>
                <c:formatCode>#,##0</c:formatCode>
                <c:ptCount val="7"/>
                <c:pt idx="0">
                  <c:v>-16348687.441037741</c:v>
                </c:pt>
                <c:pt idx="1">
                  <c:v>-4125000.0000000009</c:v>
                </c:pt>
                <c:pt idx="2">
                  <c:v>-3903971.5624999981</c:v>
                </c:pt>
                <c:pt idx="3">
                  <c:v>-10443046.875</c:v>
                </c:pt>
                <c:pt idx="4">
                  <c:v>0</c:v>
                </c:pt>
                <c:pt idx="5">
                  <c:v>0</c:v>
                </c:pt>
                <c:pt idx="6">
                  <c:v>-1520077.2890625005</c:v>
                </c:pt>
              </c:numCache>
            </c:numRef>
          </c:val>
          <c:extLst>
            <c:ext xmlns:c16="http://schemas.microsoft.com/office/drawing/2014/chart" uri="{C3380CC4-5D6E-409C-BE32-E72D297353CC}">
              <c16:uniqueId val="{0000000A-BF91-4873-AADB-5F2B5C1AD37E}"/>
            </c:ext>
          </c:extLst>
        </c:ser>
        <c:dLbls>
          <c:showLegendKey val="0"/>
          <c:showVal val="0"/>
          <c:showCatName val="0"/>
          <c:showSerName val="0"/>
          <c:showPercent val="0"/>
          <c:showBubbleSize val="0"/>
        </c:dLbls>
        <c:gapWidth val="219"/>
        <c:overlap val="-27"/>
        <c:axId val="159261440"/>
        <c:axId val="159262976"/>
      </c:barChart>
      <c:catAx>
        <c:axId val="159261440"/>
        <c:scaling>
          <c:orientation val="minMax"/>
        </c:scaling>
        <c:delete val="0"/>
        <c:axPos val="b"/>
        <c:numFmt formatCode="General" sourceLinked="1"/>
        <c:majorTickMark val="none"/>
        <c:minorTickMark val="none"/>
        <c:tickLblPos val="low"/>
        <c:spPr>
          <a:ln w="12700">
            <a:solidFill>
              <a:srgbClr val="D9D9D9"/>
            </a:solidFill>
            <a:prstDash val="solid"/>
          </a:ln>
        </c:spPr>
        <c:txPr>
          <a:bodyPr rot="-5400000" vert="horz"/>
          <a:lstStyle/>
          <a:p>
            <a:pPr>
              <a:defRPr sz="800" b="0" i="0" u="none" strike="noStrike" baseline="0">
                <a:solidFill>
                  <a:srgbClr val="000000"/>
                </a:solidFill>
                <a:latin typeface="Arial"/>
                <a:ea typeface="Arial"/>
                <a:cs typeface="Arial"/>
              </a:defRPr>
            </a:pPr>
            <a:endParaRPr lang="sv-SE"/>
          </a:p>
        </c:txPr>
        <c:crossAx val="159262976"/>
        <c:crossesAt val="0"/>
        <c:auto val="1"/>
        <c:lblAlgn val="ctr"/>
        <c:lblOffset val="100"/>
        <c:tickLblSkip val="1"/>
        <c:tickMarkSkip val="1"/>
        <c:noMultiLvlLbl val="0"/>
      </c:catAx>
      <c:valAx>
        <c:axId val="159262976"/>
        <c:scaling>
          <c:orientation val="minMax"/>
        </c:scaling>
        <c:delete val="0"/>
        <c:axPos val="l"/>
        <c:majorGridlines>
          <c:spPr>
            <a:ln w="12700">
              <a:solidFill>
                <a:srgbClr val="D9D9D9"/>
              </a:solidFill>
              <a:prstDash val="solid"/>
            </a:ln>
          </c:spPr>
        </c:majorGridlines>
        <c:numFmt formatCode="#,##0" sourceLinked="0"/>
        <c:majorTickMark val="none"/>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sv-SE"/>
          </a:p>
        </c:txPr>
        <c:crossAx val="159261440"/>
        <c:crossesAt val="1"/>
        <c:crossBetween val="between"/>
      </c:valAx>
      <c:spPr>
        <a:noFill/>
        <a:ln w="25400">
          <a:noFill/>
        </a:ln>
      </c:spPr>
    </c:plotArea>
    <c:plotVisOnly val="1"/>
    <c:dispBlanksAs val="gap"/>
    <c:showDLblsOverMax val="0"/>
  </c:chart>
  <c:spPr>
    <a:solidFill>
      <a:srgbClr val="FFFFFF"/>
    </a:solidFill>
    <a:ln w="25400">
      <a:solidFill>
        <a:srgbClr val="000000"/>
      </a:solidFill>
      <a:prstDash val="solid"/>
    </a:ln>
  </c:spPr>
  <c:txPr>
    <a:bodyPr/>
    <a:lstStyle/>
    <a:p>
      <a:pPr>
        <a:defRPr sz="1100" b="0" i="0" u="none" strike="noStrike" baseline="0">
          <a:solidFill>
            <a:srgbClr val="000000"/>
          </a:solidFill>
          <a:latin typeface="Calibri"/>
          <a:ea typeface="Calibri"/>
          <a:cs typeface="Calibri"/>
        </a:defRPr>
      </a:pPr>
      <a:endParaRPr lang="sv-SE"/>
    </a:p>
  </c:txPr>
  <c:printSettings>
    <c:headerFooter alignWithMargins="0"/>
    <c:pageMargins b="1" l="0.75" r="0.75" t="1" header="0.51180555555555551" footer="0.51180555555555551"/>
    <c:pageSetup firstPageNumber="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a:ea typeface="Arial"/>
                <a:cs typeface="Arial"/>
              </a:defRPr>
            </a:pPr>
            <a:r>
              <a:rPr lang="en-US"/>
              <a:t>Reduced emissions (tonnes CO2/year)</a:t>
            </a:r>
          </a:p>
        </c:rich>
      </c:tx>
      <c:layout>
        <c:manualLayout>
          <c:xMode val="edge"/>
          <c:yMode val="edge"/>
          <c:x val="0.13815789473684212"/>
          <c:y val="2.9850746268656716E-2"/>
        </c:manualLayout>
      </c:layout>
      <c:overlay val="0"/>
      <c:spPr>
        <a:noFill/>
        <a:ln w="25400">
          <a:noFill/>
        </a:ln>
      </c:spPr>
    </c:title>
    <c:autoTitleDeleted val="0"/>
    <c:plotArea>
      <c:layout>
        <c:manualLayout>
          <c:layoutTarget val="inner"/>
          <c:xMode val="edge"/>
          <c:yMode val="edge"/>
          <c:x val="0.38815789473684209"/>
          <c:y val="0.23880597014925373"/>
          <c:w val="0.51315789473684215"/>
          <c:h val="0.67537313432835822"/>
        </c:manualLayout>
      </c:layout>
      <c:barChart>
        <c:barDir val="col"/>
        <c:grouping val="clustered"/>
        <c:varyColors val="0"/>
        <c:ser>
          <c:idx val="0"/>
          <c:order val="0"/>
          <c:tx>
            <c:strRef>
              <c:f>'Calculation model'!$U$17</c:f>
              <c:strCache>
                <c:ptCount val="1"/>
                <c:pt idx="0">
                  <c:v>Annual emissions reduction if selected ERS section is electrified (tonnes CO2)</c:v>
                </c:pt>
              </c:strCache>
            </c:strRef>
          </c:tx>
          <c:spPr>
            <a:solidFill>
              <a:srgbClr val="4472C4"/>
            </a:solidFill>
            <a:ln w="25400">
              <a:noFill/>
            </a:ln>
          </c:spPr>
          <c:invertIfNegative val="0"/>
          <c:dPt>
            <c:idx val="0"/>
            <c:invertIfNegative val="0"/>
            <c:bubble3D val="0"/>
            <c:spPr>
              <a:solidFill>
                <a:srgbClr val="808080"/>
              </a:solidFill>
              <a:ln w="25400">
                <a:noFill/>
              </a:ln>
            </c:spPr>
            <c:extLst>
              <c:ext xmlns:c16="http://schemas.microsoft.com/office/drawing/2014/chart" uri="{C3380CC4-5D6E-409C-BE32-E72D297353CC}">
                <c16:uniqueId val="{00000001-A6BD-433E-ACD0-D9008A48D53B}"/>
              </c:ext>
            </c:extLst>
          </c:dPt>
          <c:val>
            <c:numRef>
              <c:f>'Calculation model'!$U$20</c:f>
              <c:numCache>
                <c:formatCode>#,##0</c:formatCode>
                <c:ptCount val="1"/>
                <c:pt idx="0">
                  <c:v>1286.625</c:v>
                </c:pt>
              </c:numCache>
            </c:numRef>
          </c:val>
          <c:extLst>
            <c:ext xmlns:c16="http://schemas.microsoft.com/office/drawing/2014/chart" uri="{C3380CC4-5D6E-409C-BE32-E72D297353CC}">
              <c16:uniqueId val="{00000002-A6BD-433E-ACD0-D9008A48D53B}"/>
            </c:ext>
          </c:extLst>
        </c:ser>
        <c:dLbls>
          <c:showLegendKey val="0"/>
          <c:showVal val="0"/>
          <c:showCatName val="0"/>
          <c:showSerName val="0"/>
          <c:showPercent val="0"/>
          <c:showBubbleSize val="0"/>
        </c:dLbls>
        <c:gapWidth val="219"/>
        <c:overlap val="-27"/>
        <c:axId val="159974528"/>
        <c:axId val="159976064"/>
      </c:barChart>
      <c:catAx>
        <c:axId val="159974528"/>
        <c:scaling>
          <c:orientation val="minMax"/>
        </c:scaling>
        <c:delete val="0"/>
        <c:axPos val="b"/>
        <c:numFmt formatCode="General" sourceLinked="1"/>
        <c:majorTickMark val="none"/>
        <c:minorTickMark val="none"/>
        <c:tickLblPos val="nextTo"/>
        <c:spPr>
          <a:ln w="12700">
            <a:solidFill>
              <a:srgbClr val="8B8B8B"/>
            </a:solidFill>
            <a:prstDash val="solid"/>
          </a:ln>
        </c:spPr>
        <c:txPr>
          <a:bodyPr rot="0" vert="horz"/>
          <a:lstStyle/>
          <a:p>
            <a:pPr>
              <a:defRPr sz="1000" b="0" i="0" u="none" strike="noStrike" baseline="0">
                <a:solidFill>
                  <a:srgbClr val="000000"/>
                </a:solidFill>
                <a:latin typeface="Arial"/>
                <a:ea typeface="Arial"/>
                <a:cs typeface="Arial"/>
              </a:defRPr>
            </a:pPr>
            <a:endParaRPr lang="sv-SE"/>
          </a:p>
        </c:txPr>
        <c:crossAx val="159976064"/>
        <c:crossesAt val="0"/>
        <c:auto val="1"/>
        <c:lblAlgn val="ctr"/>
        <c:lblOffset val="100"/>
        <c:tickLblSkip val="1"/>
        <c:tickMarkSkip val="1"/>
        <c:noMultiLvlLbl val="0"/>
      </c:catAx>
      <c:valAx>
        <c:axId val="159976064"/>
        <c:scaling>
          <c:orientation val="minMax"/>
        </c:scaling>
        <c:delete val="0"/>
        <c:axPos val="l"/>
        <c:majorGridlines>
          <c:spPr>
            <a:ln w="12700">
              <a:solidFill>
                <a:srgbClr val="D9D9D9"/>
              </a:solidFill>
              <a:prstDash val="solid"/>
            </a:ln>
          </c:spPr>
        </c:majorGridlines>
        <c:numFmt formatCode="#,##0" sourceLinked="0"/>
        <c:majorTickMark val="none"/>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sv-SE"/>
          </a:p>
        </c:txPr>
        <c:crossAx val="159974528"/>
        <c:crossesAt val="1"/>
        <c:crossBetween val="between"/>
      </c:valAx>
      <c:spPr>
        <a:noFill/>
        <a:ln w="25400">
          <a:noFill/>
        </a:ln>
      </c:spPr>
    </c:plotArea>
    <c:plotVisOnly val="1"/>
    <c:dispBlanksAs val="gap"/>
    <c:showDLblsOverMax val="0"/>
  </c:chart>
  <c:spPr>
    <a:solidFill>
      <a:srgbClr val="FFFFFF"/>
    </a:solidFill>
    <a:ln w="25400">
      <a:solidFill>
        <a:srgbClr val="000000"/>
      </a:solidFill>
      <a:prstDash val="solid"/>
    </a:ln>
  </c:spPr>
  <c:txPr>
    <a:bodyPr/>
    <a:lstStyle/>
    <a:p>
      <a:pPr>
        <a:defRPr sz="1100" b="0" i="0" u="none" strike="noStrike" baseline="0">
          <a:solidFill>
            <a:srgbClr val="000000"/>
          </a:solidFill>
          <a:latin typeface="Calibri"/>
          <a:ea typeface="Calibri"/>
          <a:cs typeface="Calibri"/>
        </a:defRPr>
      </a:pPr>
      <a:endParaRPr lang="sv-SE"/>
    </a:p>
  </c:txPr>
  <c:printSettings>
    <c:headerFooter alignWithMargins="0"/>
    <c:pageMargins b="1" l="0.75" r="0.75" t="1" header="0.51180555555555551" footer="0.51180555555555551"/>
    <c:pageSetup firstPageNumber="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180975</xdr:colOff>
      <xdr:row>2</xdr:row>
      <xdr:rowOff>133350</xdr:rowOff>
    </xdr:from>
    <xdr:to>
      <xdr:col>19</xdr:col>
      <xdr:colOff>704850</xdr:colOff>
      <xdr:row>13</xdr:row>
      <xdr:rowOff>152400</xdr:rowOff>
    </xdr:to>
    <xdr:graphicFrame macro="">
      <xdr:nvGraphicFramePr>
        <xdr:cNvPr id="2056"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219075</xdr:colOff>
      <xdr:row>32</xdr:row>
      <xdr:rowOff>38100</xdr:rowOff>
    </xdr:from>
    <xdr:to>
      <xdr:col>21</xdr:col>
      <xdr:colOff>600075</xdr:colOff>
      <xdr:row>33</xdr:row>
      <xdr:rowOff>142875</xdr:rowOff>
    </xdr:to>
    <xdr:sp macro="" textlink="">
      <xdr:nvSpPr>
        <xdr:cNvPr id="2057" name="Arrow: Down 2"/>
        <xdr:cNvSpPr>
          <a:spLocks noChangeArrowheads="1"/>
        </xdr:cNvSpPr>
      </xdr:nvSpPr>
      <xdr:spPr bwMode="auto">
        <a:xfrm>
          <a:off x="17773650" y="5886450"/>
          <a:ext cx="381000" cy="295275"/>
        </a:xfrm>
        <a:custGeom>
          <a:avLst/>
          <a:gdLst>
            <a:gd name="G0" fmla="+- 886 0 0"/>
            <a:gd name="G1" fmla="+- 60864 0 0"/>
            <a:gd name="G2" fmla="*/ G1 1 G0"/>
            <a:gd name="G3" fmla="*/ 50000 65535 1"/>
            <a:gd name="G4" fmla="+- 34464 0 50000"/>
            <a:gd name="G5" fmla="?: G4 50000 34464"/>
            <a:gd name="G6" fmla="?: G3 0 G4"/>
            <a:gd name="G7" fmla="*/ 50000 65535 1"/>
            <a:gd name="G8" fmla="+- G2 0 50000"/>
            <a:gd name="G9" fmla="?: G8 50000 G2"/>
            <a:gd name="G10" fmla="?: G7 0 G8"/>
            <a:gd name="G11" fmla="*/ G0 G10 1"/>
            <a:gd name="G12" fmla="*/ G11 1 34464"/>
            <a:gd name="G13" fmla="+- 886 0 G12"/>
            <a:gd name="G14" fmla="*/ 1121 G6 1"/>
            <a:gd name="G15" fmla="*/ G14 1 3392"/>
            <a:gd name="G16" fmla="*/ 1 1121 2"/>
            <a:gd name="G17" fmla="+- G16 0 G15"/>
            <a:gd name="G18" fmla="+- G16 G15 0"/>
            <a:gd name="G19" fmla="*/ 1 1121 2"/>
            <a:gd name="G20" fmla="*/ G17 G12 1"/>
            <a:gd name="G21" fmla="*/ G20 1 G19"/>
            <a:gd name="G22" fmla="+- G13 G21 0"/>
            <a:gd name="G23" fmla="+- 886 0 0"/>
            <a:gd name="G24" fmla="+- 1121 0 0"/>
          </a:gdLst>
          <a:ahLst/>
          <a:cxnLst>
            <a:cxn ang="0">
              <a:pos x="r" y="vc"/>
            </a:cxn>
            <a:cxn ang="5400000">
              <a:pos x="hc" y="b"/>
            </a:cxn>
            <a:cxn ang="10800000">
              <a:pos x="l" y="vc"/>
            </a:cxn>
            <a:cxn ang="16200000">
              <a:pos x="hc" y="t"/>
            </a:cxn>
          </a:cxnLst>
          <a:rect l="0" t="0" r="0" b="0"/>
          <a:pathLst>
            <a:path>
              <a:moveTo>
                <a:pt x="0" y="886"/>
              </a:moveTo>
              <a:lnTo>
                <a:pt x="561" y="886"/>
              </a:lnTo>
              <a:lnTo>
                <a:pt x="561" y="0"/>
              </a:lnTo>
              <a:lnTo>
                <a:pt x="561" y="886"/>
              </a:lnTo>
              <a:lnTo>
                <a:pt x="1121" y="886"/>
              </a:lnTo>
              <a:lnTo>
                <a:pt x="561" y="886"/>
              </a:lnTo>
              <a:close/>
            </a:path>
          </a:pathLst>
        </a:custGeom>
        <a:solidFill>
          <a:srgbClr val="4472C4"/>
        </a:solidFill>
        <a:ln w="12600" cap="flat">
          <a:solidFill>
            <a:srgbClr val="32549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895350</xdr:colOff>
      <xdr:row>3</xdr:row>
      <xdr:rowOff>9525</xdr:rowOff>
    </xdr:from>
    <xdr:to>
      <xdr:col>26</xdr:col>
      <xdr:colOff>76200</xdr:colOff>
      <xdr:row>13</xdr:row>
      <xdr:rowOff>123825</xdr:rowOff>
    </xdr:to>
    <xdr:graphicFrame macro="">
      <xdr:nvGraphicFramePr>
        <xdr:cNvPr id="2058"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161925</xdr:colOff>
      <xdr:row>2</xdr:row>
      <xdr:rowOff>190500</xdr:rowOff>
    </xdr:from>
    <xdr:to>
      <xdr:col>28</xdr:col>
      <xdr:colOff>752475</xdr:colOff>
      <xdr:row>30</xdr:row>
      <xdr:rowOff>171450</xdr:rowOff>
    </xdr:to>
    <xdr:graphicFrame macro="">
      <xdr:nvGraphicFramePr>
        <xdr:cNvPr id="2059"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190500</xdr:colOff>
      <xdr:row>32</xdr:row>
      <xdr:rowOff>28575</xdr:rowOff>
    </xdr:from>
    <xdr:to>
      <xdr:col>5</xdr:col>
      <xdr:colOff>571500</xdr:colOff>
      <xdr:row>33</xdr:row>
      <xdr:rowOff>95250</xdr:rowOff>
    </xdr:to>
    <xdr:sp macro="" textlink="">
      <xdr:nvSpPr>
        <xdr:cNvPr id="2060" name="Arrow: Down 5"/>
        <xdr:cNvSpPr>
          <a:spLocks noChangeArrowheads="1"/>
        </xdr:cNvSpPr>
      </xdr:nvSpPr>
      <xdr:spPr bwMode="auto">
        <a:xfrm>
          <a:off x="5514975" y="5876925"/>
          <a:ext cx="381000" cy="257175"/>
        </a:xfrm>
        <a:custGeom>
          <a:avLst/>
          <a:gdLst>
            <a:gd name="G0" fmla="+- 747 0 0"/>
            <a:gd name="G1" fmla="+- 54496 0 0"/>
            <a:gd name="G2" fmla="*/ G1 1 G0"/>
            <a:gd name="G3" fmla="*/ 50000 65535 1"/>
            <a:gd name="G4" fmla="+- 34464 0 50000"/>
            <a:gd name="G5" fmla="?: G4 50000 34464"/>
            <a:gd name="G6" fmla="?: G3 0 G4"/>
            <a:gd name="G7" fmla="*/ 50000 65535 1"/>
            <a:gd name="G8" fmla="+- G2 0 50000"/>
            <a:gd name="G9" fmla="?: G8 50000 G2"/>
            <a:gd name="G10" fmla="?: G7 0 G8"/>
            <a:gd name="G11" fmla="*/ G0 G10 1"/>
            <a:gd name="G12" fmla="*/ G11 1 34464"/>
            <a:gd name="G13" fmla="+- 747 0 G12"/>
            <a:gd name="G14" fmla="*/ 1121 G6 1"/>
            <a:gd name="G15" fmla="*/ G14 1 3392"/>
            <a:gd name="G16" fmla="*/ 1 1121 2"/>
            <a:gd name="G17" fmla="+- G16 0 G15"/>
            <a:gd name="G18" fmla="+- G16 G15 0"/>
            <a:gd name="G19" fmla="*/ 1 1121 2"/>
            <a:gd name="G20" fmla="*/ G17 G12 1"/>
            <a:gd name="G21" fmla="*/ G20 1 G19"/>
            <a:gd name="G22" fmla="+- G13 G21 0"/>
            <a:gd name="G23" fmla="+- 747 0 0"/>
            <a:gd name="G24" fmla="+- 1121 0 0"/>
          </a:gdLst>
          <a:ahLst/>
          <a:cxnLst>
            <a:cxn ang="0">
              <a:pos x="r" y="vc"/>
            </a:cxn>
            <a:cxn ang="5400000">
              <a:pos x="hc" y="b"/>
            </a:cxn>
            <a:cxn ang="10800000">
              <a:pos x="l" y="vc"/>
            </a:cxn>
            <a:cxn ang="16200000">
              <a:pos x="hc" y="t"/>
            </a:cxn>
          </a:cxnLst>
          <a:rect l="0" t="0" r="0" b="0"/>
          <a:pathLst>
            <a:path>
              <a:moveTo>
                <a:pt x="0" y="747"/>
              </a:moveTo>
              <a:lnTo>
                <a:pt x="561" y="747"/>
              </a:lnTo>
              <a:lnTo>
                <a:pt x="561" y="0"/>
              </a:lnTo>
              <a:lnTo>
                <a:pt x="561" y="747"/>
              </a:lnTo>
              <a:lnTo>
                <a:pt x="1121" y="747"/>
              </a:lnTo>
              <a:lnTo>
                <a:pt x="561" y="747"/>
              </a:lnTo>
              <a:close/>
            </a:path>
          </a:pathLst>
        </a:custGeom>
        <a:solidFill>
          <a:srgbClr val="4472C4"/>
        </a:solidFill>
        <a:ln w="12600" cap="flat">
          <a:solidFill>
            <a:srgbClr val="32549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0.16983</cdr:x>
      <cdr:y>0.56939</cdr:y>
    </cdr:from>
    <cdr:to>
      <cdr:x>0.16983</cdr:x>
      <cdr:y>0.56939</cdr:y>
    </cdr:to>
    <cdr:sp macro="" textlink="">
      <cdr:nvSpPr>
        <cdr:cNvPr id="5121" name="Text Box 1"/>
        <cdr:cNvSpPr txBox="1">
          <a:spLocks xmlns:a="http://schemas.openxmlformats.org/drawingml/2006/main" noChangeArrowheads="1"/>
        </cdr:cNvSpPr>
      </cdr:nvSpPr>
      <cdr:spPr bwMode="auto">
        <a:xfrm xmlns:a="http://schemas.openxmlformats.org/drawingml/2006/main">
          <a:off x="831388" y="1098702"/>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en-US"/>
        </a:p>
      </cdr:txBody>
    </cdr:sp>
  </cdr:relSizeAnchor>
  <cdr:relSizeAnchor xmlns:cdr="http://schemas.openxmlformats.org/drawingml/2006/chartDrawing">
    <cdr:from>
      <cdr:x>0.16983</cdr:x>
      <cdr:y>0.56939</cdr:y>
    </cdr:from>
    <cdr:to>
      <cdr:x>0.16983</cdr:x>
      <cdr:y>0.56939</cdr:y>
    </cdr:to>
    <cdr:sp macro="" textlink="">
      <cdr:nvSpPr>
        <cdr:cNvPr id="5122" name="Text Box 2"/>
        <cdr:cNvSpPr txBox="1">
          <a:spLocks xmlns:a="http://schemas.openxmlformats.org/drawingml/2006/main" noChangeArrowheads="1"/>
        </cdr:cNvSpPr>
      </cdr:nvSpPr>
      <cdr:spPr bwMode="auto">
        <a:xfrm xmlns:a="http://schemas.openxmlformats.org/drawingml/2006/main">
          <a:off x="831388" y="1098702"/>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en-US"/>
        </a:p>
      </cdr:txBody>
    </cdr:sp>
  </cdr:relSizeAnchor>
  <cdr:relSizeAnchor xmlns:cdr="http://schemas.openxmlformats.org/drawingml/2006/chartDrawing">
    <cdr:from>
      <cdr:x>0.16983</cdr:x>
      <cdr:y>0.56939</cdr:y>
    </cdr:from>
    <cdr:to>
      <cdr:x>0.16983</cdr:x>
      <cdr:y>0.56939</cdr:y>
    </cdr:to>
    <cdr:sp macro="" textlink="">
      <cdr:nvSpPr>
        <cdr:cNvPr id="5123" name="Text Box 3"/>
        <cdr:cNvSpPr txBox="1">
          <a:spLocks xmlns:a="http://schemas.openxmlformats.org/drawingml/2006/main" noChangeArrowheads="1"/>
        </cdr:cNvSpPr>
      </cdr:nvSpPr>
      <cdr:spPr bwMode="auto">
        <a:xfrm xmlns:a="http://schemas.openxmlformats.org/drawingml/2006/main">
          <a:off x="831388" y="1098702"/>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en-US"/>
        </a:p>
      </cdr:txBody>
    </cdr:sp>
  </cdr:relSizeAnchor>
  <cdr:relSizeAnchor xmlns:cdr="http://schemas.openxmlformats.org/drawingml/2006/chartDrawing">
    <cdr:from>
      <cdr:x>0.16983</cdr:x>
      <cdr:y>0.56939</cdr:y>
    </cdr:from>
    <cdr:to>
      <cdr:x>0.16983</cdr:x>
      <cdr:y>0.56939</cdr:y>
    </cdr:to>
    <cdr:sp macro="" textlink="">
      <cdr:nvSpPr>
        <cdr:cNvPr id="5124" name="Text Box 4"/>
        <cdr:cNvSpPr txBox="1">
          <a:spLocks xmlns:a="http://schemas.openxmlformats.org/drawingml/2006/main" noChangeArrowheads="1"/>
        </cdr:cNvSpPr>
      </cdr:nvSpPr>
      <cdr:spPr bwMode="auto">
        <a:xfrm xmlns:a="http://schemas.openxmlformats.org/drawingml/2006/main">
          <a:off x="831388" y="1098702"/>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en-US"/>
        </a:p>
      </cdr:txBody>
    </cdr:sp>
  </cdr:relSizeAnchor>
  <cdr:relSizeAnchor xmlns:cdr="http://schemas.openxmlformats.org/drawingml/2006/chartDrawing">
    <cdr:from>
      <cdr:x>0.16983</cdr:x>
      <cdr:y>0.56939</cdr:y>
    </cdr:from>
    <cdr:to>
      <cdr:x>0.16983</cdr:x>
      <cdr:y>0.56939</cdr:y>
    </cdr:to>
    <cdr:sp macro="" textlink="">
      <cdr:nvSpPr>
        <cdr:cNvPr id="5125" name="Text Box 5"/>
        <cdr:cNvSpPr txBox="1">
          <a:spLocks xmlns:a="http://schemas.openxmlformats.org/drawingml/2006/main" noChangeArrowheads="1"/>
        </cdr:cNvSpPr>
      </cdr:nvSpPr>
      <cdr:spPr bwMode="auto">
        <a:xfrm xmlns:a="http://schemas.openxmlformats.org/drawingml/2006/main">
          <a:off x="831388" y="1098702"/>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en-US"/>
        </a:p>
      </cdr:txBody>
    </cdr:sp>
  </cdr:relSizeAnchor>
</c:userShapes>
</file>

<file path=xl/drawings/drawing3.xml><?xml version="1.0" encoding="utf-8"?>
<c:userShapes xmlns:c="http://schemas.openxmlformats.org/drawingml/2006/chart">
  <cdr:relSizeAnchor xmlns:cdr="http://schemas.openxmlformats.org/drawingml/2006/chartDrawing">
    <cdr:from>
      <cdr:x>0.38551</cdr:x>
      <cdr:y>0.91242</cdr:y>
    </cdr:from>
    <cdr:to>
      <cdr:x>0.38551</cdr:x>
      <cdr:y>0.91242</cdr:y>
    </cdr:to>
    <cdr:sp macro="" textlink="">
      <cdr:nvSpPr>
        <cdr:cNvPr id="6145" name="Text Box 1"/>
        <cdr:cNvSpPr txBox="1">
          <a:spLocks xmlns:a="http://schemas.openxmlformats.org/drawingml/2006/main" noChangeArrowheads="1"/>
        </cdr:cNvSpPr>
      </cdr:nvSpPr>
      <cdr:spPr bwMode="auto">
        <a:xfrm xmlns:a="http://schemas.openxmlformats.org/drawingml/2006/main">
          <a:off x="564983" y="4670156"/>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H30"/>
  <sheetViews>
    <sheetView topLeftCell="A3" workbookViewId="0">
      <selection activeCell="C22" sqref="C22"/>
    </sheetView>
  </sheetViews>
  <sheetFormatPr defaultRowHeight="15" x14ac:dyDescent="0.25"/>
  <cols>
    <col min="1" max="1" width="1.7109375" style="1" customWidth="1"/>
    <col min="2" max="2" width="2.140625" style="1" customWidth="1"/>
    <col min="3" max="3" width="9.140625" style="1"/>
    <col min="4" max="4" width="1.5703125" style="1" customWidth="1"/>
    <col min="5" max="5" width="139.7109375" style="1" customWidth="1"/>
    <col min="6" max="7" width="9.140625" style="1"/>
    <col min="8" max="8" width="2.140625" style="1" customWidth="1"/>
    <col min="9" max="16384" width="9.140625" style="1"/>
  </cols>
  <sheetData>
    <row r="1" spans="1:8" ht="8.25" customHeight="1" x14ac:dyDescent="0.25">
      <c r="A1" s="2"/>
      <c r="B1"/>
      <c r="C1"/>
      <c r="D1"/>
      <c r="E1"/>
      <c r="F1"/>
      <c r="G1"/>
      <c r="H1"/>
    </row>
    <row r="2" spans="1:8" ht="17.25" customHeight="1" x14ac:dyDescent="0.25">
      <c r="B2" s="202" t="s">
        <v>0</v>
      </c>
      <c r="C2" s="202"/>
      <c r="D2" s="202"/>
      <c r="E2" s="202"/>
      <c r="F2" s="202"/>
      <c r="G2" s="202"/>
      <c r="H2" s="202"/>
    </row>
    <row r="3" spans="1:8" ht="7.5" customHeight="1" x14ac:dyDescent="0.25">
      <c r="B3" s="3"/>
      <c r="C3" s="4"/>
      <c r="D3" s="4"/>
      <c r="E3" s="4"/>
      <c r="F3" s="4"/>
      <c r="G3" s="4"/>
      <c r="H3" s="5"/>
    </row>
    <row r="4" spans="1:8" x14ac:dyDescent="0.25">
      <c r="B4" s="3"/>
      <c r="C4" s="203" t="s">
        <v>169</v>
      </c>
      <c r="D4" s="203"/>
      <c r="E4" s="203"/>
      <c r="F4" s="203"/>
      <c r="G4" s="203"/>
      <c r="H4" s="5"/>
    </row>
    <row r="5" spans="1:8" ht="6" customHeight="1" x14ac:dyDescent="0.25">
      <c r="B5" s="3"/>
      <c r="C5" s="6"/>
      <c r="D5" s="4"/>
      <c r="E5" s="4"/>
      <c r="F5" s="4"/>
      <c r="G5" s="4"/>
      <c r="H5" s="5"/>
    </row>
    <row r="6" spans="1:8" ht="13.9" customHeight="1" x14ac:dyDescent="0.25">
      <c r="B6" s="3"/>
      <c r="C6" s="204" t="s">
        <v>176</v>
      </c>
      <c r="D6" s="204"/>
      <c r="E6" s="204"/>
      <c r="F6" s="204"/>
      <c r="G6" s="204"/>
      <c r="H6" s="5"/>
    </row>
    <row r="7" spans="1:8" x14ac:dyDescent="0.25">
      <c r="B7" s="3"/>
      <c r="C7" s="204"/>
      <c r="D7" s="204"/>
      <c r="E7" s="204"/>
      <c r="F7" s="204"/>
      <c r="G7" s="204"/>
      <c r="H7" s="5"/>
    </row>
    <row r="8" spans="1:8" ht="103.5" customHeight="1" x14ac:dyDescent="0.25">
      <c r="B8" s="3"/>
      <c r="C8" s="204"/>
      <c r="D8" s="204"/>
      <c r="E8" s="204"/>
      <c r="F8" s="204"/>
      <c r="G8" s="204"/>
      <c r="H8" s="5"/>
    </row>
    <row r="9" spans="1:8" x14ac:dyDescent="0.25">
      <c r="B9" s="3"/>
      <c r="C9"/>
      <c r="D9" s="4"/>
      <c r="E9" s="4"/>
      <c r="F9" s="4"/>
      <c r="G9" s="4"/>
      <c r="H9" s="5"/>
    </row>
    <row r="10" spans="1:8" x14ac:dyDescent="0.25">
      <c r="B10" s="3"/>
      <c r="C10" s="203" t="s">
        <v>168</v>
      </c>
      <c r="D10" s="203"/>
      <c r="E10" s="203"/>
      <c r="F10" s="203"/>
      <c r="G10" s="203"/>
      <c r="H10" s="5"/>
    </row>
    <row r="11" spans="1:8" ht="6" customHeight="1" x14ac:dyDescent="0.25">
      <c r="B11" s="3"/>
      <c r="C11" s="6"/>
      <c r="D11" s="4"/>
      <c r="E11" s="4"/>
      <c r="F11" s="4"/>
      <c r="G11" s="4"/>
      <c r="H11" s="5"/>
    </row>
    <row r="12" spans="1:8" x14ac:dyDescent="0.25">
      <c r="B12" s="3"/>
      <c r="C12" s="7">
        <v>1</v>
      </c>
      <c r="D12" s="4"/>
      <c r="E12" s="4" t="s">
        <v>175</v>
      </c>
      <c r="F12" s="4"/>
      <c r="G12" s="4"/>
      <c r="H12" s="5"/>
    </row>
    <row r="13" spans="1:8" x14ac:dyDescent="0.25">
      <c r="B13" s="3"/>
      <c r="C13" s="8"/>
      <c r="D13" s="4"/>
      <c r="E13" s="4"/>
      <c r="F13" s="4"/>
      <c r="G13" s="4"/>
      <c r="H13" s="5"/>
    </row>
    <row r="14" spans="1:8" x14ac:dyDescent="0.25">
      <c r="B14" s="3"/>
      <c r="C14" s="7">
        <v>2</v>
      </c>
      <c r="D14" s="4"/>
      <c r="E14" s="4" t="s">
        <v>174</v>
      </c>
      <c r="F14" s="4"/>
      <c r="G14" s="4"/>
      <c r="H14" s="5"/>
    </row>
    <row r="15" spans="1:8" x14ac:dyDescent="0.25">
      <c r="B15" s="3"/>
      <c r="C15" s="8"/>
      <c r="D15" s="4"/>
      <c r="E15" s="4"/>
      <c r="F15" s="4"/>
      <c r="G15" s="4"/>
      <c r="H15" s="5"/>
    </row>
    <row r="16" spans="1:8" x14ac:dyDescent="0.25">
      <c r="B16" s="3"/>
      <c r="C16" s="7">
        <v>3</v>
      </c>
      <c r="D16" s="4"/>
      <c r="E16" s="4" t="s">
        <v>173</v>
      </c>
      <c r="F16" s="4"/>
      <c r="G16" s="4"/>
      <c r="H16" s="5"/>
    </row>
    <row r="17" spans="2:8" x14ac:dyDescent="0.25">
      <c r="B17" s="3"/>
      <c r="C17" s="4"/>
      <c r="D17" s="4"/>
      <c r="E17" s="4"/>
      <c r="F17" s="4"/>
      <c r="G17" s="4"/>
      <c r="H17" s="5"/>
    </row>
    <row r="18" spans="2:8" x14ac:dyDescent="0.25">
      <c r="B18" s="3"/>
      <c r="C18" s="203" t="s">
        <v>167</v>
      </c>
      <c r="D18" s="203"/>
      <c r="E18" s="203"/>
      <c r="F18" s="203"/>
      <c r="G18" s="203"/>
      <c r="H18" s="5"/>
    </row>
    <row r="19" spans="2:8" ht="6" customHeight="1" x14ac:dyDescent="0.25">
      <c r="B19" s="3"/>
      <c r="C19" s="6"/>
      <c r="D19" s="4"/>
      <c r="E19" s="4"/>
      <c r="F19" s="4"/>
      <c r="G19" s="4"/>
      <c r="H19" s="5"/>
    </row>
    <row r="20" spans="2:8" x14ac:dyDescent="0.25">
      <c r="B20" s="3"/>
      <c r="C20" s="9"/>
      <c r="D20"/>
      <c r="E20" s="10" t="s">
        <v>172</v>
      </c>
      <c r="F20" s="11"/>
      <c r="G20" s="12"/>
      <c r="H20" s="5"/>
    </row>
    <row r="21" spans="2:8" x14ac:dyDescent="0.25">
      <c r="B21" s="3"/>
      <c r="C21" s="13"/>
      <c r="D21"/>
      <c r="E21" s="10" t="s">
        <v>171</v>
      </c>
      <c r="F21" s="11"/>
      <c r="G21" s="12"/>
      <c r="H21" s="5"/>
    </row>
    <row r="22" spans="2:8" x14ac:dyDescent="0.25">
      <c r="B22" s="3"/>
      <c r="C22" s="185" t="s">
        <v>135</v>
      </c>
      <c r="D22" s="4"/>
      <c r="E22" s="205" t="s">
        <v>170</v>
      </c>
      <c r="F22" s="205"/>
      <c r="G22" s="205"/>
      <c r="H22" s="5"/>
    </row>
    <row r="23" spans="2:8" x14ac:dyDescent="0.25">
      <c r="B23" s="3"/>
      <c r="C23" s="186" t="s">
        <v>136</v>
      </c>
      <c r="D23" s="4"/>
      <c r="E23" s="205"/>
      <c r="F23" s="205"/>
      <c r="G23" s="205"/>
      <c r="H23" s="5"/>
    </row>
    <row r="24" spans="2:8" x14ac:dyDescent="0.25">
      <c r="B24" s="3"/>
      <c r="C24" s="187" t="s">
        <v>125</v>
      </c>
      <c r="D24" s="4"/>
      <c r="E24" s="205"/>
      <c r="F24" s="205"/>
      <c r="G24" s="205"/>
      <c r="H24" s="5"/>
    </row>
    <row r="25" spans="2:8" x14ac:dyDescent="0.25">
      <c r="B25" s="3"/>
      <c r="C25" s="4"/>
      <c r="D25" s="4"/>
      <c r="E25" s="4"/>
      <c r="F25" s="4"/>
      <c r="G25" s="4"/>
      <c r="H25" s="5"/>
    </row>
    <row r="26" spans="2:8" ht="18.75" customHeight="1" x14ac:dyDescent="0.25">
      <c r="B26" s="3"/>
      <c r="C26" s="201" t="s">
        <v>166</v>
      </c>
      <c r="D26" s="201"/>
      <c r="E26" s="201"/>
      <c r="F26" s="201"/>
      <c r="G26" s="201"/>
      <c r="H26" s="5"/>
    </row>
    <row r="27" spans="2:8" x14ac:dyDescent="0.25">
      <c r="B27" s="14"/>
      <c r="C27" s="15"/>
      <c r="D27" s="15"/>
      <c r="E27" s="15"/>
      <c r="F27" s="15"/>
      <c r="G27" s="15"/>
      <c r="H27" s="16"/>
    </row>
    <row r="28" spans="2:8" x14ac:dyDescent="0.25">
      <c r="C28" s="183"/>
    </row>
    <row r="29" spans="2:8" x14ac:dyDescent="0.25">
      <c r="C29" s="183"/>
    </row>
    <row r="30" spans="2:8" x14ac:dyDescent="0.25">
      <c r="C30" s="183"/>
    </row>
  </sheetData>
  <sheetProtection selectLockedCells="1" selectUnlockedCells="1"/>
  <mergeCells count="7">
    <mergeCell ref="C26:G26"/>
    <mergeCell ref="B2:H2"/>
    <mergeCell ref="C4:G4"/>
    <mergeCell ref="C6:G8"/>
    <mergeCell ref="C10:G10"/>
    <mergeCell ref="C18:G18"/>
    <mergeCell ref="E22:G24"/>
  </mergeCells>
  <conditionalFormatting sqref="C22:C24">
    <cfRule type="cellIs" dxfId="15" priority="1" stopIfTrue="1" operator="equal">
      <formula>"Low"</formula>
    </cfRule>
    <cfRule type="cellIs" dxfId="14" priority="2" stopIfTrue="1" operator="equal">
      <formula>"Medium"</formula>
    </cfRule>
    <cfRule type="cellIs" dxfId="13" priority="3" stopIfTrue="1" operator="equal">
      <formula>"High"</formula>
    </cfRule>
  </conditionalFormatting>
  <dataValidations count="3">
    <dataValidation type="list" allowBlank="1" showErrorMessage="1" sqref="C24">
      <formula1>"Välj,Low,Medium,High"</formula1>
    </dataValidation>
    <dataValidation type="list" allowBlank="1" showErrorMessage="1" sqref="D23">
      <formula1>"Välj,Low,Middle,High"</formula1>
    </dataValidation>
    <dataValidation type="list" allowBlank="1" showErrorMessage="1" sqref="C22 C23">
      <formula1>"Välj,Low,Medium,High"</formula1>
    </dataValidation>
  </dataValidations>
  <pageMargins left="0.7" right="0.7" top="0.75" bottom="0.75" header="0.51180555555555551" footer="0.51180555555555551"/>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9"/>
  </sheetPr>
  <dimension ref="A1:IV191"/>
  <sheetViews>
    <sheetView tabSelected="1" topLeftCell="B10" zoomScale="85" zoomScaleNormal="85" workbookViewId="0">
      <selection activeCell="R28" sqref="R28"/>
    </sheetView>
  </sheetViews>
  <sheetFormatPr defaultRowHeight="15" x14ac:dyDescent="0.25"/>
  <cols>
    <col min="1" max="1" width="2.28515625" style="1" customWidth="1"/>
    <col min="2" max="2" width="11.5703125" style="1" customWidth="1"/>
    <col min="3" max="3" width="36" style="1" customWidth="1"/>
    <col min="4" max="4" width="17.42578125" style="197" customWidth="1"/>
    <col min="5" max="5" width="12.5703125" style="1" customWidth="1"/>
    <col min="6" max="6" width="13.7109375" style="1" customWidth="1"/>
    <col min="7" max="7" width="13" style="1" customWidth="1"/>
    <col min="8" max="8" width="12.5703125" style="1" customWidth="1"/>
    <col min="9" max="9" width="11.5703125" style="1" customWidth="1"/>
    <col min="10" max="10" width="12.140625" style="1" customWidth="1"/>
    <col min="11" max="11" width="10" style="1" customWidth="1"/>
    <col min="12" max="12" width="15.42578125" style="1" customWidth="1"/>
    <col min="13" max="13" width="1.5703125" style="1" customWidth="1"/>
    <col min="14" max="14" width="11.85546875" style="1" customWidth="1"/>
    <col min="15" max="15" width="1.7109375" style="1" customWidth="1"/>
    <col min="16" max="16" width="17.42578125" style="1" customWidth="1"/>
    <col min="17" max="17" width="13.42578125" style="1" customWidth="1"/>
    <col min="18" max="18" width="12.85546875" style="1" customWidth="1"/>
    <col min="19" max="19" width="12.140625" style="1" customWidth="1"/>
    <col min="20" max="20" width="14.42578125" style="1" customWidth="1"/>
    <col min="21" max="21" width="13.5703125" style="1" customWidth="1"/>
    <col min="22" max="22" width="14.140625" style="1" customWidth="1"/>
    <col min="23" max="23" width="1.5703125" style="1" customWidth="1"/>
    <col min="24" max="24" width="12.7109375" style="197" customWidth="1"/>
    <col min="25" max="25" width="13.85546875" style="1" customWidth="1"/>
    <col min="26" max="26" width="15" style="1" customWidth="1"/>
    <col min="27" max="27" width="11.140625" style="1" customWidth="1"/>
    <col min="28" max="28" width="1.7109375" style="1" customWidth="1"/>
    <col min="29" max="29" width="12.7109375" style="1" customWidth="1"/>
    <col min="30" max="31" width="14.85546875" style="1" customWidth="1"/>
    <col min="32" max="32" width="2.7109375" style="1" customWidth="1"/>
    <col min="33" max="16384" width="9.140625" style="1"/>
  </cols>
  <sheetData>
    <row r="1" spans="1:256" ht="11.25" customHeight="1" x14ac:dyDescent="0.25">
      <c r="A1"/>
      <c r="B1"/>
      <c r="C1"/>
      <c r="D1" s="189"/>
      <c r="E1" s="17"/>
      <c r="F1" s="18"/>
      <c r="G1"/>
      <c r="H1"/>
      <c r="I1"/>
      <c r="J1"/>
      <c r="K1"/>
      <c r="L1"/>
      <c r="M1"/>
      <c r="N1"/>
      <c r="O1"/>
      <c r="P1" s="19"/>
      <c r="Q1"/>
      <c r="R1"/>
      <c r="S1"/>
      <c r="T1"/>
      <c r="U1"/>
      <c r="V1"/>
      <c r="W1"/>
      <c r="X1" s="189"/>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5.75" customHeight="1" x14ac:dyDescent="0.25">
      <c r="A2" s="4"/>
      <c r="B2" s="259" t="s">
        <v>1</v>
      </c>
      <c r="C2" s="259"/>
      <c r="D2" s="259"/>
      <c r="E2" s="259"/>
      <c r="F2" s="259"/>
      <c r="G2" s="259"/>
      <c r="H2" s="259"/>
      <c r="I2" s="259"/>
      <c r="J2" s="259"/>
      <c r="K2" s="259"/>
      <c r="L2" s="259"/>
      <c r="M2" s="259"/>
      <c r="N2" s="259"/>
      <c r="O2" s="4"/>
      <c r="P2" s="228" t="s">
        <v>132</v>
      </c>
      <c r="Q2" s="228"/>
      <c r="R2" s="228"/>
      <c r="S2" s="228"/>
      <c r="T2" s="228"/>
      <c r="U2" s="228"/>
      <c r="V2" s="228"/>
      <c r="W2" s="228"/>
      <c r="X2" s="228"/>
      <c r="Y2" s="228"/>
      <c r="Z2" s="228"/>
      <c r="AA2" s="228"/>
      <c r="AB2" s="228"/>
      <c r="AC2" s="228"/>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x14ac:dyDescent="0.25">
      <c r="A3" s="4"/>
      <c r="B3" s="20" t="s">
        <v>2</v>
      </c>
      <c r="C3" s="260" t="s">
        <v>3</v>
      </c>
      <c r="D3" s="260"/>
      <c r="E3" s="21" t="s">
        <v>4</v>
      </c>
      <c r="F3" s="21" t="s">
        <v>5</v>
      </c>
      <c r="G3" s="261" t="s">
        <v>6</v>
      </c>
      <c r="H3" s="261"/>
      <c r="I3" s="261"/>
      <c r="J3" s="261"/>
      <c r="K3" s="261"/>
      <c r="L3" s="261"/>
      <c r="M3" s="261"/>
      <c r="N3" s="261"/>
      <c r="O3" s="4"/>
      <c r="P3" s="3"/>
      <c r="Q3" s="4"/>
      <c r="R3" s="4"/>
      <c r="S3" s="4"/>
      <c r="T3" s="4"/>
      <c r="U3" s="4"/>
      <c r="V3" s="4"/>
      <c r="W3" s="4"/>
      <c r="X3" s="190"/>
      <c r="Y3" s="4"/>
      <c r="Z3" s="4"/>
      <c r="AA3" s="4"/>
      <c r="AB3" s="4"/>
      <c r="AC3" s="5"/>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x14ac:dyDescent="0.25">
      <c r="A4" s="4"/>
      <c r="B4" s="262"/>
      <c r="C4" s="242" t="s">
        <v>7</v>
      </c>
      <c r="D4" s="242"/>
      <c r="E4" s="22">
        <v>365</v>
      </c>
      <c r="F4" s="23" t="s">
        <v>8</v>
      </c>
      <c r="G4" s="263"/>
      <c r="H4" s="263"/>
      <c r="I4" s="263"/>
      <c r="J4" s="263"/>
      <c r="K4" s="263"/>
      <c r="L4" s="263"/>
      <c r="M4" s="263"/>
      <c r="N4" s="263"/>
      <c r="O4" s="24"/>
      <c r="P4" s="3"/>
      <c r="Q4" s="4"/>
      <c r="R4" s="4"/>
      <c r="S4" s="4"/>
      <c r="T4" s="4"/>
      <c r="U4" s="4"/>
      <c r="V4" s="4"/>
      <c r="W4" s="4"/>
      <c r="X4" s="190"/>
      <c r="Y4" s="4"/>
      <c r="Z4" s="4"/>
      <c r="AA4" s="4"/>
      <c r="AB4" s="4"/>
      <c r="AC4" s="5"/>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x14ac:dyDescent="0.25">
      <c r="A5" s="4"/>
      <c r="B5" s="262"/>
      <c r="C5" s="229" t="s">
        <v>9</v>
      </c>
      <c r="D5" s="229"/>
      <c r="E5" s="25">
        <v>25</v>
      </c>
      <c r="F5" s="26" t="s">
        <v>10</v>
      </c>
      <c r="G5" s="230" t="s">
        <v>11</v>
      </c>
      <c r="H5" s="230"/>
      <c r="I5" s="230"/>
      <c r="J5" s="230"/>
      <c r="K5" s="230"/>
      <c r="L5" s="230"/>
      <c r="M5" s="230"/>
      <c r="N5" s="230"/>
      <c r="O5" s="24"/>
      <c r="P5" s="3"/>
      <c r="Q5" s="4"/>
      <c r="R5" s="4"/>
      <c r="S5" s="4"/>
      <c r="T5" s="4"/>
      <c r="U5" s="4"/>
      <c r="V5" s="4"/>
      <c r="W5" s="4"/>
      <c r="X5" s="190"/>
      <c r="Y5" s="4"/>
      <c r="Z5" s="4"/>
      <c r="AA5" s="4"/>
      <c r="AB5" s="4"/>
      <c r="AC5" s="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12.75" customHeight="1" x14ac:dyDescent="0.25">
      <c r="A6" s="4"/>
      <c r="B6" s="262"/>
      <c r="C6" s="232" t="s">
        <v>12</v>
      </c>
      <c r="D6" s="232"/>
      <c r="E6" s="27">
        <v>0.60000000000000009</v>
      </c>
      <c r="F6" s="28" t="s">
        <v>13</v>
      </c>
      <c r="G6" s="233" t="s">
        <v>14</v>
      </c>
      <c r="H6" s="233"/>
      <c r="I6" s="233"/>
      <c r="J6" s="233"/>
      <c r="K6" s="233"/>
      <c r="L6" s="233"/>
      <c r="M6" s="233"/>
      <c r="N6" s="233"/>
      <c r="O6" s="24"/>
      <c r="P6" s="3"/>
      <c r="Q6" s="4"/>
      <c r="R6" s="4"/>
      <c r="S6" s="4"/>
      <c r="T6" s="4"/>
      <c r="U6" s="4"/>
      <c r="V6" s="4"/>
      <c r="W6" s="4"/>
      <c r="X6" s="190"/>
      <c r="Y6" s="4"/>
      <c r="Z6" s="4"/>
      <c r="AA6" s="4"/>
      <c r="AB6" s="4"/>
      <c r="AC6" s="5"/>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12" customHeight="1" x14ac:dyDescent="0.25">
      <c r="A7" s="4"/>
      <c r="B7" s="241" t="s">
        <v>15</v>
      </c>
      <c r="C7" s="256" t="s">
        <v>16</v>
      </c>
      <c r="D7" s="256"/>
      <c r="E7" s="30">
        <f>E10*E4*E5</f>
        <v>1368750</v>
      </c>
      <c r="F7" s="30" t="s">
        <v>17</v>
      </c>
      <c r="G7" s="243" t="s">
        <v>18</v>
      </c>
      <c r="H7" s="243"/>
      <c r="I7" s="243"/>
      <c r="J7" s="243"/>
      <c r="K7" s="243"/>
      <c r="L7" s="243"/>
      <c r="M7" s="243"/>
      <c r="N7" s="243"/>
      <c r="O7" s="24"/>
      <c r="P7" s="3"/>
      <c r="Q7" s="4"/>
      <c r="R7" s="4"/>
      <c r="S7" s="4"/>
      <c r="T7" s="4"/>
      <c r="U7" s="4"/>
      <c r="V7" s="4"/>
      <c r="W7" s="4"/>
      <c r="X7" s="190"/>
      <c r="Y7" s="4"/>
      <c r="Z7" s="4"/>
      <c r="AA7" s="4"/>
      <c r="AB7" s="4"/>
      <c r="AC7" s="5"/>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12" customHeight="1" x14ac:dyDescent="0.25">
      <c r="A8" s="4"/>
      <c r="B8" s="241"/>
      <c r="C8" s="257" t="s">
        <v>19</v>
      </c>
      <c r="D8" s="257"/>
      <c r="E8" s="30">
        <f>E15*E19</f>
        <v>2281249.9999999995</v>
      </c>
      <c r="F8" s="30" t="s">
        <v>17</v>
      </c>
      <c r="G8" s="230" t="s">
        <v>20</v>
      </c>
      <c r="H8" s="230"/>
      <c r="I8" s="230"/>
      <c r="J8" s="230"/>
      <c r="K8" s="230"/>
      <c r="L8" s="230"/>
      <c r="M8" s="230"/>
      <c r="N8" s="230"/>
      <c r="O8" s="24"/>
      <c r="P8" s="3"/>
      <c r="Q8" s="4"/>
      <c r="R8" s="4"/>
      <c r="S8" s="4"/>
      <c r="T8" s="4"/>
      <c r="U8" s="4"/>
      <c r="V8" s="4"/>
      <c r="W8" s="4"/>
      <c r="X8" s="190"/>
      <c r="Y8" s="4"/>
      <c r="Z8" s="4"/>
      <c r="AA8" s="4"/>
      <c r="AB8" s="4"/>
      <c r="AC8" s="5"/>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x14ac:dyDescent="0.25">
      <c r="A9" s="4"/>
      <c r="B9" s="241"/>
      <c r="C9" s="257" t="s">
        <v>21</v>
      </c>
      <c r="D9" s="257"/>
      <c r="E9" s="31">
        <f>E7/(E19*E16)</f>
        <v>1.3449048372358091E-4</v>
      </c>
      <c r="F9" s="31" t="s">
        <v>13</v>
      </c>
      <c r="G9" s="230" t="s">
        <v>22</v>
      </c>
      <c r="H9" s="230"/>
      <c r="I9" s="230"/>
      <c r="J9" s="230"/>
      <c r="K9" s="230"/>
      <c r="L9" s="230"/>
      <c r="M9" s="230"/>
      <c r="N9" s="230"/>
      <c r="O9" s="24"/>
      <c r="P9" s="3"/>
      <c r="Q9" s="4"/>
      <c r="R9" s="4"/>
      <c r="S9" s="4"/>
      <c r="T9" s="4"/>
      <c r="U9" s="4"/>
      <c r="V9" s="4"/>
      <c r="W9" s="4"/>
      <c r="X9" s="190"/>
      <c r="Y9" s="4"/>
      <c r="Z9" s="4"/>
      <c r="AA9" s="4"/>
      <c r="AB9" s="4"/>
      <c r="AC9" s="5"/>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x14ac:dyDescent="0.25">
      <c r="A10" s="4"/>
      <c r="B10" s="241"/>
      <c r="C10" s="229" t="s">
        <v>23</v>
      </c>
      <c r="D10" s="229"/>
      <c r="E10" s="25">
        <v>150</v>
      </c>
      <c r="F10" s="26" t="s">
        <v>24</v>
      </c>
      <c r="G10" s="230" t="s">
        <v>25</v>
      </c>
      <c r="H10" s="230"/>
      <c r="I10" s="230"/>
      <c r="J10" s="230"/>
      <c r="K10" s="230"/>
      <c r="L10" s="230"/>
      <c r="M10" s="230"/>
      <c r="N10" s="230"/>
      <c r="O10" s="24"/>
      <c r="P10" s="3"/>
      <c r="Q10" s="4"/>
      <c r="R10" s="4"/>
      <c r="S10" s="4"/>
      <c r="T10" s="4"/>
      <c r="U10" s="4"/>
      <c r="V10" s="4"/>
      <c r="W10" s="4"/>
      <c r="X10" s="190"/>
      <c r="Y10" s="4"/>
      <c r="Z10" s="4"/>
      <c r="AA10" s="4"/>
      <c r="AB10" s="4"/>
      <c r="AC10" s="5"/>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x14ac:dyDescent="0.25">
      <c r="A11" s="4"/>
      <c r="B11" s="241"/>
      <c r="C11" s="229" t="s">
        <v>26</v>
      </c>
      <c r="D11" s="229"/>
      <c r="E11" s="32">
        <f>((E12)*(E19/E4))/E5</f>
        <v>6.5753424657534252</v>
      </c>
      <c r="F11" s="32" t="s">
        <v>24</v>
      </c>
      <c r="G11" s="230" t="s">
        <v>27</v>
      </c>
      <c r="H11" s="230"/>
      <c r="I11" s="230"/>
      <c r="J11" s="230"/>
      <c r="K11" s="230"/>
      <c r="L11" s="230"/>
      <c r="M11" s="230"/>
      <c r="N11" s="230"/>
      <c r="O11" s="24"/>
      <c r="P11" s="3"/>
      <c r="Q11" s="4"/>
      <c r="R11" s="4"/>
      <c r="S11" s="4"/>
      <c r="T11" s="4"/>
      <c r="U11" s="4"/>
      <c r="V11" s="4"/>
      <c r="W11" s="4"/>
      <c r="X11" s="190"/>
      <c r="Y11" s="4"/>
      <c r="Z11" s="4"/>
      <c r="AA11" s="4"/>
      <c r="AB11" s="4"/>
      <c r="AC11" s="5"/>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x14ac:dyDescent="0.25">
      <c r="A12" s="4"/>
      <c r="B12" s="241"/>
      <c r="C12" s="249" t="s">
        <v>28</v>
      </c>
      <c r="D12" s="249"/>
      <c r="E12" s="33">
        <v>0.60000000000000009</v>
      </c>
      <c r="F12" s="34" t="s">
        <v>13</v>
      </c>
      <c r="G12" s="255" t="s">
        <v>29</v>
      </c>
      <c r="H12" s="255"/>
      <c r="I12" s="255"/>
      <c r="J12" s="255"/>
      <c r="K12" s="255"/>
      <c r="L12" s="255"/>
      <c r="M12" s="255"/>
      <c r="N12" s="255"/>
      <c r="O12" s="24"/>
      <c r="P12" s="3"/>
      <c r="Q12" s="4"/>
      <c r="R12" s="4"/>
      <c r="S12" s="4"/>
      <c r="T12" s="4"/>
      <c r="U12" s="4"/>
      <c r="V12" s="4"/>
      <c r="W12" s="4"/>
      <c r="X12" s="190"/>
      <c r="Y12" s="4"/>
      <c r="Z12" s="4"/>
      <c r="AA12" s="4"/>
      <c r="AB12" s="4"/>
      <c r="AC12" s="5"/>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x14ac:dyDescent="0.25">
      <c r="A13" s="4"/>
      <c r="B13" s="241"/>
      <c r="C13" s="249" t="s">
        <v>30</v>
      </c>
      <c r="D13" s="249"/>
      <c r="E13" s="35">
        <f>(E7/66.25)*3</f>
        <v>61981.132075471694</v>
      </c>
      <c r="F13" s="36" t="s">
        <v>31</v>
      </c>
      <c r="G13" s="230"/>
      <c r="H13" s="230"/>
      <c r="I13" s="230"/>
      <c r="J13" s="230"/>
      <c r="K13" s="230"/>
      <c r="L13" s="230"/>
      <c r="M13" s="230"/>
      <c r="N13" s="230"/>
      <c r="O13" s="24"/>
      <c r="P13" s="3"/>
      <c r="Q13" s="4"/>
      <c r="R13" s="4"/>
      <c r="S13" s="4"/>
      <c r="T13" s="4"/>
      <c r="U13" s="4"/>
      <c r="V13" s="4"/>
      <c r="W13" s="4"/>
      <c r="X13" s="190"/>
      <c r="Y13" s="4"/>
      <c r="Z13" s="4"/>
      <c r="AA13" s="4"/>
      <c r="AB13" s="4"/>
      <c r="AC13" s="5"/>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x14ac:dyDescent="0.25">
      <c r="A14" s="4"/>
      <c r="B14" s="241"/>
      <c r="C14" s="258" t="s">
        <v>32</v>
      </c>
      <c r="D14" s="258"/>
      <c r="E14" s="37">
        <v>0.03</v>
      </c>
      <c r="F14" s="38" t="s">
        <v>33</v>
      </c>
      <c r="G14" s="233"/>
      <c r="H14" s="233"/>
      <c r="I14" s="233"/>
      <c r="J14" s="233"/>
      <c r="K14" s="233"/>
      <c r="L14" s="233"/>
      <c r="M14" s="233"/>
      <c r="N14" s="233"/>
      <c r="O14" s="24"/>
      <c r="P14" s="3"/>
      <c r="Q14" s="4"/>
      <c r="R14" s="4"/>
      <c r="S14" s="4"/>
      <c r="T14" s="4"/>
      <c r="U14" s="4"/>
      <c r="V14" s="4"/>
      <c r="W14" s="4"/>
      <c r="X14" s="190"/>
      <c r="Y14" s="4"/>
      <c r="Z14" s="4"/>
      <c r="AA14" s="4"/>
      <c r="AB14" s="4"/>
      <c r="AC14" s="5"/>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2.75" customHeight="1" x14ac:dyDescent="0.25">
      <c r="A15" s="4"/>
      <c r="B15" s="253" t="s">
        <v>34</v>
      </c>
      <c r="C15" s="242" t="s">
        <v>35</v>
      </c>
      <c r="D15" s="242"/>
      <c r="E15" s="39">
        <f>(E10*E5*E4)/(E12*E19)</f>
        <v>22.812499999999996</v>
      </c>
      <c r="F15" s="39" t="s">
        <v>36</v>
      </c>
      <c r="G15" s="254" t="s">
        <v>37</v>
      </c>
      <c r="H15" s="254"/>
      <c r="I15" s="254"/>
      <c r="J15" s="254"/>
      <c r="K15" s="254"/>
      <c r="L15" s="254"/>
      <c r="M15" s="254"/>
      <c r="N15" s="254"/>
      <c r="O15" s="24"/>
      <c r="P15" s="3"/>
      <c r="Q15" s="4"/>
      <c r="R15" s="4"/>
      <c r="S15" s="4"/>
      <c r="T15" s="4"/>
      <c r="U15" s="4"/>
      <c r="V15" s="4"/>
      <c r="W15" s="4"/>
      <c r="X15" s="190"/>
      <c r="Y15" s="4"/>
      <c r="Z15" s="4"/>
      <c r="AA15" s="4"/>
      <c r="AB15" s="4"/>
      <c r="AC15" s="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x14ac:dyDescent="0.25">
      <c r="A16" s="4"/>
      <c r="B16" s="253"/>
      <c r="C16" s="229" t="s">
        <v>38</v>
      </c>
      <c r="D16" s="229"/>
      <c r="E16" s="40">
        <v>101773</v>
      </c>
      <c r="F16" s="41" t="s">
        <v>36</v>
      </c>
      <c r="G16" s="230" t="s">
        <v>39</v>
      </c>
      <c r="H16" s="230"/>
      <c r="I16" s="230"/>
      <c r="J16" s="230"/>
      <c r="K16" s="230"/>
      <c r="L16" s="230"/>
      <c r="M16" s="230"/>
      <c r="N16" s="230"/>
      <c r="O16" s="24"/>
      <c r="P16" s="250" t="s">
        <v>40</v>
      </c>
      <c r="Q16" s="250"/>
      <c r="R16" s="250"/>
      <c r="S16" s="250"/>
      <c r="T16" s="250"/>
      <c r="U16" s="250"/>
      <c r="V16" s="250"/>
      <c r="W16" s="250"/>
      <c r="X16" s="250"/>
      <c r="Y16" s="250"/>
      <c r="Z16" s="250"/>
      <c r="AA16" s="4"/>
      <c r="AB16" s="4"/>
      <c r="AC16" s="5"/>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2" customHeight="1" x14ac:dyDescent="0.25">
      <c r="A17" s="4"/>
      <c r="B17" s="253"/>
      <c r="C17" s="229" t="s">
        <v>41</v>
      </c>
      <c r="D17" s="229"/>
      <c r="E17" s="42">
        <f>E15/E16</f>
        <v>2.2415080620596814E-4</v>
      </c>
      <c r="F17" s="42" t="s">
        <v>13</v>
      </c>
      <c r="G17" s="230" t="s">
        <v>42</v>
      </c>
      <c r="H17" s="230"/>
      <c r="I17" s="230"/>
      <c r="J17" s="230"/>
      <c r="K17" s="230"/>
      <c r="L17" s="230"/>
      <c r="M17" s="230"/>
      <c r="N17" s="230"/>
      <c r="O17" s="24"/>
      <c r="P17" s="251" t="s">
        <v>43</v>
      </c>
      <c r="Q17" s="251"/>
      <c r="R17" s="251"/>
      <c r="S17" s="235" t="s">
        <v>44</v>
      </c>
      <c r="T17" s="235"/>
      <c r="U17" s="235" t="s">
        <v>45</v>
      </c>
      <c r="V17" s="235"/>
      <c r="W17" s="252" t="s">
        <v>46</v>
      </c>
      <c r="X17" s="252"/>
      <c r="Y17" s="252"/>
      <c r="Z17" s="252"/>
      <c r="AA17" s="4"/>
      <c r="AB17" s="4"/>
      <c r="AC17" s="5"/>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x14ac:dyDescent="0.25">
      <c r="A18" s="4"/>
      <c r="B18" s="253"/>
      <c r="C18" s="229" t="s">
        <v>47</v>
      </c>
      <c r="D18" s="229"/>
      <c r="E18" s="35">
        <v>400000</v>
      </c>
      <c r="F18" s="36" t="s">
        <v>48</v>
      </c>
      <c r="G18" s="230" t="s">
        <v>49</v>
      </c>
      <c r="H18" s="230"/>
      <c r="I18" s="230"/>
      <c r="J18" s="230"/>
      <c r="K18" s="230"/>
      <c r="L18" s="230"/>
      <c r="M18" s="230"/>
      <c r="N18" s="230"/>
      <c r="O18" s="24"/>
      <c r="P18" s="251"/>
      <c r="Q18" s="251"/>
      <c r="R18" s="251"/>
      <c r="S18" s="235"/>
      <c r="T18" s="235"/>
      <c r="U18" s="235"/>
      <c r="V18" s="235"/>
      <c r="W18" s="252"/>
      <c r="X18" s="252"/>
      <c r="Y18" s="252"/>
      <c r="Z18" s="252"/>
      <c r="AA18" s="4"/>
      <c r="AB18" s="4"/>
      <c r="AC18" s="5"/>
      <c r="AD18"/>
      <c r="AE18" s="4"/>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x14ac:dyDescent="0.25">
      <c r="A19" s="4"/>
      <c r="B19" s="253"/>
      <c r="C19" s="232" t="s">
        <v>50</v>
      </c>
      <c r="D19" s="232"/>
      <c r="E19" s="43">
        <v>100000</v>
      </c>
      <c r="F19" s="44" t="s">
        <v>17</v>
      </c>
      <c r="G19" s="233" t="s">
        <v>51</v>
      </c>
      <c r="H19" s="233"/>
      <c r="I19" s="233"/>
      <c r="J19" s="233"/>
      <c r="K19" s="233"/>
      <c r="L19" s="233"/>
      <c r="M19" s="233"/>
      <c r="N19" s="233"/>
      <c r="O19" s="24"/>
      <c r="P19" s="251"/>
      <c r="Q19" s="251"/>
      <c r="R19" s="251"/>
      <c r="S19" s="235"/>
      <c r="T19" s="235"/>
      <c r="U19" s="235"/>
      <c r="V19" s="235"/>
      <c r="W19" s="252"/>
      <c r="X19" s="252"/>
      <c r="Y19" s="252"/>
      <c r="Z19" s="252"/>
      <c r="AA19" s="4"/>
      <c r="AB19" s="4"/>
      <c r="AC19" s="5"/>
      <c r="AD19"/>
      <c r="AE19" s="4"/>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x14ac:dyDescent="0.25">
      <c r="A20" s="4"/>
      <c r="B20" s="241" t="s">
        <v>52</v>
      </c>
      <c r="C20" s="242" t="s">
        <v>53</v>
      </c>
      <c r="D20" s="242"/>
      <c r="E20" s="45">
        <v>13</v>
      </c>
      <c r="F20" s="46" t="s">
        <v>54</v>
      </c>
      <c r="G20" s="243" t="s">
        <v>55</v>
      </c>
      <c r="H20" s="243"/>
      <c r="I20" s="243"/>
      <c r="J20" s="243"/>
      <c r="K20" s="243"/>
      <c r="L20" s="243"/>
      <c r="M20" s="243"/>
      <c r="N20" s="243"/>
      <c r="O20" s="24"/>
      <c r="P20" s="244">
        <f>E19*E15*E33</f>
        <v>2144.3749999999995</v>
      </c>
      <c r="Q20" s="244"/>
      <c r="R20" s="244"/>
      <c r="S20" s="245">
        <f>E19*E15*(1-E12)*E33</f>
        <v>857.74999999999966</v>
      </c>
      <c r="T20" s="245"/>
      <c r="U20" s="245">
        <f>P20-S20</f>
        <v>1286.625</v>
      </c>
      <c r="V20" s="245"/>
      <c r="W20" s="238">
        <f>-(U27+U32)/U20</f>
        <v>4387.5078512095615</v>
      </c>
      <c r="X20" s="238"/>
      <c r="Y20" s="238"/>
      <c r="Z20" s="238"/>
      <c r="AA20" s="4"/>
      <c r="AB20" s="4"/>
      <c r="AC20" s="5"/>
      <c r="AD20"/>
      <c r="AE20" s="4"/>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x14ac:dyDescent="0.25">
      <c r="A21" s="4"/>
      <c r="B21" s="241"/>
      <c r="C21" s="229" t="s">
        <v>56</v>
      </c>
      <c r="D21" s="229"/>
      <c r="E21" s="47">
        <v>0.35</v>
      </c>
      <c r="F21" s="32" t="s">
        <v>57</v>
      </c>
      <c r="G21" s="230" t="s">
        <v>58</v>
      </c>
      <c r="H21" s="230"/>
      <c r="I21" s="230"/>
      <c r="J21" s="230"/>
      <c r="K21" s="230"/>
      <c r="L21" s="230"/>
      <c r="M21" s="230"/>
      <c r="N21" s="230"/>
      <c r="O21" s="48"/>
      <c r="P21" s="3"/>
      <c r="Q21" s="4"/>
      <c r="R21" s="4"/>
      <c r="S21" s="4"/>
      <c r="T21" s="4"/>
      <c r="U21" s="4"/>
      <c r="V21" s="4"/>
      <c r="W21" s="4"/>
      <c r="X21" s="190"/>
      <c r="Y21" s="4"/>
      <c r="Z21" s="4"/>
      <c r="AA21" s="4"/>
      <c r="AB21" s="4"/>
      <c r="AC21" s="5"/>
      <c r="AD21" s="4"/>
      <c r="AE21" s="4"/>
      <c r="AF21" s="4"/>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x14ac:dyDescent="0.25">
      <c r="A22" s="4"/>
      <c r="B22" s="241"/>
      <c r="C22" s="229" t="s">
        <v>59</v>
      </c>
      <c r="D22" s="229"/>
      <c r="E22" s="33">
        <v>0.25</v>
      </c>
      <c r="F22" s="32" t="s">
        <v>13</v>
      </c>
      <c r="G22" s="239"/>
      <c r="H22" s="239"/>
      <c r="I22" s="239"/>
      <c r="J22" s="239"/>
      <c r="K22" s="239"/>
      <c r="L22" s="239"/>
      <c r="M22" s="239"/>
      <c r="N22" s="239"/>
      <c r="O22" s="24"/>
      <c r="P22" s="240" t="s">
        <v>179</v>
      </c>
      <c r="Q22" s="240"/>
      <c r="R22" s="240"/>
      <c r="S22" s="240"/>
      <c r="T22" s="240"/>
      <c r="U22" s="240"/>
      <c r="V22" s="240"/>
      <c r="W22" s="240"/>
      <c r="X22" s="240"/>
      <c r="Y22" s="240"/>
      <c r="Z22" s="240"/>
      <c r="AA22" s="4"/>
      <c r="AB22" s="4"/>
      <c r="AC22" s="5"/>
      <c r="AD22" s="4"/>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2" customHeight="1" x14ac:dyDescent="0.25">
      <c r="A23" s="4"/>
      <c r="B23" s="241"/>
      <c r="C23" s="229" t="s">
        <v>60</v>
      </c>
      <c r="D23" s="229"/>
      <c r="E23" s="33">
        <v>0.34</v>
      </c>
      <c r="F23" s="34" t="s">
        <v>13</v>
      </c>
      <c r="G23" s="230" t="s">
        <v>61</v>
      </c>
      <c r="H23" s="230"/>
      <c r="I23" s="230"/>
      <c r="J23" s="230"/>
      <c r="K23" s="230"/>
      <c r="L23" s="230"/>
      <c r="M23" s="230"/>
      <c r="N23" s="230"/>
      <c r="O23" s="24"/>
      <c r="P23" s="246"/>
      <c r="Q23" s="247" t="s">
        <v>143</v>
      </c>
      <c r="R23" s="247" t="s">
        <v>142</v>
      </c>
      <c r="S23" s="235" t="s">
        <v>91</v>
      </c>
      <c r="T23" s="234" t="s">
        <v>141</v>
      </c>
      <c r="U23" s="235" t="s">
        <v>92</v>
      </c>
      <c r="V23" s="235" t="s">
        <v>140</v>
      </c>
      <c r="W23" s="236" t="s">
        <v>139</v>
      </c>
      <c r="X23" s="236"/>
      <c r="Y23" s="235" t="s">
        <v>138</v>
      </c>
      <c r="Z23" s="248" t="s">
        <v>137</v>
      </c>
      <c r="AA23" s="4"/>
      <c r="AB23" s="4"/>
      <c r="AC23" s="5"/>
      <c r="AD23" s="4"/>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x14ac:dyDescent="0.25">
      <c r="A24" s="4"/>
      <c r="B24" s="241"/>
      <c r="C24" s="249" t="s">
        <v>62</v>
      </c>
      <c r="D24" s="249"/>
      <c r="E24" s="33">
        <v>0.48814504881450493</v>
      </c>
      <c r="F24" s="34" t="s">
        <v>13</v>
      </c>
      <c r="G24" s="230" t="s">
        <v>63</v>
      </c>
      <c r="H24" s="230"/>
      <c r="I24" s="230"/>
      <c r="J24" s="230"/>
      <c r="K24" s="230"/>
      <c r="L24" s="230"/>
      <c r="M24" s="230"/>
      <c r="N24" s="230"/>
      <c r="O24" s="49"/>
      <c r="P24" s="246"/>
      <c r="Q24" s="247"/>
      <c r="R24" s="247"/>
      <c r="S24" s="235"/>
      <c r="T24" s="234"/>
      <c r="U24" s="235"/>
      <c r="V24" s="235"/>
      <c r="W24" s="236"/>
      <c r="X24" s="236"/>
      <c r="Y24" s="235"/>
      <c r="Z24" s="248"/>
      <c r="AA24" s="4"/>
      <c r="AB24" s="4"/>
      <c r="AC24" s="5"/>
      <c r="AD24" s="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x14ac:dyDescent="0.25">
      <c r="A25" s="4"/>
      <c r="B25" s="241"/>
      <c r="C25" s="229" t="s">
        <v>64</v>
      </c>
      <c r="D25" s="229"/>
      <c r="E25" s="32">
        <f>E21*E20</f>
        <v>4.55</v>
      </c>
      <c r="F25" s="32" t="s">
        <v>65</v>
      </c>
      <c r="G25" s="230" t="s">
        <v>177</v>
      </c>
      <c r="H25" s="230"/>
      <c r="I25" s="230"/>
      <c r="J25" s="230"/>
      <c r="K25" s="230"/>
      <c r="L25" s="230"/>
      <c r="M25" s="230"/>
      <c r="N25" s="230"/>
      <c r="O25" s="49"/>
      <c r="P25" s="246"/>
      <c r="Q25" s="247"/>
      <c r="R25" s="247"/>
      <c r="S25" s="235"/>
      <c r="T25" s="234"/>
      <c r="U25" s="235"/>
      <c r="V25" s="235"/>
      <c r="W25" s="236"/>
      <c r="X25" s="236"/>
      <c r="Y25" s="235"/>
      <c r="Z25" s="248"/>
      <c r="AA25" s="4"/>
      <c r="AB25" s="4"/>
      <c r="AC25" s="5"/>
      <c r="AD25" s="4"/>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x14ac:dyDescent="0.25">
      <c r="A26" s="4"/>
      <c r="B26" s="241"/>
      <c r="C26" s="229" t="s">
        <v>66</v>
      </c>
      <c r="D26" s="229"/>
      <c r="E26" s="50">
        <f>(1.8/0.4)*E21</f>
        <v>1.575</v>
      </c>
      <c r="F26" s="51" t="s">
        <v>67</v>
      </c>
      <c r="G26" s="230" t="s">
        <v>68</v>
      </c>
      <c r="H26" s="230"/>
      <c r="I26" s="230"/>
      <c r="J26" s="230"/>
      <c r="K26" s="230"/>
      <c r="L26" s="230"/>
      <c r="M26" s="230"/>
      <c r="N26" s="230"/>
      <c r="O26" s="49"/>
      <c r="P26" s="52" t="s">
        <v>119</v>
      </c>
      <c r="Q26" s="53">
        <f t="shared" ref="Q26:Q31" si="0">SUMIFS($L$41:$L$46,$D$41:$D$46,""&amp;$P26)</f>
        <v>270500000.00000006</v>
      </c>
      <c r="R26" s="53">
        <f t="shared" ref="R26:R31" si="1">SUMIFS($R$41:$R$46,$P$41:$P$46,""&amp;$P26)-SUMIFS($R$41:$R$46,$D$41:$D$46,""&amp;$P26)+SUMIFS($V$41:$V$46,$D$41:$D$46,""&amp;$P26)</f>
        <v>17907500.000000004</v>
      </c>
      <c r="S26" s="53">
        <f t="shared" ref="S26:S31" si="2">SUMIFS($AA$41:$AA$46,$X$41:$X$46,""&amp;$P26)+SUMIFS($Z$41:$Z$46,$X$41:$X$46,""&amp;$P26)</f>
        <v>1558812.5589622641</v>
      </c>
      <c r="T26" s="54">
        <f t="shared" ref="T26:T31" si="3">SUMIFS($Y$41:$Y$46,$X$41:$X$46,""&amp;$P26)*$E$31</f>
        <v>1.1388629588271815</v>
      </c>
      <c r="U26" s="53">
        <f t="shared" ref="U26:U32" si="4">S26-R26</f>
        <v>-16348687.441037741</v>
      </c>
      <c r="V26" s="42">
        <f t="shared" ref="V26:V32" si="5">IFERROR((U26+SUMIFS($T$41:$T$46,$D$41:$D$46,""&amp;$P26))/Q26,"")</f>
        <v>-4.5438770576849308E-2</v>
      </c>
      <c r="W26" s="231">
        <f t="shared" ref="W26:W32" si="6">IFERROR(U26/S26,"")</f>
        <v>-10.487911036540162</v>
      </c>
      <c r="X26" s="231"/>
      <c r="Y26" s="55">
        <f t="shared" ref="Y26:Y31" si="7">IF(U26&lt;0,U26,"")</f>
        <v>-16348687.441037741</v>
      </c>
      <c r="Z26" s="56" t="str">
        <f t="shared" ref="Z26:Z31" si="8">IFERROR(IF(Q26/U26&gt;0,Q26/U26,""),"")</f>
        <v/>
      </c>
      <c r="AA26" s="4"/>
      <c r="AB26" s="4"/>
      <c r="AC26" s="5"/>
      <c r="AD26" s="4"/>
      <c r="AE26" s="4"/>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x14ac:dyDescent="0.25">
      <c r="A27" s="4"/>
      <c r="B27" s="241"/>
      <c r="C27" s="229" t="s">
        <v>69</v>
      </c>
      <c r="D27" s="229"/>
      <c r="E27" s="50">
        <v>0.71700000000000008</v>
      </c>
      <c r="F27" s="51" t="s">
        <v>70</v>
      </c>
      <c r="G27" s="237" t="s">
        <v>71</v>
      </c>
      <c r="H27" s="237"/>
      <c r="I27" s="237"/>
      <c r="J27" s="237"/>
      <c r="K27" s="237"/>
      <c r="L27" s="237"/>
      <c r="M27" s="237"/>
      <c r="N27" s="237"/>
      <c r="O27" s="49"/>
      <c r="P27" s="52" t="s">
        <v>121</v>
      </c>
      <c r="Q27" s="53">
        <f t="shared" si="0"/>
        <v>75000000.000000015</v>
      </c>
      <c r="R27" s="53">
        <f t="shared" si="1"/>
        <v>4125000.0000000009</v>
      </c>
      <c r="S27" s="53">
        <f t="shared" si="2"/>
        <v>0</v>
      </c>
      <c r="T27" s="54">
        <f t="shared" si="3"/>
        <v>0</v>
      </c>
      <c r="U27" s="53">
        <f t="shared" si="4"/>
        <v>-4125000.0000000009</v>
      </c>
      <c r="V27" s="42">
        <f t="shared" si="5"/>
        <v>-4.0000000000000008E-2</v>
      </c>
      <c r="W27" s="231" t="str">
        <f t="shared" si="6"/>
        <v/>
      </c>
      <c r="X27" s="231"/>
      <c r="Y27" s="55">
        <f t="shared" si="7"/>
        <v>-4125000.0000000009</v>
      </c>
      <c r="Z27" s="56" t="str">
        <f t="shared" si="8"/>
        <v/>
      </c>
      <c r="AA27" s="4"/>
      <c r="AB27" s="4"/>
      <c r="AC27" s="5"/>
      <c r="AD27" s="4"/>
      <c r="AE27" s="4"/>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x14ac:dyDescent="0.25">
      <c r="A28" s="4"/>
      <c r="B28" s="241"/>
      <c r="C28" s="229" t="s">
        <v>72</v>
      </c>
      <c r="D28" s="229"/>
      <c r="E28" s="51">
        <f>((E27+E29)*E26)</f>
        <v>1.444275</v>
      </c>
      <c r="F28" s="32" t="s">
        <v>65</v>
      </c>
      <c r="G28" s="230" t="s">
        <v>73</v>
      </c>
      <c r="H28" s="230"/>
      <c r="I28" s="230"/>
      <c r="J28" s="230"/>
      <c r="K28" s="230"/>
      <c r="L28" s="230"/>
      <c r="M28" s="230"/>
      <c r="N28" s="230"/>
      <c r="O28" s="49"/>
      <c r="P28" s="52" t="s">
        <v>123</v>
      </c>
      <c r="Q28" s="53">
        <f t="shared" si="0"/>
        <v>25093749.999999993</v>
      </c>
      <c r="R28" s="53">
        <f t="shared" si="1"/>
        <v>6995601.4062499981</v>
      </c>
      <c r="S28" s="53">
        <f t="shared" si="2"/>
        <v>3091629.84375</v>
      </c>
      <c r="T28" s="54">
        <f t="shared" si="3"/>
        <v>2.2634754178715895</v>
      </c>
      <c r="U28" s="53">
        <f t="shared" si="4"/>
        <v>-3903971.5624999981</v>
      </c>
      <c r="V28" s="42">
        <f t="shared" si="5"/>
        <v>-5.5575454545454504E-2</v>
      </c>
      <c r="W28" s="231">
        <f t="shared" si="6"/>
        <v>-1.2627551679229057</v>
      </c>
      <c r="X28" s="231"/>
      <c r="Y28" s="55">
        <f t="shared" si="7"/>
        <v>-3903971.5624999981</v>
      </c>
      <c r="Z28" s="56" t="str">
        <f t="shared" si="8"/>
        <v/>
      </c>
      <c r="AA28" s="4"/>
      <c r="AB28" s="4"/>
      <c r="AC28" s="5"/>
      <c r="AD28" s="4"/>
      <c r="AE28" s="4"/>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x14ac:dyDescent="0.25">
      <c r="A29" s="4"/>
      <c r="B29" s="241"/>
      <c r="C29" s="229" t="s">
        <v>74</v>
      </c>
      <c r="D29" s="229"/>
      <c r="E29" s="50">
        <v>0.2</v>
      </c>
      <c r="F29" s="32" t="s">
        <v>70</v>
      </c>
      <c r="G29" s="230" t="s">
        <v>51</v>
      </c>
      <c r="H29" s="230"/>
      <c r="I29" s="230"/>
      <c r="J29" s="230"/>
      <c r="K29" s="230"/>
      <c r="L29" s="230"/>
      <c r="M29" s="230"/>
      <c r="N29" s="230"/>
      <c r="O29" s="49"/>
      <c r="P29" s="57" t="s">
        <v>117</v>
      </c>
      <c r="Q29" s="53">
        <f t="shared" si="0"/>
        <v>200000000</v>
      </c>
      <c r="R29" s="53">
        <f t="shared" si="1"/>
        <v>12000000</v>
      </c>
      <c r="S29" s="53">
        <f t="shared" si="2"/>
        <v>1556953.125</v>
      </c>
      <c r="T29" s="54">
        <f t="shared" si="3"/>
        <v>1.1375</v>
      </c>
      <c r="U29" s="53">
        <f t="shared" si="4"/>
        <v>-10443046.875</v>
      </c>
      <c r="V29" s="42">
        <f t="shared" si="5"/>
        <v>-3.7215234375000003E-2</v>
      </c>
      <c r="W29" s="231">
        <f t="shared" si="6"/>
        <v>-6.7073611320186659</v>
      </c>
      <c r="X29" s="231"/>
      <c r="Y29" s="55">
        <f t="shared" si="7"/>
        <v>-10443046.875</v>
      </c>
      <c r="Z29" s="56" t="str">
        <f t="shared" si="8"/>
        <v/>
      </c>
      <c r="AA29" s="4"/>
      <c r="AB29" s="4"/>
      <c r="AC29" s="5"/>
      <c r="AD29" s="4"/>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x14ac:dyDescent="0.25">
      <c r="A30" s="4"/>
      <c r="B30" s="241"/>
      <c r="C30" s="229" t="s">
        <v>75</v>
      </c>
      <c r="D30" s="229"/>
      <c r="E30" s="50">
        <v>0</v>
      </c>
      <c r="F30" s="51" t="s">
        <v>65</v>
      </c>
      <c r="G30" s="230" t="s">
        <v>76</v>
      </c>
      <c r="H30" s="230"/>
      <c r="I30" s="230"/>
      <c r="J30" s="230"/>
      <c r="K30" s="230"/>
      <c r="L30" s="230"/>
      <c r="M30" s="230"/>
      <c r="N30" s="230"/>
      <c r="O30" s="48"/>
      <c r="P30" s="57" t="s">
        <v>133</v>
      </c>
      <c r="Q30" s="53">
        <f t="shared" si="0"/>
        <v>0</v>
      </c>
      <c r="R30" s="53">
        <f t="shared" si="1"/>
        <v>0</v>
      </c>
      <c r="S30" s="53">
        <f t="shared" si="2"/>
        <v>0</v>
      </c>
      <c r="T30" s="54">
        <f t="shared" si="3"/>
        <v>0</v>
      </c>
      <c r="U30" s="53">
        <f t="shared" si="4"/>
        <v>0</v>
      </c>
      <c r="V30" s="42" t="str">
        <f t="shared" si="5"/>
        <v/>
      </c>
      <c r="W30" s="231" t="str">
        <f t="shared" si="6"/>
        <v/>
      </c>
      <c r="X30" s="231"/>
      <c r="Y30" s="55" t="str">
        <f t="shared" si="7"/>
        <v/>
      </c>
      <c r="Z30" s="56" t="str">
        <f t="shared" si="8"/>
        <v/>
      </c>
      <c r="AA30" s="4"/>
      <c r="AB30" s="4"/>
      <c r="AC30" s="5"/>
      <c r="AD30" s="4"/>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x14ac:dyDescent="0.25">
      <c r="A31" s="4"/>
      <c r="B31" s="241"/>
      <c r="C31" s="232" t="s">
        <v>77</v>
      </c>
      <c r="D31" s="232"/>
      <c r="E31" s="58">
        <f>E25+E30</f>
        <v>4.55</v>
      </c>
      <c r="F31" s="58" t="s">
        <v>65</v>
      </c>
      <c r="G31" s="233" t="s">
        <v>78</v>
      </c>
      <c r="H31" s="233"/>
      <c r="I31" s="233"/>
      <c r="J31" s="233"/>
      <c r="K31" s="233"/>
      <c r="L31" s="233"/>
      <c r="M31" s="233"/>
      <c r="N31" s="233"/>
      <c r="O31" s="59"/>
      <c r="P31" s="57" t="s">
        <v>178</v>
      </c>
      <c r="Q31" s="53">
        <f t="shared" si="0"/>
        <v>0</v>
      </c>
      <c r="R31" s="53">
        <f t="shared" si="1"/>
        <v>0</v>
      </c>
      <c r="S31" s="53">
        <f t="shared" si="2"/>
        <v>0</v>
      </c>
      <c r="T31" s="54">
        <f t="shared" si="3"/>
        <v>0</v>
      </c>
      <c r="U31" s="53">
        <f t="shared" si="4"/>
        <v>0</v>
      </c>
      <c r="V31" s="42" t="str">
        <f t="shared" si="5"/>
        <v/>
      </c>
      <c r="W31" s="231" t="str">
        <f t="shared" si="6"/>
        <v/>
      </c>
      <c r="X31" s="231"/>
      <c r="Y31" s="55" t="str">
        <f t="shared" si="7"/>
        <v/>
      </c>
      <c r="Z31" s="56" t="str">
        <f t="shared" si="8"/>
        <v/>
      </c>
      <c r="AA31" s="4"/>
      <c r="AB31" s="4"/>
      <c r="AC31" s="5"/>
      <c r="AD31" s="4"/>
      <c r="AE31" s="4"/>
      <c r="AF31" s="4"/>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5">
      <c r="A32" s="4"/>
      <c r="B32" s="29" t="s">
        <v>79</v>
      </c>
      <c r="C32" s="225" t="s">
        <v>80</v>
      </c>
      <c r="D32" s="225"/>
      <c r="E32" s="60">
        <v>0</v>
      </c>
      <c r="F32" s="61" t="s">
        <v>13</v>
      </c>
      <c r="G32" s="226" t="s">
        <v>81</v>
      </c>
      <c r="H32" s="226"/>
      <c r="I32" s="226"/>
      <c r="J32" s="226"/>
      <c r="K32" s="226"/>
      <c r="L32" s="226"/>
      <c r="M32" s="226"/>
      <c r="N32" s="226"/>
      <c r="O32" s="24"/>
      <c r="P32" s="62" t="s">
        <v>134</v>
      </c>
      <c r="Q32" s="63">
        <f>MIN(MAX(IF(E44="Low",F44,IF(E44="Middle",G44,IF(E44="High",H44,""))),0),E18)*E15</f>
        <v>9124999.9999999981</v>
      </c>
      <c r="R32" s="63">
        <f>(E21*E20*E7*E23*E12)+(E21*E20*E7*E22*E12)</f>
        <v>2204645.6250000005</v>
      </c>
      <c r="S32" s="63">
        <f>(E7*E12*E27*E26*E24)+(E7*E12*E27*E26*E22)</f>
        <v>684568.33593750012</v>
      </c>
      <c r="T32" s="64">
        <f>SUMIFS($AA$41:$AA$46,$X$41:$X$46,""&amp;$P32)+SUMIFS($Y$41:$Y$46,$X$41:$X$46,""&amp;$P32)</f>
        <v>0</v>
      </c>
      <c r="U32" s="63">
        <f t="shared" si="4"/>
        <v>-1520077.2890625005</v>
      </c>
      <c r="V32" s="65">
        <f t="shared" si="5"/>
        <v>-0.16658381250000009</v>
      </c>
      <c r="W32" s="227">
        <f t="shared" si="6"/>
        <v>-2.2204902115152474</v>
      </c>
      <c r="X32" s="227"/>
      <c r="Y32" s="66"/>
      <c r="Z32" s="67" t="str">
        <f>IF(Q32/U32&gt;0,Q32/U32,"")</f>
        <v/>
      </c>
      <c r="AA32" s="4"/>
      <c r="AB32" s="4"/>
      <c r="AC32" s="5"/>
      <c r="AD32" s="4"/>
      <c r="AE32" s="4"/>
      <c r="AF32" s="4"/>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x14ac:dyDescent="0.25">
      <c r="A33" s="4"/>
      <c r="B33" s="68" t="s">
        <v>82</v>
      </c>
      <c r="C33" s="225" t="s">
        <v>83</v>
      </c>
      <c r="D33" s="225"/>
      <c r="E33" s="69">
        <f>(940/1000)/1000</f>
        <v>9.3999999999999997E-4</v>
      </c>
      <c r="F33" s="70" t="s">
        <v>84</v>
      </c>
      <c r="G33" s="226" t="s">
        <v>85</v>
      </c>
      <c r="H33" s="226"/>
      <c r="I33" s="226"/>
      <c r="J33" s="226"/>
      <c r="K33" s="226"/>
      <c r="L33" s="226"/>
      <c r="M33" s="226"/>
      <c r="N33" s="226"/>
      <c r="O33" s="24"/>
      <c r="P33" s="71" t="s">
        <v>86</v>
      </c>
      <c r="Q33" s="72">
        <f>SUM(Q26:Q31)</f>
        <v>570593750</v>
      </c>
      <c r="R33" s="72">
        <f>SUM(R26:R31)</f>
        <v>41028101.40625</v>
      </c>
      <c r="S33" s="72">
        <f>SUM(S26:S31)</f>
        <v>6207395.5277122641</v>
      </c>
      <c r="T33" s="73">
        <f>SUM(T26:T31)</f>
        <v>4.5398383766987713</v>
      </c>
      <c r="U33" s="72">
        <f>SUM(U26:U31)</f>
        <v>-34820705.878537737</v>
      </c>
      <c r="V33" s="72"/>
      <c r="W33" s="72"/>
      <c r="X33" s="191"/>
      <c r="Y33" s="74">
        <f>SUM(Y26:Y31)</f>
        <v>-34820705.878537737</v>
      </c>
      <c r="Z33" s="75" t="str">
        <f>IFERROR(IF(Q33/U33&gt;0,Q33/U33,""),"")</f>
        <v/>
      </c>
      <c r="AA33" s="15"/>
      <c r="AB33" s="15"/>
      <c r="AC33" s="16"/>
      <c r="AD33" s="4"/>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4"/>
      <c r="B34"/>
      <c r="C34"/>
      <c r="D34" s="189"/>
      <c r="E34"/>
      <c r="F34"/>
      <c r="G34"/>
      <c r="H34"/>
      <c r="I34"/>
      <c r="J34"/>
      <c r="K34"/>
      <c r="L34"/>
      <c r="M34"/>
      <c r="N34"/>
      <c r="O34"/>
      <c r="P34" s="4"/>
      <c r="Q34" s="4"/>
      <c r="R34" s="4"/>
      <c r="S34" s="4"/>
      <c r="T34" s="4"/>
      <c r="U34" s="4"/>
      <c r="V34" s="4"/>
      <c r="W34" s="4"/>
      <c r="X34" s="190"/>
      <c r="Y34" s="4"/>
      <c r="Z34" s="4"/>
      <c r="AA34" s="4"/>
      <c r="AB34" s="4"/>
      <c r="AC34" s="4"/>
      <c r="AD34" s="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5">
      <c r="A35" s="4"/>
      <c r="B35"/>
      <c r="C35"/>
      <c r="D35" s="189"/>
      <c r="E35"/>
      <c r="F35" s="76">
        <v>0</v>
      </c>
      <c r="G35"/>
      <c r="H35"/>
      <c r="I35"/>
      <c r="J35"/>
      <c r="K35"/>
      <c r="L35"/>
      <c r="M35"/>
      <c r="N35"/>
      <c r="O35"/>
      <c r="P35" s="4"/>
      <c r="Q35" s="4"/>
      <c r="R35" s="4"/>
      <c r="S35" s="4"/>
      <c r="T35" s="4"/>
      <c r="U35" s="4"/>
      <c r="V35" s="4"/>
      <c r="W35" s="4"/>
      <c r="X35" s="190"/>
      <c r="Y35" s="4"/>
      <c r="Z35" s="4"/>
      <c r="AA35" s="4"/>
      <c r="AB35" s="4"/>
      <c r="AC35" s="4"/>
      <c r="AD35" s="4"/>
      <c r="AE35" s="4"/>
      <c r="AF35" s="4"/>
      <c r="AG35" s="4"/>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5">
      <c r="A36" s="4"/>
      <c r="B36"/>
      <c r="C36"/>
      <c r="D36" s="189"/>
      <c r="E36"/>
      <c r="F36">
        <v>9.0000000000000008E-4</v>
      </c>
      <c r="G36"/>
      <c r="H36"/>
      <c r="I36"/>
      <c r="J36"/>
      <c r="K36"/>
      <c r="L36"/>
      <c r="M36"/>
      <c r="N36"/>
      <c r="O36"/>
      <c r="P36"/>
      <c r="Q36"/>
      <c r="R36"/>
      <c r="S36"/>
      <c r="T36"/>
      <c r="U36"/>
      <c r="V36"/>
      <c r="W36"/>
      <c r="X36" s="189"/>
      <c r="Y36"/>
      <c r="Z36"/>
      <c r="AA36"/>
      <c r="AB36"/>
      <c r="AC36"/>
      <c r="AD36" s="4"/>
      <c r="AE36" s="4"/>
      <c r="AF36" s="4"/>
      <c r="AG36" s="4"/>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15.75" customHeight="1" x14ac:dyDescent="0.25">
      <c r="A37" s="4"/>
      <c r="B37" s="228" t="s">
        <v>87</v>
      </c>
      <c r="C37" s="228"/>
      <c r="D37" s="228"/>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4"/>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15.75" customHeight="1" x14ac:dyDescent="0.25">
      <c r="A38" s="4"/>
      <c r="B38" s="212" t="s">
        <v>88</v>
      </c>
      <c r="C38" s="212"/>
      <c r="D38" s="213" t="s">
        <v>89</v>
      </c>
      <c r="E38" s="213"/>
      <c r="F38" s="213"/>
      <c r="G38" s="213"/>
      <c r="H38" s="213"/>
      <c r="I38" s="213"/>
      <c r="J38" s="213"/>
      <c r="K38" s="213"/>
      <c r="L38" s="213"/>
      <c r="M38" s="4"/>
      <c r="N38" s="214" t="s">
        <v>90</v>
      </c>
      <c r="O38" s="214"/>
      <c r="P38" s="214"/>
      <c r="Q38" s="214"/>
      <c r="R38" s="214"/>
      <c r="S38" s="214"/>
      <c r="T38" s="214"/>
      <c r="U38" s="214"/>
      <c r="V38" s="214"/>
      <c r="W38" s="77"/>
      <c r="X38" s="214" t="s">
        <v>91</v>
      </c>
      <c r="Y38" s="214"/>
      <c r="Z38" s="214"/>
      <c r="AA38" s="214"/>
      <c r="AB38" s="77"/>
      <c r="AC38" s="215" t="s">
        <v>92</v>
      </c>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15" customHeight="1" x14ac:dyDescent="0.25">
      <c r="A39" s="4"/>
      <c r="B39" s="212"/>
      <c r="C39" s="212"/>
      <c r="D39" s="216" t="s">
        <v>93</v>
      </c>
      <c r="E39" s="217" t="s">
        <v>94</v>
      </c>
      <c r="F39" s="218" t="s">
        <v>95</v>
      </c>
      <c r="G39" s="218" t="s">
        <v>96</v>
      </c>
      <c r="H39" s="218" t="s">
        <v>97</v>
      </c>
      <c r="I39" s="218" t="s">
        <v>98</v>
      </c>
      <c r="J39" s="218" t="s">
        <v>99</v>
      </c>
      <c r="K39" s="218" t="s">
        <v>100</v>
      </c>
      <c r="L39" s="220" t="s">
        <v>101</v>
      </c>
      <c r="M39" s="4"/>
      <c r="N39" s="223" t="s">
        <v>102</v>
      </c>
      <c r="O39" s="223"/>
      <c r="P39" s="224" t="s">
        <v>103</v>
      </c>
      <c r="Q39" s="224"/>
      <c r="R39" s="224"/>
      <c r="S39" s="219" t="s">
        <v>104</v>
      </c>
      <c r="T39" s="218" t="s">
        <v>105</v>
      </c>
      <c r="U39" s="218" t="s">
        <v>106</v>
      </c>
      <c r="V39" s="220" t="s">
        <v>107</v>
      </c>
      <c r="W39" s="80"/>
      <c r="X39" s="221" t="s">
        <v>108</v>
      </c>
      <c r="Y39" s="221"/>
      <c r="Z39" s="221"/>
      <c r="AA39" s="222" t="s">
        <v>109</v>
      </c>
      <c r="AB39" s="80"/>
      <c r="AC39" s="215"/>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42" customHeight="1" x14ac:dyDescent="0.25">
      <c r="A40" s="4"/>
      <c r="B40" s="212"/>
      <c r="C40" s="212"/>
      <c r="D40" s="216"/>
      <c r="E40" s="217"/>
      <c r="F40" s="218"/>
      <c r="G40" s="218"/>
      <c r="H40" s="218"/>
      <c r="I40" s="218"/>
      <c r="J40" s="218"/>
      <c r="K40" s="218"/>
      <c r="L40" s="220"/>
      <c r="M40" s="4"/>
      <c r="N40" s="223"/>
      <c r="O40" s="223"/>
      <c r="P40" s="81" t="s">
        <v>110</v>
      </c>
      <c r="Q40" s="78" t="s">
        <v>111</v>
      </c>
      <c r="R40" s="79" t="s">
        <v>112</v>
      </c>
      <c r="S40" s="219"/>
      <c r="T40" s="218"/>
      <c r="U40" s="218"/>
      <c r="V40" s="220"/>
      <c r="W40" s="80"/>
      <c r="X40" s="192" t="s">
        <v>113</v>
      </c>
      <c r="Y40" s="78" t="s">
        <v>114</v>
      </c>
      <c r="Z40" s="79" t="s">
        <v>115</v>
      </c>
      <c r="AA40" s="222"/>
      <c r="AB40" s="80"/>
      <c r="AC40" s="215"/>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x14ac:dyDescent="0.25">
      <c r="A41" s="4"/>
      <c r="B41" s="207" t="s">
        <v>116</v>
      </c>
      <c r="C41" s="207"/>
      <c r="D41" s="193" t="s">
        <v>117</v>
      </c>
      <c r="E41" s="188" t="s">
        <v>125</v>
      </c>
      <c r="F41" s="35">
        <v>4000000</v>
      </c>
      <c r="G41" s="25">
        <v>6000000</v>
      </c>
      <c r="H41" s="25">
        <v>8000000</v>
      </c>
      <c r="I41" s="25">
        <v>40</v>
      </c>
      <c r="J41" s="33">
        <v>0.5</v>
      </c>
      <c r="K41" s="33">
        <v>0.03</v>
      </c>
      <c r="L41" s="82">
        <f>IF(High="Low",(F41*$E$5)-(F41*E5*E32),IF(High="Medium",(G41*$E$5)-(G41*E5*E32),IF(High="High",(H41*$E$5)-(H41*E5*E32),"")))</f>
        <v>200000000</v>
      </c>
      <c r="M41" s="4"/>
      <c r="N41" s="208">
        <f>IFERROR((L41/$I$41),"")</f>
        <v>5000000</v>
      </c>
      <c r="O41" s="208"/>
      <c r="P41" s="199" t="s">
        <v>117</v>
      </c>
      <c r="Q41" s="84">
        <v>0.02</v>
      </c>
      <c r="R41" s="82">
        <f t="shared" ref="R41:R44" si="9">(Q41*L41)</f>
        <v>4000000</v>
      </c>
      <c r="S41" s="85"/>
      <c r="T41" s="26">
        <f t="shared" ref="T41:T44" si="10">IFERROR((K41*J41*L41),"")</f>
        <v>3000000</v>
      </c>
      <c r="U41" s="25"/>
      <c r="V41" s="82">
        <f t="shared" ref="V41:V46" si="11">(N41+T41+S41+U41+R41)</f>
        <v>12000000</v>
      </c>
      <c r="W41" s="86"/>
      <c r="X41" s="193" t="s">
        <v>117</v>
      </c>
      <c r="Y41" s="33">
        <v>0.25</v>
      </c>
      <c r="Z41" s="82">
        <f t="shared" ref="Z41:Z44" si="12">(Y41*$E$7*$E$31)</f>
        <v>1556953.125</v>
      </c>
      <c r="AA41" s="87">
        <v>0</v>
      </c>
      <c r="AB41" s="8"/>
      <c r="AC41" s="83">
        <f t="shared" ref="AC41:AC46" si="13">IFERROR(Z41+AA41-V41,"")</f>
        <v>-10443046.875</v>
      </c>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x14ac:dyDescent="0.25">
      <c r="A42" s="4"/>
      <c r="B42" s="207" t="s">
        <v>118</v>
      </c>
      <c r="C42" s="207"/>
      <c r="D42" s="193" t="s">
        <v>119</v>
      </c>
      <c r="E42" s="188" t="s">
        <v>125</v>
      </c>
      <c r="F42" s="25">
        <v>10000000</v>
      </c>
      <c r="G42" s="25">
        <v>14000000</v>
      </c>
      <c r="H42" s="25">
        <v>18000000</v>
      </c>
      <c r="I42" s="25">
        <v>40</v>
      </c>
      <c r="J42" s="33">
        <v>0.5</v>
      </c>
      <c r="K42" s="33">
        <v>0.03</v>
      </c>
      <c r="L42" s="82">
        <f>IF(E42="Low",(F42*$E$5*$E$6)-(F42*E5*E6*E32),IF(E42="Medium",(G42*$E$5*$E$6)-(G42*E5*E6*E32),IF(E42="High",(H42*$E$5*$E$6)-(H42*E5*E6*E32),"")))</f>
        <v>270000000.00000006</v>
      </c>
      <c r="M42" s="4"/>
      <c r="N42" s="208">
        <f>IFERROR((L42/$I$42),"")</f>
        <v>6750000.0000000019</v>
      </c>
      <c r="O42" s="208"/>
      <c r="P42" s="199" t="s">
        <v>119</v>
      </c>
      <c r="Q42" s="84">
        <v>1.4999999999999999E-2</v>
      </c>
      <c r="R42" s="82">
        <f t="shared" si="9"/>
        <v>4050000.0000000009</v>
      </c>
      <c r="S42" s="85"/>
      <c r="T42" s="26">
        <f t="shared" si="10"/>
        <v>4050000.0000000009</v>
      </c>
      <c r="U42" s="25"/>
      <c r="V42" s="82">
        <f t="shared" si="11"/>
        <v>14850000.000000004</v>
      </c>
      <c r="W42" s="86"/>
      <c r="X42" s="193" t="s">
        <v>119</v>
      </c>
      <c r="Y42" s="33">
        <v>0.25</v>
      </c>
      <c r="Z42" s="82">
        <f t="shared" si="12"/>
        <v>1556953.125</v>
      </c>
      <c r="AA42" s="87">
        <v>0</v>
      </c>
      <c r="AB42" s="8"/>
      <c r="AC42" s="83">
        <f t="shared" si="13"/>
        <v>-13293046.875000004</v>
      </c>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x14ac:dyDescent="0.25">
      <c r="A43" s="4"/>
      <c r="B43" s="207" t="s">
        <v>120</v>
      </c>
      <c r="C43" s="207"/>
      <c r="D43" s="193" t="s">
        <v>121</v>
      </c>
      <c r="E43" s="188" t="s">
        <v>125</v>
      </c>
      <c r="F43" s="35">
        <v>200000</v>
      </c>
      <c r="G43" s="25">
        <v>2500000</v>
      </c>
      <c r="H43" s="25">
        <v>5000000</v>
      </c>
      <c r="I43" s="25">
        <v>40</v>
      </c>
      <c r="J43" s="33">
        <v>0.5</v>
      </c>
      <c r="K43" s="33">
        <v>0.03</v>
      </c>
      <c r="L43" s="82">
        <f>IF(E43="Low",(F43*$E$5*$E$6)-(F43*$E$5*$E$6*E32),IF(E43="Medium",(G43*$E$5*$E$6)-(G43*$E$5*$E$6*E32),IF(E43="High",(H43*$E$5*$E$6)-(H43*$E$5*$E$6*E32),"")))</f>
        <v>75000000.000000015</v>
      </c>
      <c r="M43" s="4"/>
      <c r="N43" s="208">
        <f>IFERROR((L43/$I$43),"")</f>
        <v>1875000.0000000005</v>
      </c>
      <c r="O43" s="208"/>
      <c r="P43" s="199" t="s">
        <v>121</v>
      </c>
      <c r="Q43" s="84">
        <v>1.4999999999999999E-2</v>
      </c>
      <c r="R43" s="82">
        <f t="shared" si="9"/>
        <v>1125000.0000000002</v>
      </c>
      <c r="S43" s="85"/>
      <c r="T43" s="26">
        <f t="shared" si="10"/>
        <v>1125000.0000000002</v>
      </c>
      <c r="U43" s="25"/>
      <c r="V43" s="82">
        <f t="shared" si="11"/>
        <v>4125000.0000000009</v>
      </c>
      <c r="W43" s="86"/>
      <c r="X43" s="193" t="s">
        <v>121</v>
      </c>
      <c r="Y43" s="33">
        <v>0</v>
      </c>
      <c r="Z43" s="82">
        <f t="shared" si="12"/>
        <v>0</v>
      </c>
      <c r="AA43" s="87">
        <v>0</v>
      </c>
      <c r="AB43" s="8"/>
      <c r="AC43" s="83">
        <f t="shared" si="13"/>
        <v>-4125000.0000000009</v>
      </c>
      <c r="AD43" s="88"/>
      <c r="AE43" s="88"/>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x14ac:dyDescent="0.25">
      <c r="A44" s="4"/>
      <c r="B44" s="207" t="s">
        <v>122</v>
      </c>
      <c r="C44" s="207"/>
      <c r="D44" s="193" t="s">
        <v>123</v>
      </c>
      <c r="E44" s="188" t="s">
        <v>125</v>
      </c>
      <c r="F44" s="35">
        <v>115000</v>
      </c>
      <c r="G44" s="35">
        <v>350000</v>
      </c>
      <c r="H44" s="35">
        <v>1500000</v>
      </c>
      <c r="I44" s="35">
        <v>10</v>
      </c>
      <c r="J44" s="33">
        <v>1</v>
      </c>
      <c r="K44" s="33">
        <v>0.1</v>
      </c>
      <c r="L44" s="82">
        <f>MAX(IF(E44="Low",(F44*E15)-(E15*E18),IF(E44="Medium",(G44*E15)-(E15*E18),IF(E44="High",(H44*E15)-(E15*E18),""))),0)</f>
        <v>25093749.999999993</v>
      </c>
      <c r="M44" s="4"/>
      <c r="N44" s="208">
        <f>IFERROR((L44/$I$44),"")</f>
        <v>2509374.9999999991</v>
      </c>
      <c r="O44" s="208"/>
      <c r="P44" s="199" t="s">
        <v>123</v>
      </c>
      <c r="Q44" s="84">
        <v>0</v>
      </c>
      <c r="R44" s="82">
        <f t="shared" si="9"/>
        <v>0</v>
      </c>
      <c r="S44" s="85"/>
      <c r="T44" s="26">
        <f t="shared" si="10"/>
        <v>2509374.9999999995</v>
      </c>
      <c r="U44" s="25"/>
      <c r="V44" s="82">
        <f t="shared" si="11"/>
        <v>5018749.9999999981</v>
      </c>
      <c r="W44" s="86"/>
      <c r="X44" s="193" t="s">
        <v>123</v>
      </c>
      <c r="Y44" s="33">
        <v>0.17900000000000002</v>
      </c>
      <c r="Z44" s="82">
        <f t="shared" si="12"/>
        <v>1114778.4375</v>
      </c>
      <c r="AA44" s="87">
        <v>0</v>
      </c>
      <c r="AB44" s="8"/>
      <c r="AC44" s="83">
        <f t="shared" si="13"/>
        <v>-3903971.5624999981</v>
      </c>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x14ac:dyDescent="0.25">
      <c r="A45" s="4"/>
      <c r="B45" s="207" t="s">
        <v>66</v>
      </c>
      <c r="C45" s="207"/>
      <c r="D45" s="193" t="s">
        <v>123</v>
      </c>
      <c r="E45" s="89"/>
      <c r="F45" s="90"/>
      <c r="G45" s="90"/>
      <c r="H45" s="90"/>
      <c r="I45" s="90"/>
      <c r="J45" s="90"/>
      <c r="K45" s="90"/>
      <c r="L45" s="91"/>
      <c r="M45" s="4"/>
      <c r="N45" s="209"/>
      <c r="O45" s="209"/>
      <c r="P45" s="200"/>
      <c r="Q45" s="92"/>
      <c r="R45" s="91"/>
      <c r="S45" s="93">
        <f>$E$28*$E$7</f>
        <v>1976851.40625</v>
      </c>
      <c r="T45" s="90"/>
      <c r="U45" s="94"/>
      <c r="V45" s="82">
        <f t="shared" si="11"/>
        <v>1976851.40625</v>
      </c>
      <c r="W45" s="86"/>
      <c r="X45" s="193" t="s">
        <v>123</v>
      </c>
      <c r="Y45" s="42">
        <f>Z45/(SUM(Z41:Z46))</f>
        <v>0.31846712480694278</v>
      </c>
      <c r="Z45" s="82">
        <f>S45</f>
        <v>1976851.40625</v>
      </c>
      <c r="AA45" s="87">
        <v>0</v>
      </c>
      <c r="AB45" s="8"/>
      <c r="AC45" s="83">
        <f t="shared" si="13"/>
        <v>0</v>
      </c>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x14ac:dyDescent="0.25">
      <c r="A46" s="4"/>
      <c r="B46" s="210" t="s">
        <v>124</v>
      </c>
      <c r="C46" s="210"/>
      <c r="D46" s="194" t="s">
        <v>119</v>
      </c>
      <c r="E46" s="188" t="s">
        <v>125</v>
      </c>
      <c r="F46" s="95">
        <v>100000</v>
      </c>
      <c r="G46" s="95">
        <v>200000</v>
      </c>
      <c r="H46" s="95">
        <v>500000</v>
      </c>
      <c r="I46" s="95">
        <v>10</v>
      </c>
      <c r="J46" s="96">
        <v>0.5</v>
      </c>
      <c r="K46" s="96">
        <v>0.03</v>
      </c>
      <c r="L46" s="97">
        <f>IF(E46="Low",(F46),IF(E46="Medium",(G46),IF(E46="High",(H46),"")))</f>
        <v>500000</v>
      </c>
      <c r="M46" s="15"/>
      <c r="N46" s="211">
        <f>IFERROR((L46/$I$46),"")</f>
        <v>50000</v>
      </c>
      <c r="O46" s="211"/>
      <c r="P46" s="199" t="s">
        <v>119</v>
      </c>
      <c r="Q46" s="99"/>
      <c r="R46" s="100">
        <v>3000000</v>
      </c>
      <c r="S46" s="101"/>
      <c r="T46" s="44">
        <f>IFERROR((K46*J46*L46),"")</f>
        <v>7500</v>
      </c>
      <c r="U46" s="43"/>
      <c r="V46" s="97">
        <f t="shared" si="11"/>
        <v>3057500</v>
      </c>
      <c r="W46" s="86"/>
      <c r="X46" s="194" t="s">
        <v>119</v>
      </c>
      <c r="Y46" s="102">
        <f>Z46/(SUM(Z41:Z46))</f>
        <v>2.9955139058932261E-4</v>
      </c>
      <c r="Z46" s="103">
        <f>E13*E14</f>
        <v>1859.4339622641508</v>
      </c>
      <c r="AA46" s="104">
        <v>0</v>
      </c>
      <c r="AB46" s="8"/>
      <c r="AC46" s="98">
        <f t="shared" si="13"/>
        <v>-3055640.5660377359</v>
      </c>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s="108" customFormat="1" ht="12" x14ac:dyDescent="0.25">
      <c r="A47" s="105"/>
      <c r="B47" s="105"/>
      <c r="C47" s="105"/>
      <c r="D47" s="198"/>
      <c r="E47" s="106"/>
      <c r="F47" s="105"/>
      <c r="G47" s="105"/>
      <c r="H47" s="105"/>
      <c r="I47" s="105"/>
      <c r="J47" s="105"/>
      <c r="K47" s="105"/>
      <c r="L47" s="105"/>
      <c r="M47" s="19"/>
      <c r="N47" s="107"/>
      <c r="P47" s="106"/>
      <c r="Q47" s="105"/>
      <c r="R47" s="105"/>
      <c r="S47" s="105"/>
      <c r="T47" s="105"/>
      <c r="U47" s="105"/>
      <c r="V47" s="105"/>
      <c r="W47" s="105"/>
      <c r="X47" s="195"/>
      <c r="Y47" s="184">
        <f>SUM(Y41:Y46)</f>
        <v>0.99776667619753223</v>
      </c>
      <c r="Z47" s="109"/>
      <c r="AC47" s="110"/>
      <c r="AD47" s="110"/>
      <c r="AE47" s="105"/>
      <c r="AF47" s="105"/>
    </row>
    <row r="48" spans="1:256" x14ac:dyDescent="0.25">
      <c r="A48" s="105"/>
      <c r="B48" s="4"/>
      <c r="C48" s="4"/>
      <c r="D48" s="190"/>
      <c r="E48" s="106"/>
      <c r="F48" s="4"/>
      <c r="G48" s="4"/>
      <c r="H48" s="4"/>
      <c r="I48" s="4"/>
      <c r="J48" s="4"/>
      <c r="K48" s="4"/>
      <c r="L48" s="4"/>
      <c r="M48" s="19"/>
      <c r="N48" s="4"/>
      <c r="O48"/>
      <c r="P48" s="4"/>
      <c r="Q48" s="4"/>
      <c r="R48" s="4"/>
      <c r="S48" s="4"/>
      <c r="T48" s="105"/>
      <c r="U48" s="105"/>
      <c r="V48" s="105"/>
      <c r="W48" s="105"/>
      <c r="X48" s="196"/>
      <c r="Y48" s="112"/>
      <c r="Z48" s="113"/>
      <c r="AA48" s="111"/>
      <c r="AB48" s="111"/>
      <c r="AC48" s="105"/>
      <c r="AD48" s="105"/>
      <c r="AE48" s="105"/>
      <c r="AF48" s="105"/>
      <c r="AG48" s="105"/>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15" customHeight="1" x14ac:dyDescent="0.25">
      <c r="A49" s="105"/>
      <c r="B49" s="4"/>
      <c r="C49" s="4"/>
      <c r="D49" s="190"/>
      <c r="E49" s="8"/>
      <c r="F49" s="4"/>
      <c r="G49" s="4"/>
      <c r="H49" s="4"/>
      <c r="I49" s="4"/>
      <c r="J49" s="4"/>
      <c r="K49" s="4"/>
      <c r="L49" s="4"/>
      <c r="M49" s="19"/>
      <c r="N49" s="4"/>
      <c r="O49"/>
      <c r="P49" s="4"/>
      <c r="Q49" s="4"/>
      <c r="R49" s="4"/>
      <c r="S49" s="4"/>
      <c r="T49"/>
      <c r="U49" s="110"/>
      <c r="V49" s="105"/>
      <c r="W49" s="105"/>
      <c r="X49" s="206" t="str">
        <f>IF(Y47&gt;1,"User fees allocated too high",IF(Y47&lt;1,"User fees allocated too low",""))</f>
        <v>User fees allocated too low</v>
      </c>
      <c r="Y49" s="206"/>
      <c r="Z49" s="206"/>
      <c r="AA49"/>
      <c r="AB49"/>
      <c r="AC49" s="105"/>
      <c r="AD49" s="105"/>
      <c r="AE49" s="105"/>
      <c r="AF49" s="105"/>
      <c r="AG49" s="105"/>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x14ac:dyDescent="0.25">
      <c r="A50" s="105"/>
      <c r="B50" s="4"/>
      <c r="C50" s="4"/>
      <c r="D50" s="190"/>
      <c r="E50" s="8"/>
      <c r="F50" s="4"/>
      <c r="G50" s="4"/>
      <c r="H50" s="4"/>
      <c r="I50" s="4"/>
      <c r="J50" s="4"/>
      <c r="K50" s="4"/>
      <c r="L50" s="4"/>
      <c r="M50" s="19"/>
      <c r="N50" s="4"/>
      <c r="O50"/>
      <c r="P50" s="4"/>
      <c r="Q50" s="4"/>
      <c r="R50" s="4"/>
      <c r="S50" s="4"/>
      <c r="T50" s="4"/>
      <c r="U50" s="4"/>
      <c r="V50" s="4"/>
      <c r="W50" s="4"/>
      <c r="X50" s="190"/>
      <c r="Y50" s="4"/>
      <c r="Z50" s="4"/>
      <c r="AA50" s="4"/>
      <c r="AB50" s="4"/>
      <c r="AC50" s="4"/>
      <c r="AD50" s="105"/>
      <c r="AE50" s="105"/>
      <c r="AF50" s="105"/>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s="4" customFormat="1" ht="12" x14ac:dyDescent="0.25">
      <c r="D51" s="190"/>
      <c r="E51" s="8"/>
      <c r="X51" s="190"/>
    </row>
    <row r="52" spans="1:256" s="4" customFormat="1" ht="12" x14ac:dyDescent="0.25">
      <c r="D52" s="190"/>
      <c r="X52" s="190"/>
    </row>
    <row r="53" spans="1:256" s="4" customFormat="1" ht="12" x14ac:dyDescent="0.25">
      <c r="D53" s="190"/>
      <c r="X53" s="190"/>
    </row>
    <row r="54" spans="1:256" s="4" customFormat="1" ht="12" x14ac:dyDescent="0.25">
      <c r="D54" s="190"/>
      <c r="X54" s="190"/>
    </row>
    <row r="55" spans="1:256" s="4" customFormat="1" ht="12" x14ac:dyDescent="0.25">
      <c r="D55" s="190"/>
      <c r="X55" s="190"/>
    </row>
    <row r="56" spans="1:256" s="4" customFormat="1" ht="12" x14ac:dyDescent="0.25">
      <c r="D56" s="190"/>
      <c r="X56" s="190"/>
    </row>
    <row r="57" spans="1:256" s="4" customFormat="1" ht="12" x14ac:dyDescent="0.25">
      <c r="D57" s="190"/>
      <c r="X57" s="190"/>
    </row>
    <row r="58" spans="1:256" s="4" customFormat="1" ht="12" x14ac:dyDescent="0.25">
      <c r="D58" s="190"/>
      <c r="X58" s="190"/>
    </row>
    <row r="59" spans="1:256" s="4" customFormat="1" ht="12" x14ac:dyDescent="0.25">
      <c r="D59" s="190"/>
      <c r="X59" s="190"/>
    </row>
    <row r="60" spans="1:256" s="4" customFormat="1" ht="12" x14ac:dyDescent="0.25">
      <c r="D60" s="190"/>
      <c r="X60" s="190"/>
    </row>
    <row r="61" spans="1:256" s="4" customFormat="1" ht="12" x14ac:dyDescent="0.25">
      <c r="D61" s="190"/>
      <c r="X61" s="190"/>
    </row>
    <row r="62" spans="1:256" s="4" customFormat="1" ht="12" x14ac:dyDescent="0.25">
      <c r="D62" s="190"/>
      <c r="X62" s="190"/>
    </row>
    <row r="63" spans="1:256" s="4" customFormat="1" ht="12" x14ac:dyDescent="0.25">
      <c r="D63" s="190"/>
      <c r="X63" s="190"/>
    </row>
    <row r="64" spans="1:256" s="4" customFormat="1" ht="12" x14ac:dyDescent="0.25">
      <c r="D64" s="190"/>
      <c r="X64" s="190"/>
    </row>
    <row r="65" spans="4:24" s="4" customFormat="1" ht="12" x14ac:dyDescent="0.25">
      <c r="D65" s="190"/>
      <c r="X65" s="190"/>
    </row>
    <row r="66" spans="4:24" s="4" customFormat="1" ht="12" x14ac:dyDescent="0.25">
      <c r="D66" s="190"/>
      <c r="X66" s="190"/>
    </row>
    <row r="67" spans="4:24" s="4" customFormat="1" ht="12" x14ac:dyDescent="0.25">
      <c r="D67" s="190"/>
      <c r="X67" s="190"/>
    </row>
    <row r="68" spans="4:24" s="4" customFormat="1" ht="12" x14ac:dyDescent="0.25">
      <c r="D68" s="190"/>
      <c r="X68" s="190"/>
    </row>
    <row r="69" spans="4:24" s="4" customFormat="1" ht="12" x14ac:dyDescent="0.25">
      <c r="D69" s="190"/>
      <c r="X69" s="190"/>
    </row>
    <row r="70" spans="4:24" s="4" customFormat="1" ht="12" x14ac:dyDescent="0.25">
      <c r="D70" s="190"/>
      <c r="X70" s="190"/>
    </row>
    <row r="71" spans="4:24" s="4" customFormat="1" ht="12" x14ac:dyDescent="0.25">
      <c r="D71" s="190"/>
      <c r="X71" s="190"/>
    </row>
    <row r="72" spans="4:24" s="4" customFormat="1" ht="12" x14ac:dyDescent="0.25">
      <c r="D72" s="190"/>
      <c r="X72" s="190"/>
    </row>
    <row r="73" spans="4:24" s="4" customFormat="1" ht="12" x14ac:dyDescent="0.25">
      <c r="D73" s="190"/>
      <c r="X73" s="190"/>
    </row>
    <row r="74" spans="4:24" s="4" customFormat="1" ht="12" x14ac:dyDescent="0.25">
      <c r="D74" s="190"/>
      <c r="X74" s="190"/>
    </row>
    <row r="75" spans="4:24" s="4" customFormat="1" ht="12" x14ac:dyDescent="0.25">
      <c r="D75" s="190"/>
      <c r="X75" s="190"/>
    </row>
    <row r="76" spans="4:24" s="4" customFormat="1" ht="12" x14ac:dyDescent="0.25">
      <c r="D76" s="190"/>
      <c r="X76" s="190"/>
    </row>
    <row r="77" spans="4:24" s="4" customFormat="1" ht="12" x14ac:dyDescent="0.25">
      <c r="D77" s="190"/>
      <c r="X77" s="190"/>
    </row>
    <row r="78" spans="4:24" s="4" customFormat="1" ht="12" x14ac:dyDescent="0.25">
      <c r="D78" s="190"/>
      <c r="X78" s="190"/>
    </row>
    <row r="79" spans="4:24" s="4" customFormat="1" ht="12" x14ac:dyDescent="0.25">
      <c r="D79" s="190"/>
      <c r="X79" s="190"/>
    </row>
    <row r="80" spans="4:24" s="4" customFormat="1" ht="12" x14ac:dyDescent="0.25">
      <c r="D80" s="190"/>
      <c r="P80" s="114"/>
      <c r="Q80" s="114"/>
      <c r="R80" s="114"/>
      <c r="X80" s="190"/>
    </row>
    <row r="81" spans="2:28" s="4" customFormat="1" x14ac:dyDescent="0.25">
      <c r="D81" s="190"/>
      <c r="P81"/>
      <c r="Q81"/>
      <c r="R81"/>
      <c r="X81" s="190"/>
    </row>
    <row r="82" spans="2:28" s="4" customFormat="1" x14ac:dyDescent="0.25">
      <c r="D82" s="190"/>
      <c r="P82"/>
      <c r="Q82"/>
      <c r="R82"/>
      <c r="X82" s="190"/>
    </row>
    <row r="83" spans="2:28" s="4" customFormat="1" x14ac:dyDescent="0.25">
      <c r="D83" s="190"/>
      <c r="P83"/>
      <c r="Q83"/>
      <c r="R83"/>
      <c r="X83" s="190"/>
    </row>
    <row r="84" spans="2:28" s="4" customFormat="1" x14ac:dyDescent="0.25">
      <c r="B84" s="114"/>
      <c r="C84" s="114"/>
      <c r="D84" s="127"/>
      <c r="E84" s="114"/>
      <c r="F84" s="114"/>
      <c r="G84" s="114"/>
      <c r="H84" s="114"/>
      <c r="I84" s="114"/>
      <c r="J84" s="114"/>
      <c r="K84" s="114"/>
      <c r="L84" s="114"/>
      <c r="M84" s="114"/>
      <c r="N84" s="114"/>
      <c r="O84" s="114"/>
      <c r="P84"/>
      <c r="Q84"/>
      <c r="R84"/>
      <c r="X84" s="190"/>
    </row>
    <row r="85" spans="2:28" s="4" customFormat="1" x14ac:dyDescent="0.25">
      <c r="B85"/>
      <c r="C85" s="115"/>
      <c r="D85" s="127"/>
      <c r="E85" s="115"/>
      <c r="F85" s="115"/>
      <c r="G85"/>
      <c r="H85"/>
      <c r="I85"/>
      <c r="J85"/>
      <c r="K85"/>
      <c r="L85"/>
      <c r="M85"/>
      <c r="N85"/>
      <c r="O85"/>
      <c r="P85"/>
      <c r="Q85"/>
      <c r="R85"/>
      <c r="X85" s="190"/>
    </row>
    <row r="86" spans="2:28" s="4" customFormat="1" x14ac:dyDescent="0.25">
      <c r="B86"/>
      <c r="C86"/>
      <c r="D86" s="189"/>
      <c r="E86" s="115"/>
      <c r="F86" s="115"/>
      <c r="G86"/>
      <c r="H86"/>
      <c r="I86"/>
      <c r="J86"/>
      <c r="K86"/>
      <c r="L86"/>
      <c r="M86"/>
      <c r="N86"/>
      <c r="O86"/>
      <c r="P86"/>
      <c r="Q86"/>
      <c r="R86"/>
      <c r="X86" s="190"/>
    </row>
    <row r="87" spans="2:28" s="4" customFormat="1" x14ac:dyDescent="0.25">
      <c r="B87"/>
      <c r="C87" s="114"/>
      <c r="D87" s="127"/>
      <c r="E87" s="116"/>
      <c r="F87" s="116"/>
      <c r="G87"/>
      <c r="H87"/>
      <c r="I87"/>
      <c r="J87"/>
      <c r="K87"/>
      <c r="L87"/>
      <c r="M87"/>
      <c r="N87"/>
      <c r="O87"/>
      <c r="P87"/>
      <c r="Q87"/>
      <c r="R87"/>
      <c r="S87" s="114"/>
      <c r="T87" s="114"/>
      <c r="U87" s="114"/>
      <c r="V87" s="114"/>
      <c r="W87" s="114"/>
      <c r="X87" s="127"/>
      <c r="Y87" s="114"/>
      <c r="Z87" s="114"/>
      <c r="AA87" s="114"/>
      <c r="AB87" s="114"/>
    </row>
    <row r="88" spans="2:28" s="4" customFormat="1" x14ac:dyDescent="0.25">
      <c r="B88"/>
      <c r="C88"/>
      <c r="D88" s="189"/>
      <c r="E88" s="116"/>
      <c r="F88" s="116"/>
      <c r="G88"/>
      <c r="H88"/>
      <c r="I88"/>
      <c r="J88"/>
      <c r="K88"/>
      <c r="L88"/>
      <c r="M88"/>
      <c r="N88"/>
      <c r="O88"/>
      <c r="P88"/>
      <c r="Q88"/>
      <c r="R88"/>
      <c r="S88"/>
      <c r="T88"/>
      <c r="U88"/>
      <c r="V88"/>
      <c r="W88"/>
      <c r="X88" s="189"/>
      <c r="Y88"/>
      <c r="Z88"/>
      <c r="AA88"/>
      <c r="AB88"/>
    </row>
    <row r="89" spans="2:28" s="4" customFormat="1" x14ac:dyDescent="0.25">
      <c r="B89"/>
      <c r="C89" s="117"/>
      <c r="D89" s="189"/>
      <c r="E89"/>
      <c r="F89"/>
      <c r="G89"/>
      <c r="H89"/>
      <c r="I89"/>
      <c r="J89"/>
      <c r="K89"/>
      <c r="L89"/>
      <c r="M89"/>
      <c r="N89"/>
      <c r="O89"/>
      <c r="P89"/>
      <c r="Q89"/>
      <c r="R89"/>
      <c r="S89"/>
      <c r="T89"/>
      <c r="U89"/>
      <c r="V89"/>
      <c r="W89"/>
      <c r="X89" s="189"/>
      <c r="Y89"/>
      <c r="Z89"/>
      <c r="AA89"/>
      <c r="AB89"/>
    </row>
    <row r="90" spans="2:28" s="4" customFormat="1" x14ac:dyDescent="0.25">
      <c r="B90"/>
      <c r="C90" s="117"/>
      <c r="D90" s="189"/>
      <c r="E90"/>
      <c r="F90"/>
      <c r="G90"/>
      <c r="H90"/>
      <c r="I90"/>
      <c r="J90"/>
      <c r="K90"/>
      <c r="L90"/>
      <c r="M90"/>
      <c r="N90"/>
      <c r="O90"/>
      <c r="P90"/>
      <c r="Q90"/>
      <c r="R90"/>
      <c r="S90"/>
      <c r="T90"/>
      <c r="U90"/>
      <c r="V90"/>
      <c r="W90"/>
      <c r="X90" s="189"/>
      <c r="Y90"/>
      <c r="Z90"/>
      <c r="AA90"/>
      <c r="AB90"/>
    </row>
    <row r="91" spans="2:28" s="4" customFormat="1" x14ac:dyDescent="0.25">
      <c r="B91"/>
      <c r="C91" s="117"/>
      <c r="D91" s="189"/>
      <c r="E91"/>
      <c r="F91"/>
      <c r="G91"/>
      <c r="H91"/>
      <c r="I91"/>
      <c r="J91"/>
      <c r="K91"/>
      <c r="L91"/>
      <c r="M91"/>
      <c r="N91"/>
      <c r="O91"/>
      <c r="P91"/>
      <c r="Q91"/>
      <c r="R91"/>
      <c r="S91"/>
      <c r="T91"/>
      <c r="U91"/>
      <c r="V91"/>
      <c r="W91"/>
      <c r="X91" s="189"/>
      <c r="Y91"/>
      <c r="Z91"/>
      <c r="AA91"/>
      <c r="AB91"/>
    </row>
    <row r="92" spans="2:28" s="4" customFormat="1" ht="9.75" customHeight="1" x14ac:dyDescent="0.25">
      <c r="B92"/>
      <c r="C92" s="117"/>
      <c r="D92" s="189"/>
      <c r="E92"/>
      <c r="F92"/>
      <c r="G92"/>
      <c r="H92"/>
      <c r="I92"/>
      <c r="J92"/>
      <c r="K92"/>
      <c r="L92"/>
      <c r="M92"/>
      <c r="N92"/>
      <c r="O92"/>
      <c r="P92"/>
      <c r="Q92"/>
      <c r="R92"/>
      <c r="S92"/>
      <c r="T92"/>
      <c r="U92"/>
      <c r="V92"/>
      <c r="W92"/>
      <c r="X92" s="189"/>
      <c r="Y92"/>
      <c r="Z92"/>
      <c r="AA92"/>
      <c r="AB92"/>
    </row>
    <row r="93" spans="2:28" s="4" customFormat="1" x14ac:dyDescent="0.25">
      <c r="B93"/>
      <c r="C93"/>
      <c r="D93" s="189"/>
      <c r="E93"/>
      <c r="F93"/>
      <c r="G93"/>
      <c r="H93"/>
      <c r="I93"/>
      <c r="J93"/>
      <c r="K93"/>
      <c r="L93"/>
      <c r="M93"/>
      <c r="N93"/>
      <c r="O93"/>
      <c r="P93"/>
      <c r="Q93"/>
      <c r="R93"/>
      <c r="S93"/>
      <c r="T93"/>
      <c r="U93"/>
      <c r="V93"/>
      <c r="W93"/>
      <c r="X93" s="189"/>
      <c r="Y93"/>
      <c r="Z93"/>
      <c r="AA93"/>
      <c r="AB93"/>
    </row>
    <row r="94" spans="2:28" s="4" customFormat="1" x14ac:dyDescent="0.25">
      <c r="B94"/>
      <c r="C94" s="118"/>
      <c r="D94" s="189"/>
      <c r="E94"/>
      <c r="F94"/>
      <c r="G94"/>
      <c r="H94"/>
      <c r="I94"/>
      <c r="J94"/>
      <c r="K94"/>
      <c r="L94"/>
      <c r="M94"/>
      <c r="N94"/>
      <c r="O94"/>
      <c r="P94"/>
      <c r="Q94"/>
      <c r="R94"/>
      <c r="S94"/>
      <c r="T94"/>
      <c r="U94"/>
      <c r="V94"/>
      <c r="W94"/>
      <c r="X94" s="189"/>
      <c r="Y94"/>
      <c r="Z94"/>
      <c r="AA94"/>
      <c r="AB94"/>
    </row>
    <row r="95" spans="2:28" s="4" customFormat="1" ht="18.75" customHeight="1" x14ac:dyDescent="0.25">
      <c r="B95"/>
      <c r="C95" s="119"/>
      <c r="D95" s="189"/>
      <c r="E95"/>
      <c r="F95"/>
      <c r="G95"/>
      <c r="H95"/>
      <c r="I95"/>
      <c r="J95"/>
      <c r="K95"/>
      <c r="L95"/>
      <c r="M95"/>
      <c r="N95"/>
      <c r="O95"/>
      <c r="P95"/>
      <c r="Q95"/>
      <c r="R95"/>
      <c r="S95"/>
      <c r="T95"/>
      <c r="U95"/>
      <c r="V95"/>
      <c r="W95"/>
      <c r="X95" s="189"/>
      <c r="Y95"/>
      <c r="Z95"/>
      <c r="AA95"/>
      <c r="AB95"/>
    </row>
    <row r="96" spans="2:28" s="4" customFormat="1" ht="17.25" customHeight="1" x14ac:dyDescent="0.25">
      <c r="B96"/>
      <c r="C96" s="114"/>
      <c r="D96" s="127"/>
      <c r="E96"/>
      <c r="F96"/>
      <c r="G96"/>
      <c r="H96"/>
      <c r="I96"/>
      <c r="J96"/>
      <c r="K96"/>
      <c r="L96"/>
      <c r="M96"/>
      <c r="N96"/>
      <c r="O96"/>
      <c r="P96"/>
      <c r="Q96"/>
      <c r="R96"/>
      <c r="S96"/>
      <c r="T96"/>
      <c r="U96"/>
      <c r="V96"/>
      <c r="W96"/>
      <c r="X96" s="189"/>
      <c r="Y96"/>
      <c r="Z96"/>
      <c r="AA96"/>
      <c r="AB96"/>
    </row>
    <row r="97" spans="2:28" s="4" customFormat="1" ht="18" customHeight="1" x14ac:dyDescent="0.25">
      <c r="B97"/>
      <c r="C97"/>
      <c r="D97" s="189"/>
      <c r="E97"/>
      <c r="F97"/>
      <c r="G97"/>
      <c r="H97"/>
      <c r="I97"/>
      <c r="J97"/>
      <c r="K97"/>
      <c r="L97"/>
      <c r="M97"/>
      <c r="N97"/>
      <c r="O97"/>
      <c r="P97"/>
      <c r="Q97"/>
      <c r="R97"/>
      <c r="S97"/>
      <c r="T97"/>
      <c r="U97"/>
      <c r="V97"/>
      <c r="W97"/>
      <c r="X97" s="189"/>
      <c r="Y97"/>
      <c r="Z97"/>
      <c r="AA97"/>
      <c r="AB97"/>
    </row>
    <row r="98" spans="2:28" s="4" customFormat="1" ht="18" customHeight="1" x14ac:dyDescent="0.25">
      <c r="B98"/>
      <c r="C98" s="120"/>
      <c r="D98" s="189"/>
      <c r="E98"/>
      <c r="F98"/>
      <c r="G98"/>
      <c r="H98"/>
      <c r="I98"/>
      <c r="J98"/>
      <c r="K98"/>
      <c r="L98"/>
      <c r="M98"/>
      <c r="N98"/>
      <c r="O98"/>
      <c r="P98"/>
      <c r="Q98"/>
      <c r="R98"/>
      <c r="S98"/>
      <c r="T98"/>
      <c r="U98"/>
      <c r="V98"/>
      <c r="W98"/>
      <c r="X98" s="189"/>
      <c r="Y98"/>
      <c r="Z98"/>
      <c r="AA98"/>
      <c r="AB98"/>
    </row>
    <row r="99" spans="2:28" s="4" customFormat="1" x14ac:dyDescent="0.25">
      <c r="B99"/>
      <c r="C99" s="120"/>
      <c r="D99" s="189"/>
      <c r="E99"/>
      <c r="F99"/>
      <c r="G99"/>
      <c r="H99"/>
      <c r="I99"/>
      <c r="J99"/>
      <c r="K99"/>
      <c r="L99"/>
      <c r="M99"/>
      <c r="N99"/>
      <c r="O99"/>
      <c r="P99"/>
      <c r="Q99"/>
      <c r="R99"/>
      <c r="S99"/>
      <c r="T99"/>
      <c r="U99"/>
      <c r="V99"/>
      <c r="W99"/>
      <c r="X99" s="189"/>
      <c r="Y99"/>
      <c r="Z99"/>
      <c r="AA99"/>
      <c r="AB99"/>
    </row>
    <row r="100" spans="2:28" s="4" customFormat="1" ht="15" customHeight="1" x14ac:dyDescent="0.25">
      <c r="B100"/>
      <c r="C100" s="121"/>
      <c r="D100" s="189"/>
      <c r="E100"/>
      <c r="F100"/>
      <c r="G100"/>
      <c r="H100"/>
      <c r="I100"/>
      <c r="J100"/>
      <c r="K100"/>
      <c r="L100"/>
      <c r="M100"/>
      <c r="N100"/>
      <c r="O100"/>
      <c r="P100"/>
      <c r="Q100"/>
      <c r="R100"/>
      <c r="S100"/>
      <c r="T100"/>
      <c r="U100"/>
      <c r="V100"/>
      <c r="W100"/>
      <c r="X100" s="189"/>
      <c r="Y100"/>
      <c r="Z100"/>
      <c r="AA100"/>
      <c r="AB100"/>
    </row>
    <row r="101" spans="2:28" s="4" customFormat="1" x14ac:dyDescent="0.25">
      <c r="B101"/>
      <c r="C101" s="120"/>
      <c r="D101" s="189"/>
      <c r="E101"/>
      <c r="F101"/>
      <c r="G101"/>
      <c r="H101"/>
      <c r="I101"/>
      <c r="J101"/>
      <c r="K101"/>
      <c r="L101"/>
      <c r="M101"/>
      <c r="N101"/>
      <c r="O101"/>
      <c r="P101"/>
      <c r="Q101"/>
      <c r="R101"/>
      <c r="S101"/>
      <c r="T101"/>
      <c r="U101"/>
      <c r="V101"/>
      <c r="W101"/>
      <c r="X101" s="189"/>
      <c r="Y101"/>
      <c r="Z101"/>
      <c r="AA101"/>
      <c r="AB101"/>
    </row>
    <row r="102" spans="2:28" s="4" customFormat="1" x14ac:dyDescent="0.25">
      <c r="B102"/>
      <c r="C102" s="120"/>
      <c r="D102" s="189"/>
      <c r="E102"/>
      <c r="F102"/>
      <c r="G102"/>
      <c r="H102"/>
      <c r="I102"/>
      <c r="J102"/>
      <c r="K102"/>
      <c r="L102"/>
      <c r="M102"/>
      <c r="N102"/>
      <c r="O102"/>
      <c r="P102"/>
      <c r="Q102"/>
      <c r="R102"/>
      <c r="S102"/>
      <c r="T102"/>
      <c r="U102"/>
      <c r="V102"/>
      <c r="W102"/>
      <c r="X102" s="189"/>
      <c r="Y102"/>
      <c r="Z102"/>
      <c r="AA102"/>
      <c r="AB102"/>
    </row>
    <row r="103" spans="2:28" s="4" customFormat="1" x14ac:dyDescent="0.25">
      <c r="B103"/>
      <c r="C103" s="120"/>
      <c r="D103" s="189"/>
      <c r="E103"/>
      <c r="F103"/>
      <c r="G103"/>
      <c r="H103"/>
      <c r="I103"/>
      <c r="J103"/>
      <c r="K103"/>
      <c r="L103"/>
      <c r="M103"/>
      <c r="N103"/>
      <c r="O103"/>
      <c r="P103"/>
      <c r="Q103"/>
      <c r="R103"/>
      <c r="S103"/>
      <c r="T103"/>
      <c r="U103"/>
      <c r="V103"/>
      <c r="W103"/>
      <c r="X103" s="189"/>
      <c r="Y103"/>
      <c r="Z103"/>
      <c r="AA103"/>
      <c r="AB103"/>
    </row>
    <row r="104" spans="2:28" s="4" customFormat="1" x14ac:dyDescent="0.25">
      <c r="B104"/>
      <c r="C104" s="122"/>
      <c r="D104" s="189"/>
      <c r="E104"/>
      <c r="F104"/>
      <c r="G104"/>
      <c r="H104"/>
      <c r="I104"/>
      <c r="J104"/>
      <c r="K104"/>
      <c r="L104"/>
      <c r="M104"/>
      <c r="N104"/>
      <c r="O104"/>
      <c r="P104"/>
      <c r="Q104"/>
      <c r="R104"/>
      <c r="S104"/>
      <c r="T104"/>
      <c r="U104"/>
      <c r="V104"/>
      <c r="W104"/>
      <c r="X104" s="189"/>
      <c r="Y104"/>
      <c r="Z104"/>
      <c r="AA104"/>
      <c r="AB104"/>
    </row>
    <row r="105" spans="2:28" s="4" customFormat="1" x14ac:dyDescent="0.25">
      <c r="B105"/>
      <c r="C105" s="122"/>
      <c r="D105" s="189"/>
      <c r="E105"/>
      <c r="F105"/>
      <c r="G105"/>
      <c r="H105"/>
      <c r="I105"/>
      <c r="J105"/>
      <c r="K105"/>
      <c r="L105"/>
      <c r="M105"/>
      <c r="N105"/>
      <c r="O105"/>
      <c r="P105"/>
      <c r="Q105"/>
      <c r="R105"/>
      <c r="S105"/>
      <c r="T105"/>
      <c r="U105"/>
      <c r="V105"/>
      <c r="W105"/>
      <c r="X105" s="189"/>
      <c r="Y105"/>
      <c r="Z105"/>
      <c r="AA105"/>
      <c r="AB105"/>
    </row>
    <row r="106" spans="2:28" s="4" customFormat="1" x14ac:dyDescent="0.25">
      <c r="B106"/>
      <c r="C106" s="123"/>
      <c r="D106" s="189"/>
      <c r="E106" s="116"/>
      <c r="F106" s="116"/>
      <c r="G106"/>
      <c r="H106"/>
      <c r="I106"/>
      <c r="J106"/>
      <c r="K106"/>
      <c r="L106"/>
      <c r="M106"/>
      <c r="N106"/>
      <c r="O106"/>
      <c r="P106"/>
      <c r="Q106"/>
      <c r="R106"/>
      <c r="S106"/>
      <c r="T106"/>
      <c r="U106"/>
      <c r="V106"/>
      <c r="W106"/>
      <c r="X106" s="189"/>
      <c r="Y106"/>
      <c r="Z106"/>
      <c r="AA106"/>
      <c r="AB106"/>
    </row>
    <row r="107" spans="2:28" s="4" customFormat="1" x14ac:dyDescent="0.25">
      <c r="B107"/>
      <c r="C107" s="123"/>
      <c r="D107" s="189"/>
      <c r="E107"/>
      <c r="F107"/>
      <c r="G107"/>
      <c r="H107"/>
      <c r="I107"/>
      <c r="J107"/>
      <c r="K107"/>
      <c r="L107"/>
      <c r="M107"/>
      <c r="N107"/>
      <c r="O107"/>
      <c r="P107"/>
      <c r="Q107"/>
      <c r="R107"/>
      <c r="S107"/>
      <c r="T107"/>
      <c r="U107"/>
      <c r="V107"/>
      <c r="W107"/>
      <c r="X107" s="189"/>
      <c r="Y107"/>
      <c r="Z107"/>
      <c r="AA107"/>
      <c r="AB107"/>
    </row>
    <row r="108" spans="2:28" s="4" customFormat="1" x14ac:dyDescent="0.25">
      <c r="B108"/>
      <c r="C108" s="120"/>
      <c r="D108" s="189"/>
      <c r="E108"/>
      <c r="F108"/>
      <c r="G108"/>
      <c r="H108"/>
      <c r="I108"/>
      <c r="J108"/>
      <c r="K108"/>
      <c r="L108"/>
      <c r="M108"/>
      <c r="N108"/>
      <c r="O108"/>
      <c r="P108"/>
      <c r="Q108"/>
      <c r="R108"/>
      <c r="S108"/>
      <c r="T108"/>
      <c r="U108"/>
      <c r="V108"/>
      <c r="W108"/>
      <c r="X108" s="189"/>
      <c r="Y108"/>
      <c r="Z108"/>
      <c r="AA108"/>
      <c r="AB108"/>
    </row>
    <row r="109" spans="2:28" s="4" customFormat="1" x14ac:dyDescent="0.25">
      <c r="B109"/>
      <c r="C109" s="120"/>
      <c r="D109" s="189"/>
      <c r="E109"/>
      <c r="F109"/>
      <c r="G109"/>
      <c r="H109"/>
      <c r="I109"/>
      <c r="J109"/>
      <c r="K109"/>
      <c r="L109"/>
      <c r="M109"/>
      <c r="N109"/>
      <c r="O109"/>
      <c r="P109"/>
      <c r="Q109"/>
      <c r="R109"/>
      <c r="S109"/>
      <c r="T109"/>
      <c r="U109"/>
      <c r="V109"/>
      <c r="W109"/>
      <c r="X109" s="189"/>
      <c r="Y109"/>
      <c r="Z109"/>
      <c r="AA109"/>
      <c r="AB109"/>
    </row>
    <row r="110" spans="2:28" s="4" customFormat="1" x14ac:dyDescent="0.25">
      <c r="B110"/>
      <c r="C110" s="121"/>
      <c r="D110" s="189"/>
      <c r="E110"/>
      <c r="F110"/>
      <c r="G110"/>
      <c r="H110"/>
      <c r="I110"/>
      <c r="J110"/>
      <c r="K110"/>
      <c r="L110"/>
      <c r="M110"/>
      <c r="N110"/>
      <c r="O110"/>
      <c r="P110"/>
      <c r="Q110"/>
      <c r="R110"/>
      <c r="S110"/>
      <c r="T110"/>
      <c r="U110"/>
      <c r="V110"/>
      <c r="W110"/>
      <c r="X110" s="189"/>
      <c r="Y110"/>
      <c r="Z110"/>
      <c r="AA110"/>
      <c r="AB110"/>
    </row>
    <row r="111" spans="2:28" s="4" customFormat="1" x14ac:dyDescent="0.25">
      <c r="B111"/>
      <c r="C111" s="120"/>
      <c r="D111" s="189"/>
      <c r="E111"/>
      <c r="F111"/>
      <c r="G111"/>
      <c r="H111"/>
      <c r="I111"/>
      <c r="J111"/>
      <c r="K111"/>
      <c r="L111"/>
      <c r="M111"/>
      <c r="N111"/>
      <c r="O111"/>
      <c r="P111"/>
      <c r="Q111"/>
      <c r="R111"/>
      <c r="S111"/>
      <c r="T111"/>
      <c r="U111"/>
      <c r="V111"/>
      <c r="W111"/>
      <c r="X111" s="189"/>
      <c r="Y111"/>
      <c r="Z111"/>
      <c r="AA111"/>
      <c r="AB111"/>
    </row>
    <row r="112" spans="2:28" s="4" customFormat="1" x14ac:dyDescent="0.25">
      <c r="B112"/>
      <c r="C112" s="120"/>
      <c r="D112" s="189"/>
      <c r="E112"/>
      <c r="F112"/>
      <c r="G112"/>
      <c r="H112"/>
      <c r="I112"/>
      <c r="J112"/>
      <c r="K112"/>
      <c r="L112"/>
      <c r="M112"/>
      <c r="N112"/>
      <c r="O112"/>
      <c r="P112"/>
      <c r="Q112"/>
      <c r="R112"/>
      <c r="S112"/>
      <c r="T112"/>
      <c r="U112"/>
      <c r="V112"/>
      <c r="W112"/>
      <c r="X112" s="189"/>
      <c r="Y112"/>
      <c r="Z112"/>
      <c r="AA112"/>
      <c r="AB112"/>
    </row>
    <row r="113" spans="2:28" s="4" customFormat="1" x14ac:dyDescent="0.25">
      <c r="B113"/>
      <c r="C113" s="120"/>
      <c r="D113" s="189"/>
      <c r="E113"/>
      <c r="F113"/>
      <c r="G113"/>
      <c r="H113"/>
      <c r="I113"/>
      <c r="J113"/>
      <c r="K113"/>
      <c r="L113"/>
      <c r="M113"/>
      <c r="N113"/>
      <c r="O113"/>
      <c r="P113"/>
      <c r="Q113"/>
      <c r="R113"/>
      <c r="S113"/>
      <c r="T113"/>
      <c r="U113"/>
      <c r="V113"/>
      <c r="W113"/>
      <c r="X113" s="189"/>
      <c r="Y113"/>
      <c r="Z113"/>
      <c r="AA113"/>
      <c r="AB113"/>
    </row>
    <row r="114" spans="2:28" s="4" customFormat="1" x14ac:dyDescent="0.25">
      <c r="B114"/>
      <c r="C114" s="122"/>
      <c r="D114" s="189"/>
      <c r="E114"/>
      <c r="F114"/>
      <c r="G114"/>
      <c r="H114"/>
      <c r="I114"/>
      <c r="J114"/>
      <c r="K114"/>
      <c r="L114"/>
      <c r="M114"/>
      <c r="N114"/>
      <c r="O114"/>
      <c r="P114"/>
      <c r="Q114"/>
      <c r="R114"/>
      <c r="S114"/>
      <c r="T114"/>
      <c r="U114"/>
      <c r="V114"/>
      <c r="W114"/>
      <c r="X114" s="189"/>
      <c r="Y114"/>
      <c r="Z114"/>
      <c r="AA114"/>
      <c r="AB114"/>
    </row>
    <row r="115" spans="2:28" s="4" customFormat="1" x14ac:dyDescent="0.25">
      <c r="B115"/>
      <c r="C115" s="122"/>
      <c r="D115" s="189"/>
      <c r="E115"/>
      <c r="F115"/>
      <c r="G115"/>
      <c r="H115"/>
      <c r="I115"/>
      <c r="J115"/>
      <c r="K115"/>
      <c r="L115"/>
      <c r="M115"/>
      <c r="N115"/>
      <c r="O115"/>
      <c r="P115"/>
      <c r="Q115"/>
      <c r="R115"/>
      <c r="S115"/>
      <c r="T115"/>
      <c r="U115"/>
      <c r="V115"/>
      <c r="W115"/>
      <c r="X115" s="189"/>
      <c r="Y115"/>
      <c r="Z115"/>
      <c r="AA115"/>
      <c r="AB115"/>
    </row>
    <row r="116" spans="2:28" s="4" customFormat="1" x14ac:dyDescent="0.25">
      <c r="B116"/>
      <c r="C116" s="123"/>
      <c r="D116" s="189"/>
      <c r="E116" s="116"/>
      <c r="F116" s="116"/>
      <c r="G116"/>
      <c r="H116"/>
      <c r="I116"/>
      <c r="J116"/>
      <c r="K116"/>
      <c r="L116"/>
      <c r="M116"/>
      <c r="N116"/>
      <c r="O116"/>
      <c r="P116"/>
      <c r="Q116"/>
      <c r="R116"/>
      <c r="S116"/>
      <c r="T116"/>
      <c r="U116"/>
      <c r="V116"/>
      <c r="W116"/>
      <c r="X116" s="189"/>
      <c r="Y116"/>
      <c r="Z116"/>
      <c r="AA116"/>
      <c r="AB116"/>
    </row>
    <row r="117" spans="2:28" s="4" customFormat="1" x14ac:dyDescent="0.25">
      <c r="B117"/>
      <c r="C117" s="123"/>
      <c r="D117" s="189"/>
      <c r="E117" s="116"/>
      <c r="F117" s="116"/>
      <c r="G117"/>
      <c r="H117"/>
      <c r="I117"/>
      <c r="J117"/>
      <c r="K117"/>
      <c r="L117"/>
      <c r="M117"/>
      <c r="N117"/>
      <c r="O117"/>
      <c r="P117"/>
      <c r="Q117"/>
      <c r="R117"/>
      <c r="S117"/>
      <c r="T117"/>
      <c r="U117"/>
      <c r="V117"/>
      <c r="W117"/>
      <c r="X117" s="189"/>
      <c r="Y117"/>
      <c r="Z117"/>
      <c r="AA117"/>
      <c r="AB117"/>
    </row>
    <row r="118" spans="2:28" s="4" customFormat="1" x14ac:dyDescent="0.25">
      <c r="B118"/>
      <c r="C118" s="120"/>
      <c r="D118" s="189"/>
      <c r="E118"/>
      <c r="F118"/>
      <c r="G118"/>
      <c r="H118"/>
      <c r="I118"/>
      <c r="J118"/>
      <c r="K118"/>
      <c r="L118"/>
      <c r="M118"/>
      <c r="N118"/>
      <c r="O118"/>
      <c r="P118"/>
      <c r="Q118"/>
      <c r="R118"/>
      <c r="S118"/>
      <c r="T118"/>
      <c r="U118"/>
      <c r="V118"/>
      <c r="W118"/>
      <c r="X118" s="189"/>
      <c r="Y118"/>
      <c r="Z118"/>
      <c r="AA118"/>
      <c r="AB118"/>
    </row>
    <row r="119" spans="2:28" s="4" customFormat="1" x14ac:dyDescent="0.25">
      <c r="B119"/>
      <c r="C119" s="120"/>
      <c r="D119" s="189"/>
      <c r="E119"/>
      <c r="F119"/>
      <c r="G119"/>
      <c r="H119"/>
      <c r="I119"/>
      <c r="J119"/>
      <c r="K119"/>
      <c r="L119"/>
      <c r="M119"/>
      <c r="N119"/>
      <c r="O119"/>
      <c r="P119"/>
      <c r="Q119"/>
      <c r="R119"/>
      <c r="S119"/>
      <c r="T119"/>
      <c r="U119"/>
      <c r="V119"/>
      <c r="W119"/>
      <c r="X119" s="189"/>
      <c r="Y119"/>
      <c r="Z119"/>
      <c r="AA119"/>
      <c r="AB119"/>
    </row>
    <row r="120" spans="2:28" s="4" customFormat="1" x14ac:dyDescent="0.25">
      <c r="B120"/>
      <c r="C120" s="120"/>
      <c r="D120" s="189"/>
      <c r="E120"/>
      <c r="F120"/>
      <c r="G120"/>
      <c r="H120"/>
      <c r="I120"/>
      <c r="J120"/>
      <c r="K120"/>
      <c r="L120"/>
      <c r="M120"/>
      <c r="N120"/>
      <c r="O120"/>
      <c r="P120"/>
      <c r="Q120"/>
      <c r="R120"/>
      <c r="S120"/>
      <c r="T120"/>
      <c r="U120"/>
      <c r="V120"/>
      <c r="W120"/>
      <c r="X120" s="189"/>
      <c r="Y120"/>
      <c r="Z120"/>
      <c r="AA120"/>
      <c r="AB120"/>
    </row>
    <row r="121" spans="2:28" s="4" customFormat="1" x14ac:dyDescent="0.25">
      <c r="B121"/>
      <c r="C121" s="120"/>
      <c r="D121" s="189"/>
      <c r="E121"/>
      <c r="F121"/>
      <c r="G121"/>
      <c r="H121"/>
      <c r="I121"/>
      <c r="J121"/>
      <c r="K121"/>
      <c r="L121"/>
      <c r="M121"/>
      <c r="N121"/>
      <c r="O121"/>
      <c r="P121"/>
      <c r="Q121"/>
      <c r="R121"/>
      <c r="S121"/>
      <c r="T121"/>
      <c r="U121"/>
      <c r="V121"/>
      <c r="W121"/>
      <c r="X121" s="189"/>
      <c r="Y121"/>
      <c r="Z121"/>
      <c r="AA121"/>
      <c r="AB121"/>
    </row>
    <row r="122" spans="2:28" s="4" customFormat="1" x14ac:dyDescent="0.25">
      <c r="B122"/>
      <c r="C122" s="120"/>
      <c r="D122" s="189"/>
      <c r="E122"/>
      <c r="F122"/>
      <c r="G122"/>
      <c r="H122"/>
      <c r="I122"/>
      <c r="J122"/>
      <c r="K122"/>
      <c r="L122"/>
      <c r="M122"/>
      <c r="N122"/>
      <c r="O122"/>
      <c r="P122"/>
      <c r="Q122"/>
      <c r="R122"/>
      <c r="S122"/>
      <c r="T122"/>
      <c r="U122"/>
      <c r="V122"/>
      <c r="W122"/>
      <c r="X122" s="189"/>
      <c r="Y122"/>
      <c r="Z122"/>
      <c r="AA122"/>
      <c r="AB122"/>
    </row>
    <row r="123" spans="2:28" s="4" customFormat="1" x14ac:dyDescent="0.25">
      <c r="B123"/>
      <c r="C123" s="120"/>
      <c r="D123" s="189"/>
      <c r="E123"/>
      <c r="F123"/>
      <c r="G123"/>
      <c r="H123"/>
      <c r="I123"/>
      <c r="J123"/>
      <c r="K123"/>
      <c r="L123"/>
      <c r="M123"/>
      <c r="N123"/>
      <c r="O123"/>
      <c r="P123"/>
      <c r="Q123"/>
      <c r="R123"/>
      <c r="S123"/>
      <c r="T123"/>
      <c r="U123"/>
      <c r="V123"/>
      <c r="W123"/>
      <c r="X123" s="189"/>
      <c r="Y123"/>
      <c r="Z123"/>
      <c r="AA123"/>
      <c r="AB123"/>
    </row>
    <row r="124" spans="2:28" s="4" customFormat="1" x14ac:dyDescent="0.25">
      <c r="B124"/>
      <c r="C124"/>
      <c r="D124" s="189"/>
      <c r="E124" s="116"/>
      <c r="F124" s="116"/>
      <c r="G124"/>
      <c r="H124"/>
      <c r="I124"/>
      <c r="J124"/>
      <c r="K124"/>
      <c r="L124"/>
      <c r="M124"/>
      <c r="N124"/>
      <c r="O124"/>
      <c r="P124"/>
      <c r="Q124"/>
      <c r="R124"/>
      <c r="S124"/>
      <c r="T124"/>
      <c r="U124"/>
      <c r="V124"/>
      <c r="W124"/>
      <c r="X124" s="189"/>
      <c r="Y124"/>
      <c r="Z124"/>
      <c r="AA124"/>
      <c r="AB124"/>
    </row>
    <row r="125" spans="2:28" s="4" customFormat="1" x14ac:dyDescent="0.25">
      <c r="B125"/>
      <c r="C125"/>
      <c r="D125" s="189"/>
      <c r="E125" s="116"/>
      <c r="F125" s="116"/>
      <c r="G125"/>
      <c r="H125"/>
      <c r="I125"/>
      <c r="J125"/>
      <c r="K125"/>
      <c r="L125"/>
      <c r="M125"/>
      <c r="N125"/>
      <c r="O125"/>
      <c r="P125"/>
      <c r="Q125"/>
      <c r="R125"/>
      <c r="S125"/>
      <c r="T125"/>
      <c r="U125"/>
      <c r="V125"/>
      <c r="W125"/>
      <c r="X125" s="189"/>
      <c r="Y125"/>
      <c r="Z125"/>
      <c r="AA125"/>
      <c r="AB125"/>
    </row>
    <row r="126" spans="2:28" s="4" customFormat="1" x14ac:dyDescent="0.25">
      <c r="B126"/>
      <c r="C126" s="120"/>
      <c r="D126" s="189"/>
      <c r="E126" s="116"/>
      <c r="F126" s="116"/>
      <c r="G126"/>
      <c r="H126"/>
      <c r="I126"/>
      <c r="J126"/>
      <c r="K126"/>
      <c r="L126"/>
      <c r="M126"/>
      <c r="N126"/>
      <c r="O126"/>
      <c r="P126"/>
      <c r="Q126"/>
      <c r="R126"/>
      <c r="S126"/>
      <c r="T126"/>
      <c r="U126"/>
      <c r="V126"/>
      <c r="W126"/>
      <c r="X126" s="189"/>
      <c r="Y126"/>
      <c r="Z126"/>
      <c r="AA126"/>
      <c r="AB126"/>
    </row>
    <row r="127" spans="2:28" s="4" customFormat="1" x14ac:dyDescent="0.25">
      <c r="B127"/>
      <c r="C127" s="120"/>
      <c r="D127" s="189"/>
      <c r="E127" s="116"/>
      <c r="F127" s="116"/>
      <c r="G127"/>
      <c r="H127"/>
      <c r="I127"/>
      <c r="J127"/>
      <c r="K127"/>
      <c r="L127"/>
      <c r="M127"/>
      <c r="N127"/>
      <c r="O127"/>
      <c r="P127"/>
      <c r="Q127"/>
      <c r="R127"/>
      <c r="S127"/>
      <c r="T127"/>
      <c r="U127"/>
      <c r="V127"/>
      <c r="W127"/>
      <c r="X127" s="189"/>
      <c r="Y127"/>
      <c r="Z127"/>
      <c r="AA127"/>
      <c r="AB127"/>
    </row>
    <row r="128" spans="2:28" s="4" customFormat="1" x14ac:dyDescent="0.25">
      <c r="B128"/>
      <c r="C128" s="120"/>
      <c r="D128" s="189"/>
      <c r="E128" s="116"/>
      <c r="F128" s="116"/>
      <c r="G128"/>
      <c r="H128"/>
      <c r="I128"/>
      <c r="J128"/>
      <c r="K128"/>
      <c r="L128"/>
      <c r="M128"/>
      <c r="N128"/>
      <c r="O128"/>
      <c r="P128"/>
      <c r="Q128"/>
      <c r="R128"/>
      <c r="S128"/>
      <c r="T128"/>
      <c r="U128"/>
      <c r="V128"/>
      <c r="W128"/>
      <c r="X128" s="189"/>
      <c r="Y128"/>
      <c r="Z128"/>
      <c r="AA128"/>
      <c r="AB128"/>
    </row>
    <row r="129" spans="2:28" s="4" customFormat="1" x14ac:dyDescent="0.25">
      <c r="B129"/>
      <c r="C129" s="122"/>
      <c r="D129" s="189"/>
      <c r="E129" s="116"/>
      <c r="F129" s="116"/>
      <c r="G129"/>
      <c r="H129"/>
      <c r="I129"/>
      <c r="J129"/>
      <c r="K129"/>
      <c r="L129"/>
      <c r="M129"/>
      <c r="N129"/>
      <c r="O129"/>
      <c r="P129"/>
      <c r="Q129"/>
      <c r="R129"/>
      <c r="S129"/>
      <c r="T129"/>
      <c r="U129"/>
      <c r="V129"/>
      <c r="W129"/>
      <c r="X129" s="189"/>
      <c r="Y129"/>
      <c r="Z129"/>
      <c r="AA129"/>
      <c r="AB129"/>
    </row>
    <row r="130" spans="2:28" s="4" customFormat="1" x14ac:dyDescent="0.25">
      <c r="B130"/>
      <c r="C130"/>
      <c r="D130" s="189"/>
      <c r="E130" s="116"/>
      <c r="F130" s="116"/>
      <c r="G130"/>
      <c r="H130"/>
      <c r="I130"/>
      <c r="J130"/>
      <c r="K130"/>
      <c r="L130"/>
      <c r="M130"/>
      <c r="N130"/>
      <c r="O130"/>
      <c r="P130"/>
      <c r="Q130"/>
      <c r="R130"/>
      <c r="S130"/>
      <c r="T130"/>
      <c r="U130"/>
      <c r="V130"/>
      <c r="W130"/>
      <c r="X130" s="189"/>
      <c r="Y130"/>
      <c r="Z130"/>
      <c r="AA130"/>
      <c r="AB130"/>
    </row>
    <row r="131" spans="2:28" s="4" customFormat="1" x14ac:dyDescent="0.25">
      <c r="B131"/>
      <c r="C131" s="120"/>
      <c r="D131" s="189"/>
      <c r="E131" s="116"/>
      <c r="F131" s="116"/>
      <c r="G131"/>
      <c r="H131"/>
      <c r="I131"/>
      <c r="J131"/>
      <c r="K131"/>
      <c r="L131"/>
      <c r="M131"/>
      <c r="N131"/>
      <c r="O131"/>
      <c r="P131"/>
      <c r="Q131"/>
      <c r="R131"/>
      <c r="S131"/>
      <c r="T131"/>
      <c r="U131"/>
      <c r="V131"/>
      <c r="W131"/>
      <c r="X131" s="189"/>
      <c r="Y131"/>
      <c r="Z131"/>
      <c r="AA131"/>
      <c r="AB131"/>
    </row>
    <row r="132" spans="2:28" s="4" customFormat="1" x14ac:dyDescent="0.25">
      <c r="B132"/>
      <c r="C132" s="120"/>
      <c r="D132" s="189"/>
      <c r="E132" s="116"/>
      <c r="F132" s="116"/>
      <c r="G132"/>
      <c r="H132"/>
      <c r="I132"/>
      <c r="J132"/>
      <c r="K132"/>
      <c r="L132"/>
      <c r="M132"/>
      <c r="N132"/>
      <c r="O132"/>
      <c r="P132"/>
      <c r="Q132"/>
      <c r="R132"/>
      <c r="S132"/>
      <c r="T132"/>
      <c r="U132"/>
      <c r="V132"/>
      <c r="W132"/>
      <c r="X132" s="189"/>
      <c r="Y132"/>
      <c r="Z132"/>
      <c r="AA132"/>
      <c r="AB132"/>
    </row>
    <row r="133" spans="2:28" s="4" customFormat="1" x14ac:dyDescent="0.25">
      <c r="B133"/>
      <c r="C133" s="120"/>
      <c r="D133" s="189"/>
      <c r="E133" s="116"/>
      <c r="F133" s="116"/>
      <c r="G133"/>
      <c r="H133"/>
      <c r="I133"/>
      <c r="J133"/>
      <c r="K133"/>
      <c r="L133"/>
      <c r="M133"/>
      <c r="N133"/>
      <c r="O133"/>
      <c r="P133"/>
      <c r="Q133"/>
      <c r="R133"/>
      <c r="S133"/>
      <c r="T133"/>
      <c r="U133"/>
      <c r="V133"/>
      <c r="W133"/>
      <c r="X133" s="189"/>
      <c r="Y133"/>
      <c r="Z133"/>
      <c r="AA133"/>
      <c r="AB133"/>
    </row>
    <row r="134" spans="2:28" s="4" customFormat="1" x14ac:dyDescent="0.25">
      <c r="B134"/>
      <c r="C134" s="122"/>
      <c r="D134" s="189"/>
      <c r="E134" s="116"/>
      <c r="F134" s="116"/>
      <c r="G134"/>
      <c r="H134"/>
      <c r="I134"/>
      <c r="J134"/>
      <c r="K134"/>
      <c r="L134"/>
      <c r="M134"/>
      <c r="N134"/>
      <c r="O134"/>
      <c r="P134"/>
      <c r="Q134"/>
      <c r="R134"/>
      <c r="S134"/>
      <c r="T134"/>
      <c r="U134"/>
      <c r="V134"/>
      <c r="W134"/>
      <c r="X134" s="189"/>
      <c r="Y134"/>
      <c r="Z134"/>
      <c r="AA134"/>
      <c r="AB134"/>
    </row>
    <row r="135" spans="2:28" s="4" customFormat="1" x14ac:dyDescent="0.25">
      <c r="B135"/>
      <c r="C135"/>
      <c r="D135" s="189"/>
      <c r="E135" s="116"/>
      <c r="F135" s="116"/>
      <c r="G135"/>
      <c r="H135"/>
      <c r="I135"/>
      <c r="J135"/>
      <c r="K135"/>
      <c r="L135"/>
      <c r="M135"/>
      <c r="N135"/>
      <c r="O135"/>
      <c r="P135"/>
      <c r="Q135"/>
      <c r="R135"/>
      <c r="S135"/>
      <c r="T135"/>
      <c r="U135"/>
      <c r="V135"/>
      <c r="W135"/>
      <c r="X135" s="189"/>
      <c r="Y135"/>
      <c r="Z135"/>
      <c r="AA135"/>
      <c r="AB135"/>
    </row>
    <row r="136" spans="2:28" s="4" customFormat="1" x14ac:dyDescent="0.25">
      <c r="B136"/>
      <c r="C136"/>
      <c r="D136" s="189"/>
      <c r="E136" s="116"/>
      <c r="F136" s="116"/>
      <c r="G136"/>
      <c r="H136"/>
      <c r="I136"/>
      <c r="J136"/>
      <c r="K136"/>
      <c r="L136"/>
      <c r="M136"/>
      <c r="N136"/>
      <c r="O136"/>
      <c r="P136"/>
      <c r="Q136"/>
      <c r="R136"/>
      <c r="S136"/>
      <c r="T136"/>
      <c r="U136"/>
      <c r="V136"/>
      <c r="W136"/>
      <c r="X136" s="189"/>
      <c r="Y136"/>
      <c r="Z136"/>
      <c r="AA136"/>
      <c r="AB136"/>
    </row>
    <row r="137" spans="2:28" s="4" customFormat="1" x14ac:dyDescent="0.25">
      <c r="B137"/>
      <c r="C137"/>
      <c r="D137" s="189"/>
      <c r="E137" s="116"/>
      <c r="F137" s="116"/>
      <c r="G137"/>
      <c r="H137"/>
      <c r="I137"/>
      <c r="J137"/>
      <c r="K137"/>
      <c r="L137"/>
      <c r="M137"/>
      <c r="N137"/>
      <c r="O137"/>
      <c r="P137"/>
      <c r="Q137"/>
      <c r="R137"/>
      <c r="S137"/>
      <c r="T137"/>
      <c r="U137"/>
      <c r="V137"/>
      <c r="W137"/>
      <c r="X137" s="189"/>
      <c r="Y137"/>
      <c r="Z137"/>
      <c r="AA137"/>
      <c r="AB137"/>
    </row>
    <row r="138" spans="2:28" s="4" customFormat="1" x14ac:dyDescent="0.25">
      <c r="B138"/>
      <c r="C138"/>
      <c r="D138" s="189"/>
      <c r="E138" s="116"/>
      <c r="F138" s="116"/>
      <c r="G138"/>
      <c r="H138"/>
      <c r="I138"/>
      <c r="J138"/>
      <c r="K138"/>
      <c r="L138"/>
      <c r="M138"/>
      <c r="N138"/>
      <c r="O138"/>
      <c r="P138" s="115"/>
      <c r="Q138" s="115"/>
      <c r="R138" s="115"/>
      <c r="S138"/>
      <c r="T138"/>
      <c r="U138"/>
      <c r="V138"/>
      <c r="W138"/>
      <c r="X138" s="189"/>
      <c r="Y138"/>
      <c r="Z138"/>
      <c r="AA138"/>
      <c r="AB138"/>
    </row>
    <row r="139" spans="2:28" s="4" customFormat="1" x14ac:dyDescent="0.25">
      <c r="B139"/>
      <c r="C139"/>
      <c r="D139" s="189"/>
      <c r="E139"/>
      <c r="F139"/>
      <c r="G139"/>
      <c r="H139"/>
      <c r="I139"/>
      <c r="J139"/>
      <c r="K139"/>
      <c r="L139"/>
      <c r="M139"/>
      <c r="N139"/>
      <c r="O139"/>
      <c r="P139"/>
      <c r="Q139"/>
      <c r="R139"/>
      <c r="S139"/>
      <c r="T139"/>
      <c r="U139"/>
      <c r="V139"/>
      <c r="W139"/>
      <c r="X139" s="189"/>
      <c r="Y139"/>
      <c r="Z139"/>
      <c r="AA139"/>
      <c r="AB139"/>
    </row>
    <row r="140" spans="2:28" s="4" customFormat="1" x14ac:dyDescent="0.25">
      <c r="B140"/>
      <c r="C140"/>
      <c r="D140" s="189"/>
      <c r="E140"/>
      <c r="F140"/>
      <c r="G140"/>
      <c r="H140"/>
      <c r="I140"/>
      <c r="J140"/>
      <c r="K140"/>
      <c r="L140"/>
      <c r="M140"/>
      <c r="N140"/>
      <c r="O140"/>
      <c r="P140"/>
      <c r="Q140"/>
      <c r="R140"/>
      <c r="S140"/>
      <c r="T140"/>
      <c r="U140"/>
      <c r="V140"/>
      <c r="W140"/>
      <c r="X140" s="189"/>
      <c r="Y140"/>
      <c r="Z140"/>
      <c r="AA140"/>
      <c r="AB140"/>
    </row>
    <row r="141" spans="2:28" s="4" customFormat="1" x14ac:dyDescent="0.25">
      <c r="B141"/>
      <c r="C141"/>
      <c r="D141" s="189"/>
      <c r="E141"/>
      <c r="F141"/>
      <c r="G141"/>
      <c r="H141"/>
      <c r="I141"/>
      <c r="J141"/>
      <c r="K141"/>
      <c r="L141"/>
      <c r="M141"/>
      <c r="N141"/>
      <c r="O141"/>
      <c r="P141"/>
      <c r="Q141"/>
      <c r="R141"/>
      <c r="S141"/>
      <c r="T141"/>
      <c r="U141"/>
      <c r="V141"/>
      <c r="W141"/>
      <c r="X141" s="189"/>
      <c r="Y141"/>
      <c r="Z141"/>
      <c r="AA141"/>
      <c r="AB141"/>
    </row>
    <row r="142" spans="2:28" s="4" customFormat="1" x14ac:dyDescent="0.25">
      <c r="B142" s="115"/>
      <c r="C142" s="115"/>
      <c r="D142" s="127"/>
      <c r="E142" s="115"/>
      <c r="F142" s="115"/>
      <c r="G142" s="115"/>
      <c r="H142" s="115"/>
      <c r="I142" s="115"/>
      <c r="J142" s="115"/>
      <c r="K142" s="115"/>
      <c r="L142" s="115"/>
      <c r="M142" s="115"/>
      <c r="N142" s="115"/>
      <c r="O142" s="115"/>
      <c r="P142"/>
      <c r="Q142"/>
      <c r="R142"/>
      <c r="S142"/>
      <c r="T142"/>
      <c r="U142"/>
      <c r="V142"/>
      <c r="W142"/>
      <c r="X142" s="189"/>
      <c r="Y142"/>
      <c r="Z142"/>
      <c r="AA142"/>
      <c r="AB142"/>
    </row>
    <row r="143" spans="2:28" s="4" customFormat="1" x14ac:dyDescent="0.25">
      <c r="B143"/>
      <c r="C143" s="115"/>
      <c r="D143" s="127"/>
      <c r="E143" s="115"/>
      <c r="F143" s="115"/>
      <c r="G143"/>
      <c r="H143"/>
      <c r="I143"/>
      <c r="J143"/>
      <c r="K143"/>
      <c r="L143"/>
      <c r="M143"/>
      <c r="N143"/>
      <c r="O143"/>
      <c r="P143"/>
      <c r="Q143"/>
      <c r="R143"/>
      <c r="S143"/>
      <c r="T143"/>
      <c r="U143"/>
      <c r="V143"/>
      <c r="W143"/>
      <c r="X143" s="189"/>
      <c r="Y143"/>
      <c r="Z143"/>
      <c r="AA143"/>
      <c r="AB143"/>
    </row>
    <row r="144" spans="2:28" s="4" customFormat="1" x14ac:dyDescent="0.25">
      <c r="B144"/>
      <c r="C144" s="114"/>
      <c r="D144" s="127"/>
      <c r="E144" s="115"/>
      <c r="F144" s="115"/>
      <c r="G144"/>
      <c r="H144"/>
      <c r="I144"/>
      <c r="J144"/>
      <c r="K144"/>
      <c r="L144"/>
      <c r="M144"/>
      <c r="N144"/>
      <c r="O144"/>
      <c r="P144"/>
      <c r="Q144"/>
      <c r="R144"/>
      <c r="S144"/>
      <c r="T144"/>
      <c r="U144"/>
      <c r="V144"/>
      <c r="W144"/>
      <c r="X144" s="189"/>
      <c r="Y144"/>
      <c r="Z144"/>
      <c r="AA144"/>
      <c r="AB144"/>
    </row>
    <row r="145" spans="2:28" s="4" customFormat="1" x14ac:dyDescent="0.25">
      <c r="B145"/>
      <c r="C145" s="117"/>
      <c r="D145" s="189"/>
      <c r="E145" s="116"/>
      <c r="F145" s="116"/>
      <c r="G145"/>
      <c r="H145"/>
      <c r="I145"/>
      <c r="J145"/>
      <c r="K145"/>
      <c r="L145"/>
      <c r="M145"/>
      <c r="N145"/>
      <c r="O145"/>
      <c r="P145"/>
      <c r="Q145"/>
      <c r="R145"/>
      <c r="S145" s="115"/>
      <c r="T145" s="115"/>
      <c r="U145" s="115"/>
      <c r="V145" s="115"/>
      <c r="W145" s="115"/>
      <c r="X145" s="127"/>
      <c r="Y145" s="115"/>
      <c r="Z145" s="115"/>
      <c r="AA145" s="115"/>
      <c r="AB145" s="115"/>
    </row>
    <row r="146" spans="2:28" s="4" customFormat="1" x14ac:dyDescent="0.25">
      <c r="B146"/>
      <c r="C146" s="117"/>
      <c r="D146" s="189"/>
      <c r="E146" s="116"/>
      <c r="F146" s="116"/>
      <c r="G146"/>
      <c r="H146"/>
      <c r="I146"/>
      <c r="J146"/>
      <c r="K146"/>
      <c r="L146"/>
      <c r="M146"/>
      <c r="N146"/>
      <c r="O146"/>
      <c r="P146"/>
      <c r="Q146"/>
      <c r="R146"/>
      <c r="S146"/>
      <c r="T146"/>
      <c r="U146"/>
      <c r="V146"/>
      <c r="W146"/>
      <c r="X146" s="189"/>
      <c r="Y146"/>
      <c r="Z146"/>
      <c r="AA146"/>
      <c r="AB146"/>
    </row>
    <row r="147" spans="2:28" s="4" customFormat="1" x14ac:dyDescent="0.25">
      <c r="B147"/>
      <c r="C147" s="117"/>
      <c r="D147" s="189"/>
      <c r="E147"/>
      <c r="F147"/>
      <c r="G147"/>
      <c r="H147"/>
      <c r="I147"/>
      <c r="J147"/>
      <c r="K147"/>
      <c r="L147"/>
      <c r="M147"/>
      <c r="N147"/>
      <c r="O147"/>
      <c r="P147"/>
      <c r="Q147"/>
      <c r="R147"/>
      <c r="S147"/>
      <c r="T147"/>
      <c r="U147"/>
      <c r="V147"/>
      <c r="W147"/>
      <c r="X147" s="189"/>
      <c r="Y147"/>
      <c r="Z147"/>
      <c r="AA147"/>
      <c r="AB147"/>
    </row>
    <row r="148" spans="2:28" s="4" customFormat="1" x14ac:dyDescent="0.25">
      <c r="B148"/>
      <c r="C148" s="124"/>
      <c r="D148" s="189"/>
      <c r="E148"/>
      <c r="F148"/>
      <c r="G148"/>
      <c r="H148"/>
      <c r="I148"/>
      <c r="J148"/>
      <c r="K148"/>
      <c r="L148"/>
      <c r="M148"/>
      <c r="N148"/>
      <c r="O148"/>
      <c r="P148"/>
      <c r="Q148"/>
      <c r="R148"/>
      <c r="S148"/>
      <c r="T148"/>
      <c r="U148"/>
      <c r="V148"/>
      <c r="W148"/>
      <c r="X148" s="189"/>
      <c r="Y148"/>
      <c r="Z148"/>
      <c r="AA148"/>
      <c r="AB148"/>
    </row>
    <row r="149" spans="2:28" s="4" customFormat="1" x14ac:dyDescent="0.25">
      <c r="B149"/>
      <c r="C149"/>
      <c r="D149" s="189"/>
      <c r="E149" s="116"/>
      <c r="F149" s="116"/>
      <c r="G149"/>
      <c r="H149"/>
      <c r="I149"/>
      <c r="J149"/>
      <c r="K149"/>
      <c r="L149"/>
      <c r="M149"/>
      <c r="N149"/>
      <c r="O149"/>
      <c r="P149"/>
      <c r="Q149"/>
      <c r="R149"/>
      <c r="S149"/>
      <c r="T149"/>
      <c r="U149"/>
      <c r="V149"/>
      <c r="W149"/>
      <c r="X149" s="189"/>
      <c r="Y149"/>
      <c r="Z149"/>
      <c r="AA149"/>
      <c r="AB149"/>
    </row>
    <row r="150" spans="2:28" s="4" customFormat="1" x14ac:dyDescent="0.25">
      <c r="B150"/>
      <c r="C150" s="114"/>
      <c r="D150" s="127"/>
      <c r="E150"/>
      <c r="F150"/>
      <c r="G150"/>
      <c r="H150"/>
      <c r="I150"/>
      <c r="J150"/>
      <c r="K150"/>
      <c r="L150"/>
      <c r="M150"/>
      <c r="N150"/>
      <c r="O150"/>
      <c r="P150"/>
      <c r="Q150"/>
      <c r="R150"/>
      <c r="S150"/>
      <c r="T150"/>
      <c r="U150"/>
      <c r="V150"/>
      <c r="W150"/>
      <c r="X150" s="189"/>
      <c r="Y150"/>
      <c r="Z150"/>
      <c r="AA150"/>
      <c r="AB150"/>
    </row>
    <row r="151" spans="2:28" s="4" customFormat="1" x14ac:dyDescent="0.25">
      <c r="B151"/>
      <c r="C151" s="125"/>
      <c r="D151" s="189"/>
      <c r="E151"/>
      <c r="F151"/>
      <c r="G151"/>
      <c r="H151"/>
      <c r="I151"/>
      <c r="J151"/>
      <c r="K151"/>
      <c r="L151"/>
      <c r="M151"/>
      <c r="N151"/>
      <c r="O151"/>
      <c r="P151"/>
      <c r="Q151"/>
      <c r="R151"/>
      <c r="S151"/>
      <c r="T151"/>
      <c r="U151"/>
      <c r="V151"/>
      <c r="W151"/>
      <c r="X151" s="189"/>
      <c r="Y151"/>
      <c r="Z151"/>
      <c r="AA151"/>
      <c r="AB151"/>
    </row>
    <row r="152" spans="2:28" s="4" customFormat="1" x14ac:dyDescent="0.25">
      <c r="B152"/>
      <c r="C152" s="125"/>
      <c r="D152" s="189"/>
      <c r="E152"/>
      <c r="F152"/>
      <c r="G152"/>
      <c r="H152"/>
      <c r="I152"/>
      <c r="J152"/>
      <c r="K152"/>
      <c r="L152"/>
      <c r="M152"/>
      <c r="N152"/>
      <c r="O152"/>
      <c r="P152"/>
      <c r="Q152"/>
      <c r="R152"/>
      <c r="S152"/>
      <c r="T152"/>
      <c r="U152"/>
      <c r="V152"/>
      <c r="W152"/>
      <c r="X152" s="189"/>
      <c r="Y152"/>
      <c r="Z152"/>
      <c r="AA152"/>
      <c r="AB152"/>
    </row>
    <row r="153" spans="2:28" s="4" customFormat="1" x14ac:dyDescent="0.25">
      <c r="B153"/>
      <c r="C153" s="125"/>
      <c r="D153" s="189"/>
      <c r="E153"/>
      <c r="F153"/>
      <c r="G153"/>
      <c r="H153"/>
      <c r="I153"/>
      <c r="J153"/>
      <c r="K153"/>
      <c r="L153"/>
      <c r="M153"/>
      <c r="N153"/>
      <c r="O153"/>
      <c r="P153"/>
      <c r="Q153"/>
      <c r="R153"/>
      <c r="S153"/>
      <c r="T153"/>
      <c r="U153"/>
      <c r="V153"/>
      <c r="W153"/>
      <c r="X153" s="189"/>
      <c r="Y153"/>
      <c r="Z153"/>
      <c r="AA153"/>
      <c r="AB153"/>
    </row>
    <row r="154" spans="2:28" s="4" customFormat="1" x14ac:dyDescent="0.25">
      <c r="B154"/>
      <c r="C154" s="126"/>
      <c r="D154" s="189"/>
      <c r="E154"/>
      <c r="F154"/>
      <c r="G154"/>
      <c r="H154"/>
      <c r="I154"/>
      <c r="J154"/>
      <c r="K154"/>
      <c r="L154"/>
      <c r="M154"/>
      <c r="N154"/>
      <c r="O154"/>
      <c r="P154" s="115"/>
      <c r="Q154" s="115"/>
      <c r="R154" s="115"/>
      <c r="S154"/>
      <c r="T154"/>
      <c r="U154"/>
      <c r="V154"/>
      <c r="W154"/>
      <c r="X154" s="189"/>
      <c r="Y154"/>
      <c r="Z154"/>
      <c r="AA154"/>
      <c r="AB154"/>
    </row>
    <row r="155" spans="2:28" s="4" customFormat="1" x14ac:dyDescent="0.25">
      <c r="B155"/>
      <c r="C155" s="126"/>
      <c r="D155" s="189"/>
      <c r="E155"/>
      <c r="F155"/>
      <c r="G155"/>
      <c r="H155"/>
      <c r="I155"/>
      <c r="J155"/>
      <c r="K155"/>
      <c r="L155"/>
      <c r="M155"/>
      <c r="N155"/>
      <c r="O155"/>
      <c r="P155"/>
      <c r="Q155"/>
      <c r="R155"/>
      <c r="S155"/>
      <c r="T155"/>
      <c r="U155"/>
      <c r="V155"/>
      <c r="W155"/>
      <c r="X155" s="189"/>
      <c r="Y155"/>
      <c r="Z155"/>
      <c r="AA155"/>
      <c r="AB155"/>
    </row>
    <row r="156" spans="2:28" s="4" customFormat="1" x14ac:dyDescent="0.25">
      <c r="B156"/>
      <c r="C156"/>
      <c r="D156" s="189"/>
      <c r="E156"/>
      <c r="F156"/>
      <c r="G156"/>
      <c r="H156"/>
      <c r="I156"/>
      <c r="J156"/>
      <c r="K156"/>
      <c r="L156"/>
      <c r="M156"/>
      <c r="N156"/>
      <c r="O156"/>
      <c r="P156"/>
      <c r="Q156"/>
      <c r="R156"/>
      <c r="S156"/>
      <c r="T156"/>
      <c r="U156"/>
      <c r="V156"/>
      <c r="W156"/>
      <c r="X156" s="189"/>
      <c r="Y156"/>
      <c r="Z156"/>
      <c r="AA156"/>
      <c r="AB156"/>
    </row>
    <row r="157" spans="2:28" s="4" customFormat="1" x14ac:dyDescent="0.25">
      <c r="B157"/>
      <c r="C157"/>
      <c r="D157" s="189"/>
      <c r="E157"/>
      <c r="F157"/>
      <c r="G157"/>
      <c r="H157"/>
      <c r="I157"/>
      <c r="J157"/>
      <c r="K157"/>
      <c r="L157"/>
      <c r="M157"/>
      <c r="N157"/>
      <c r="O157"/>
      <c r="P157"/>
      <c r="Q157"/>
      <c r="R157"/>
      <c r="S157"/>
      <c r="T157"/>
      <c r="U157"/>
      <c r="V157"/>
      <c r="W157"/>
      <c r="X157" s="189"/>
      <c r="Y157"/>
      <c r="Z157"/>
      <c r="AA157"/>
      <c r="AB157"/>
    </row>
    <row r="158" spans="2:28" s="4" customFormat="1" x14ac:dyDescent="0.25">
      <c r="B158" s="115"/>
      <c r="C158" s="115"/>
      <c r="D158" s="127"/>
      <c r="E158" s="115"/>
      <c r="F158" s="115"/>
      <c r="G158" s="115"/>
      <c r="H158" s="115"/>
      <c r="I158" s="115"/>
      <c r="J158" s="115"/>
      <c r="K158" s="115"/>
      <c r="L158" s="115"/>
      <c r="M158" s="115"/>
      <c r="N158" s="115"/>
      <c r="O158" s="115"/>
      <c r="P158"/>
      <c r="Q158"/>
      <c r="R158"/>
      <c r="S158"/>
      <c r="T158"/>
      <c r="U158"/>
      <c r="V158"/>
      <c r="W158"/>
      <c r="X158" s="189"/>
      <c r="Y158"/>
      <c r="Z158"/>
      <c r="AA158"/>
      <c r="AB158"/>
    </row>
    <row r="159" spans="2:28" s="4" customFormat="1" x14ac:dyDescent="0.25">
      <c r="B159"/>
      <c r="C159" s="115"/>
      <c r="D159" s="127"/>
      <c r="E159" s="115"/>
      <c r="F159" s="115"/>
      <c r="G159"/>
      <c r="H159"/>
      <c r="I159"/>
      <c r="J159"/>
      <c r="K159"/>
      <c r="L159"/>
      <c r="M159"/>
      <c r="N159"/>
      <c r="O159"/>
      <c r="P159"/>
      <c r="Q159"/>
      <c r="R159"/>
      <c r="S159"/>
      <c r="T159"/>
      <c r="U159"/>
      <c r="V159"/>
      <c r="W159"/>
      <c r="X159" s="189"/>
      <c r="Y159"/>
      <c r="Z159"/>
      <c r="AA159"/>
      <c r="AB159"/>
    </row>
    <row r="160" spans="2:28" s="4" customFormat="1" x14ac:dyDescent="0.25">
      <c r="B160"/>
      <c r="C160" s="114"/>
      <c r="D160" s="127"/>
      <c r="E160" s="115"/>
      <c r="F160" s="115"/>
      <c r="G160"/>
      <c r="H160"/>
      <c r="I160"/>
      <c r="J160"/>
      <c r="K160"/>
      <c r="L160"/>
      <c r="M160"/>
      <c r="N160"/>
      <c r="O160"/>
      <c r="P160"/>
      <c r="Q160"/>
      <c r="R160"/>
      <c r="S160"/>
      <c r="T160"/>
      <c r="U160"/>
      <c r="V160"/>
      <c r="W160"/>
      <c r="X160" s="189"/>
      <c r="Y160"/>
      <c r="Z160"/>
      <c r="AA160"/>
      <c r="AB160"/>
    </row>
    <row r="161" spans="2:28" s="4" customFormat="1" x14ac:dyDescent="0.25">
      <c r="B161"/>
      <c r="C161" s="117"/>
      <c r="D161" s="189"/>
      <c r="E161" s="116"/>
      <c r="F161" s="116"/>
      <c r="G161"/>
      <c r="H161"/>
      <c r="I161"/>
      <c r="J161"/>
      <c r="K161"/>
      <c r="L161"/>
      <c r="M161"/>
      <c r="N161"/>
      <c r="O161"/>
      <c r="P161"/>
      <c r="Q161"/>
      <c r="R161"/>
      <c r="S161" s="115"/>
      <c r="T161" s="115"/>
      <c r="U161" s="115"/>
      <c r="V161" s="115"/>
      <c r="W161" s="115"/>
      <c r="X161" s="127"/>
      <c r="Y161" s="115"/>
      <c r="Z161" s="115"/>
      <c r="AA161" s="115"/>
      <c r="AB161" s="115"/>
    </row>
    <row r="162" spans="2:28" s="4" customFormat="1" x14ac:dyDescent="0.25">
      <c r="B162"/>
      <c r="C162" s="125"/>
      <c r="D162" s="189"/>
      <c r="E162"/>
      <c r="F162"/>
      <c r="G162"/>
      <c r="H162"/>
      <c r="I162"/>
      <c r="J162"/>
      <c r="K162"/>
      <c r="L162"/>
      <c r="M162"/>
      <c r="N162"/>
      <c r="O162"/>
      <c r="P162"/>
      <c r="Q162"/>
      <c r="R162"/>
      <c r="S162"/>
      <c r="T162"/>
      <c r="U162"/>
      <c r="V162"/>
      <c r="W162"/>
      <c r="X162" s="189"/>
      <c r="Y162"/>
      <c r="Z162"/>
      <c r="AA162"/>
      <c r="AB162"/>
    </row>
    <row r="163" spans="2:28" s="4" customFormat="1" x14ac:dyDescent="0.25">
      <c r="B163"/>
      <c r="C163" s="117"/>
      <c r="D163" s="189"/>
      <c r="E163"/>
      <c r="F163"/>
      <c r="G163"/>
      <c r="H163"/>
      <c r="I163"/>
      <c r="J163"/>
      <c r="K163"/>
      <c r="L163"/>
      <c r="M163"/>
      <c r="N163"/>
      <c r="O163"/>
      <c r="P163"/>
      <c r="Q163"/>
      <c r="R163"/>
      <c r="S163"/>
      <c r="T163"/>
      <c r="U163"/>
      <c r="V163"/>
      <c r="W163"/>
      <c r="X163" s="189"/>
      <c r="Y163"/>
      <c r="Z163"/>
      <c r="AA163"/>
      <c r="AB163"/>
    </row>
    <row r="164" spans="2:28" s="4" customFormat="1" x14ac:dyDescent="0.25">
      <c r="B164"/>
      <c r="C164" s="117"/>
      <c r="D164" s="189"/>
      <c r="E164"/>
      <c r="F164"/>
      <c r="G164"/>
      <c r="H164"/>
      <c r="I164"/>
      <c r="J164"/>
      <c r="K164"/>
      <c r="L164"/>
      <c r="M164"/>
      <c r="N164"/>
      <c r="O164"/>
      <c r="P164"/>
      <c r="Q164"/>
      <c r="R164"/>
      <c r="S164"/>
      <c r="T164"/>
      <c r="U164"/>
      <c r="V164"/>
      <c r="W164"/>
      <c r="X164" s="189"/>
      <c r="Y164"/>
      <c r="Z164"/>
      <c r="AA164"/>
      <c r="AB164"/>
    </row>
    <row r="165" spans="2:28" s="4" customFormat="1" x14ac:dyDescent="0.25">
      <c r="B165"/>
      <c r="C165" s="117"/>
      <c r="D165" s="189"/>
      <c r="E165"/>
      <c r="F165"/>
      <c r="G165"/>
      <c r="H165"/>
      <c r="I165"/>
      <c r="J165"/>
      <c r="K165"/>
      <c r="L165"/>
      <c r="M165"/>
      <c r="N165"/>
      <c r="O165"/>
      <c r="P165"/>
      <c r="Q165"/>
      <c r="R165"/>
      <c r="S165"/>
      <c r="T165"/>
      <c r="U165"/>
      <c r="V165"/>
      <c r="W165"/>
      <c r="X165" s="189"/>
      <c r="Y165"/>
      <c r="Z165"/>
      <c r="AA165"/>
      <c r="AB165"/>
    </row>
    <row r="166" spans="2:28" s="4" customFormat="1" x14ac:dyDescent="0.25">
      <c r="B166"/>
      <c r="C166" s="124"/>
      <c r="D166" s="189"/>
      <c r="E166"/>
      <c r="F166"/>
      <c r="G166"/>
      <c r="H166"/>
      <c r="I166"/>
      <c r="J166"/>
      <c r="K166"/>
      <c r="L166"/>
      <c r="M166"/>
      <c r="N166"/>
      <c r="O166"/>
      <c r="P166"/>
      <c r="Q166"/>
      <c r="R166"/>
      <c r="S166"/>
      <c r="T166"/>
      <c r="U166"/>
      <c r="V166"/>
      <c r="W166"/>
      <c r="X166" s="189"/>
      <c r="Y166"/>
      <c r="Z166"/>
      <c r="AA166"/>
      <c r="AB166"/>
    </row>
    <row r="167" spans="2:28" s="4" customFormat="1" x14ac:dyDescent="0.25">
      <c r="B167"/>
      <c r="C167"/>
      <c r="D167" s="189"/>
      <c r="E167" s="116"/>
      <c r="F167" s="116"/>
      <c r="G167"/>
      <c r="H167"/>
      <c r="I167"/>
      <c r="J167"/>
      <c r="K167"/>
      <c r="L167"/>
      <c r="M167"/>
      <c r="N167"/>
      <c r="O167"/>
      <c r="P167"/>
      <c r="Q167"/>
      <c r="R167"/>
      <c r="S167"/>
      <c r="T167"/>
      <c r="U167"/>
      <c r="V167"/>
      <c r="W167"/>
      <c r="X167" s="189"/>
      <c r="Y167"/>
      <c r="Z167"/>
      <c r="AA167"/>
      <c r="AB167"/>
    </row>
    <row r="168" spans="2:28" s="4" customFormat="1" x14ac:dyDescent="0.25">
      <c r="B168"/>
      <c r="C168" s="114"/>
      <c r="D168" s="127"/>
      <c r="E168"/>
      <c r="F168"/>
      <c r="G168"/>
      <c r="H168"/>
      <c r="I168"/>
      <c r="J168"/>
      <c r="K168"/>
      <c r="L168"/>
      <c r="M168"/>
      <c r="N168"/>
      <c r="O168"/>
      <c r="P168"/>
      <c r="Q168"/>
      <c r="R168"/>
      <c r="S168"/>
      <c r="T168"/>
      <c r="U168"/>
      <c r="V168"/>
      <c r="W168"/>
      <c r="X168" s="189"/>
      <c r="Y168"/>
      <c r="Z168"/>
      <c r="AA168"/>
      <c r="AB168"/>
    </row>
    <row r="169" spans="2:28" s="4" customFormat="1" x14ac:dyDescent="0.25">
      <c r="B169"/>
      <c r="C169" s="127"/>
      <c r="D169" s="127"/>
      <c r="E169"/>
      <c r="F169"/>
      <c r="G169"/>
      <c r="H169"/>
      <c r="I169"/>
      <c r="J169"/>
      <c r="K169"/>
      <c r="L169"/>
      <c r="M169"/>
      <c r="N169"/>
      <c r="O169"/>
      <c r="P169"/>
      <c r="Q169"/>
      <c r="R169"/>
      <c r="S169"/>
      <c r="T169"/>
      <c r="U169"/>
      <c r="V169"/>
      <c r="W169"/>
      <c r="X169" s="189"/>
      <c r="Y169"/>
      <c r="Z169"/>
      <c r="AA169"/>
      <c r="AB169"/>
    </row>
    <row r="170" spans="2:28" s="4" customFormat="1" x14ac:dyDescent="0.25">
      <c r="B170"/>
      <c r="C170" s="125"/>
      <c r="D170" s="189"/>
      <c r="E170"/>
      <c r="F170"/>
      <c r="G170"/>
      <c r="H170"/>
      <c r="I170"/>
      <c r="J170"/>
      <c r="K170"/>
      <c r="L170"/>
      <c r="M170"/>
      <c r="N170"/>
      <c r="O170"/>
      <c r="P170"/>
      <c r="Q170"/>
      <c r="R170"/>
      <c r="S170"/>
      <c r="T170"/>
      <c r="U170"/>
      <c r="V170"/>
      <c r="W170"/>
      <c r="X170" s="189"/>
      <c r="Y170"/>
      <c r="Z170"/>
      <c r="AA170"/>
      <c r="AB170"/>
    </row>
    <row r="171" spans="2:28" s="4" customFormat="1" x14ac:dyDescent="0.25">
      <c r="B171"/>
      <c r="C171" s="127"/>
      <c r="D171" s="127"/>
      <c r="E171"/>
      <c r="F171"/>
      <c r="G171"/>
      <c r="H171"/>
      <c r="I171"/>
      <c r="J171"/>
      <c r="K171"/>
      <c r="L171"/>
      <c r="M171"/>
      <c r="N171"/>
      <c r="O171"/>
      <c r="P171"/>
      <c r="Q171"/>
      <c r="R171"/>
      <c r="S171"/>
      <c r="T171"/>
      <c r="U171"/>
      <c r="V171"/>
      <c r="W171"/>
      <c r="X171" s="189"/>
      <c r="Y171"/>
      <c r="Z171"/>
      <c r="AA171"/>
      <c r="AB171"/>
    </row>
    <row r="172" spans="2:28" s="4" customFormat="1" x14ac:dyDescent="0.25">
      <c r="B172"/>
      <c r="C172"/>
      <c r="D172" s="189"/>
      <c r="E172"/>
      <c r="F172"/>
      <c r="G172"/>
      <c r="H172"/>
      <c r="I172"/>
      <c r="J172"/>
      <c r="K172"/>
      <c r="L172"/>
      <c r="M172"/>
      <c r="N172"/>
      <c r="O172"/>
      <c r="P172"/>
      <c r="Q172"/>
      <c r="R172"/>
      <c r="S172"/>
      <c r="T172"/>
      <c r="U172"/>
      <c r="V172"/>
      <c r="W172"/>
      <c r="X172" s="189"/>
      <c r="Y172"/>
      <c r="Z172"/>
      <c r="AA172"/>
      <c r="AB172"/>
    </row>
    <row r="173" spans="2:28" s="4" customFormat="1" x14ac:dyDescent="0.25">
      <c r="B173"/>
      <c r="C173" s="128"/>
      <c r="D173" s="189"/>
      <c r="E173"/>
      <c r="F173"/>
      <c r="G173"/>
      <c r="H173"/>
      <c r="I173"/>
      <c r="J173"/>
      <c r="K173"/>
      <c r="L173"/>
      <c r="M173"/>
      <c r="N173"/>
      <c r="O173"/>
      <c r="P173"/>
      <c r="Q173"/>
      <c r="R173"/>
      <c r="S173"/>
      <c r="T173"/>
      <c r="U173"/>
      <c r="V173"/>
      <c r="W173"/>
      <c r="X173" s="189"/>
      <c r="Y173"/>
      <c r="Z173"/>
      <c r="AA173"/>
      <c r="AB173"/>
    </row>
    <row r="174" spans="2:28" s="4" customFormat="1" x14ac:dyDescent="0.25">
      <c r="B174"/>
      <c r="C174" s="128"/>
      <c r="D174" s="189"/>
      <c r="E174"/>
      <c r="F174"/>
      <c r="G174"/>
      <c r="H174"/>
      <c r="I174"/>
      <c r="J174"/>
      <c r="K174"/>
      <c r="L174"/>
      <c r="M174"/>
      <c r="N174"/>
      <c r="O174"/>
      <c r="P174"/>
      <c r="Q174"/>
      <c r="R174"/>
      <c r="S174"/>
      <c r="T174"/>
      <c r="U174"/>
      <c r="V174"/>
      <c r="W174"/>
      <c r="X174" s="189"/>
      <c r="Y174"/>
      <c r="Z174"/>
      <c r="AA174"/>
      <c r="AB174"/>
    </row>
    <row r="175" spans="2:28" s="4" customFormat="1" x14ac:dyDescent="0.25">
      <c r="B175"/>
      <c r="C175" s="129"/>
      <c r="D175" s="189"/>
      <c r="E175"/>
      <c r="F175"/>
      <c r="G175"/>
      <c r="H175"/>
      <c r="I175"/>
      <c r="J175"/>
      <c r="K175"/>
      <c r="L175"/>
      <c r="M175"/>
      <c r="N175"/>
      <c r="O175"/>
      <c r="P175"/>
      <c r="Q175"/>
      <c r="R175"/>
      <c r="S175"/>
      <c r="T175"/>
      <c r="U175"/>
      <c r="V175"/>
      <c r="W175"/>
      <c r="X175" s="189"/>
      <c r="Y175"/>
      <c r="Z175"/>
      <c r="AA175"/>
      <c r="AB175"/>
    </row>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sheetData>
  <sheetProtection selectLockedCells="1" selectUnlockedCells="1"/>
  <mergeCells count="131">
    <mergeCell ref="B2:N2"/>
    <mergeCell ref="P2:AC2"/>
    <mergeCell ref="C3:D3"/>
    <mergeCell ref="G3:N3"/>
    <mergeCell ref="B4:B6"/>
    <mergeCell ref="C4:D4"/>
    <mergeCell ref="G4:N4"/>
    <mergeCell ref="C5:D5"/>
    <mergeCell ref="G5:N5"/>
    <mergeCell ref="C6:D6"/>
    <mergeCell ref="G6:N6"/>
    <mergeCell ref="B15:B19"/>
    <mergeCell ref="C15:D15"/>
    <mergeCell ref="G15:N15"/>
    <mergeCell ref="C16:D16"/>
    <mergeCell ref="G16:N16"/>
    <mergeCell ref="G19:N19"/>
    <mergeCell ref="C11:D11"/>
    <mergeCell ref="G11:N11"/>
    <mergeCell ref="C12:D12"/>
    <mergeCell ref="G12:N12"/>
    <mergeCell ref="C13:D13"/>
    <mergeCell ref="G13:N13"/>
    <mergeCell ref="B7:B14"/>
    <mergeCell ref="C7:D7"/>
    <mergeCell ref="G7:N7"/>
    <mergeCell ref="C8:D8"/>
    <mergeCell ref="G8:N8"/>
    <mergeCell ref="C9:D9"/>
    <mergeCell ref="G9:N9"/>
    <mergeCell ref="C10:D10"/>
    <mergeCell ref="G10:N10"/>
    <mergeCell ref="C14:D14"/>
    <mergeCell ref="G14:N14"/>
    <mergeCell ref="P16:Z16"/>
    <mergeCell ref="C17:D17"/>
    <mergeCell ref="G17:N17"/>
    <mergeCell ref="P17:R19"/>
    <mergeCell ref="S17:T19"/>
    <mergeCell ref="U17:V19"/>
    <mergeCell ref="W17:Z19"/>
    <mergeCell ref="C18:D18"/>
    <mergeCell ref="G18:N18"/>
    <mergeCell ref="C19:D19"/>
    <mergeCell ref="W20:Z20"/>
    <mergeCell ref="C21:D21"/>
    <mergeCell ref="G21:N21"/>
    <mergeCell ref="C22:D22"/>
    <mergeCell ref="G22:N22"/>
    <mergeCell ref="P22:Z22"/>
    <mergeCell ref="B20:B31"/>
    <mergeCell ref="C20:D20"/>
    <mergeCell ref="G20:N20"/>
    <mergeCell ref="P20:R20"/>
    <mergeCell ref="S20:T20"/>
    <mergeCell ref="U20:V20"/>
    <mergeCell ref="C23:D23"/>
    <mergeCell ref="G23:N23"/>
    <mergeCell ref="P23:P25"/>
    <mergeCell ref="Q23:Q25"/>
    <mergeCell ref="Y23:Y25"/>
    <mergeCell ref="Z23:Z25"/>
    <mergeCell ref="C24:D24"/>
    <mergeCell ref="G24:N24"/>
    <mergeCell ref="C25:D25"/>
    <mergeCell ref="G25:N25"/>
    <mergeCell ref="R23:R25"/>
    <mergeCell ref="S23:S25"/>
    <mergeCell ref="T23:T25"/>
    <mergeCell ref="U23:U25"/>
    <mergeCell ref="V23:V25"/>
    <mergeCell ref="W23:X25"/>
    <mergeCell ref="C28:D28"/>
    <mergeCell ref="G28:N28"/>
    <mergeCell ref="W28:X28"/>
    <mergeCell ref="C29:D29"/>
    <mergeCell ref="G29:N29"/>
    <mergeCell ref="W29:X29"/>
    <mergeCell ref="C26:D26"/>
    <mergeCell ref="G26:N26"/>
    <mergeCell ref="W26:X26"/>
    <mergeCell ref="C27:D27"/>
    <mergeCell ref="G27:N27"/>
    <mergeCell ref="W27:X27"/>
    <mergeCell ref="C32:D32"/>
    <mergeCell ref="G32:N32"/>
    <mergeCell ref="W32:X32"/>
    <mergeCell ref="C33:D33"/>
    <mergeCell ref="G33:N33"/>
    <mergeCell ref="B37:AC37"/>
    <mergeCell ref="C30:D30"/>
    <mergeCell ref="G30:N30"/>
    <mergeCell ref="W30:X30"/>
    <mergeCell ref="C31:D31"/>
    <mergeCell ref="G31:N31"/>
    <mergeCell ref="W31:X31"/>
    <mergeCell ref="B38:C40"/>
    <mergeCell ref="D38:L38"/>
    <mergeCell ref="N38:V38"/>
    <mergeCell ref="X38:AA38"/>
    <mergeCell ref="AC38:AC40"/>
    <mergeCell ref="D39:D40"/>
    <mergeCell ref="E39:E40"/>
    <mergeCell ref="F39:F40"/>
    <mergeCell ref="G39:G40"/>
    <mergeCell ref="H39:H40"/>
    <mergeCell ref="S39:S40"/>
    <mergeCell ref="T39:T40"/>
    <mergeCell ref="U39:U40"/>
    <mergeCell ref="V39:V40"/>
    <mergeCell ref="X39:Z39"/>
    <mergeCell ref="AA39:AA40"/>
    <mergeCell ref="I39:I40"/>
    <mergeCell ref="J39:J40"/>
    <mergeCell ref="K39:K40"/>
    <mergeCell ref="L39:L40"/>
    <mergeCell ref="N39:O40"/>
    <mergeCell ref="P39:R39"/>
    <mergeCell ref="X49:Z49"/>
    <mergeCell ref="B44:C44"/>
    <mergeCell ref="N44:O44"/>
    <mergeCell ref="B45:C45"/>
    <mergeCell ref="N45:O45"/>
    <mergeCell ref="B46:C46"/>
    <mergeCell ref="N46:O46"/>
    <mergeCell ref="B41:C41"/>
    <mergeCell ref="N41:O41"/>
    <mergeCell ref="B42:C42"/>
    <mergeCell ref="N42:O42"/>
    <mergeCell ref="B43:C43"/>
    <mergeCell ref="N43:O43"/>
  </mergeCells>
  <conditionalFormatting sqref="Y26:Y33">
    <cfRule type="cellIs" dxfId="12" priority="6" stopIfTrue="1" operator="greaterThan">
      <formula>0</formula>
    </cfRule>
  </conditionalFormatting>
  <conditionalFormatting sqref="U33:X33">
    <cfRule type="cellIs" dxfId="11" priority="7" stopIfTrue="1" operator="lessThan">
      <formula>0</formula>
    </cfRule>
    <cfRule type="cellIs" dxfId="10" priority="8" stopIfTrue="1" operator="greaterThan">
      <formula>0</formula>
    </cfRule>
  </conditionalFormatting>
  <conditionalFormatting sqref="Y41:Y46">
    <cfRule type="cellIs" dxfId="9" priority="10" stopIfTrue="1" operator="equal">
      <formula>"Låg"</formula>
    </cfRule>
  </conditionalFormatting>
  <conditionalFormatting sqref="Y41:Y46">
    <cfRule type="cellIs" dxfId="8" priority="11" stopIfTrue="1" operator="equal">
      <formula>"Medel"</formula>
    </cfRule>
  </conditionalFormatting>
  <conditionalFormatting sqref="Y41:Y46">
    <cfRule type="cellIs" dxfId="7" priority="12" stopIfTrue="1" operator="equal">
      <formula>"Hög"</formula>
    </cfRule>
  </conditionalFormatting>
  <conditionalFormatting sqref="X48">
    <cfRule type="expression" dxfId="6" priority="9" stopIfTrue="1">
      <formula>LEN(TRIM(#REF!))&gt;0</formula>
    </cfRule>
  </conditionalFormatting>
  <conditionalFormatting sqref="X49">
    <cfRule type="notContainsBlanks" dxfId="5" priority="5">
      <formula>LEN(TRIM(X49))&gt;0</formula>
    </cfRule>
  </conditionalFormatting>
  <conditionalFormatting sqref="E41:E46">
    <cfRule type="cellIs" dxfId="4" priority="2" stopIfTrue="1" operator="equal">
      <formula>"Low"</formula>
    </cfRule>
    <cfRule type="cellIs" dxfId="3" priority="3" stopIfTrue="1" operator="equal">
      <formula>"Medium"</formula>
    </cfRule>
    <cfRule type="cellIs" dxfId="2" priority="4" stopIfTrue="1" operator="equal">
      <formula>"High"</formula>
    </cfRule>
  </conditionalFormatting>
  <dataValidations count="3">
    <dataValidation type="list" allowBlank="1" showErrorMessage="1" sqref="D41:D46 X41:X46 P41:P46">
      <formula1>"Välj,Operator,Swedish Transport Administration,Haulage contractor,Electricity grid operator,Electricity supplier,Truck manufacturer"</formula1>
    </dataValidation>
    <dataValidation type="list" allowBlank="1" showErrorMessage="1" sqref="E42:E46">
      <formula1>"Välj,Low,Medium,High"</formula1>
    </dataValidation>
    <dataValidation type="list" allowBlank="1" showErrorMessage="1" sqref="E41">
      <formula1>"Välj,Low,Medium,High"</formula1>
    </dataValidation>
  </dataValidations>
  <pageMargins left="0.7" right="0.7" top="0.75" bottom="0.75" header="0.51180555555555551" footer="0.51180555555555551"/>
  <pageSetup paperSize="9" firstPageNumber="0"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0"/>
  </sheetPr>
  <dimension ref="A1:K26"/>
  <sheetViews>
    <sheetView topLeftCell="A4" zoomScaleNormal="100" workbookViewId="0">
      <selection activeCell="I26" sqref="I26"/>
    </sheetView>
  </sheetViews>
  <sheetFormatPr defaultRowHeight="15" x14ac:dyDescent="0.25"/>
  <cols>
    <col min="1" max="1" width="9.140625" style="130"/>
    <col min="2" max="2" width="45" style="130" customWidth="1"/>
    <col min="3" max="3" width="7.85546875" style="130" customWidth="1"/>
    <col min="4" max="4" width="7.7109375" style="130" customWidth="1"/>
    <col min="5" max="5" width="8.140625" style="130" customWidth="1"/>
    <col min="6" max="8" width="0" style="130" hidden="1" customWidth="1"/>
    <col min="9" max="9" width="57.28515625" style="131" customWidth="1"/>
    <col min="10" max="16384" width="9.140625" style="130"/>
  </cols>
  <sheetData>
    <row r="1" spans="1:11" ht="14.45" customHeight="1" x14ac:dyDescent="0.25">
      <c r="A1" s="264" t="s">
        <v>144</v>
      </c>
      <c r="B1" s="264"/>
      <c r="C1" s="264"/>
      <c r="D1" s="264"/>
      <c r="E1" s="264"/>
      <c r="F1"/>
      <c r="G1"/>
      <c r="H1"/>
      <c r="I1"/>
      <c r="J1"/>
      <c r="K1"/>
    </row>
    <row r="2" spans="1:11" x14ac:dyDescent="0.25">
      <c r="A2" s="264"/>
      <c r="B2" s="264"/>
      <c r="C2" s="264"/>
      <c r="D2" s="264"/>
      <c r="E2" s="264"/>
      <c r="F2"/>
      <c r="G2"/>
      <c r="H2"/>
      <c r="I2"/>
      <c r="J2"/>
      <c r="K2"/>
    </row>
    <row r="3" spans="1:11" x14ac:dyDescent="0.25">
      <c r="A3" s="264"/>
      <c r="B3" s="264"/>
      <c r="C3" s="264"/>
      <c r="D3" s="264"/>
      <c r="E3" s="264"/>
      <c r="F3"/>
      <c r="G3"/>
      <c r="H3"/>
      <c r="I3"/>
      <c r="J3"/>
      <c r="K3"/>
    </row>
    <row r="4" spans="1:11" x14ac:dyDescent="0.25">
      <c r="B4" s="132"/>
      <c r="C4" s="133">
        <v>2020</v>
      </c>
      <c r="D4" s="134">
        <v>2040</v>
      </c>
      <c r="E4" s="135">
        <v>2060</v>
      </c>
      <c r="F4"/>
      <c r="G4"/>
      <c r="H4"/>
      <c r="I4"/>
      <c r="J4"/>
      <c r="K4"/>
    </row>
    <row r="5" spans="1:11" x14ac:dyDescent="0.25">
      <c r="B5" s="136" t="s">
        <v>52</v>
      </c>
      <c r="C5" s="137" t="s">
        <v>126</v>
      </c>
      <c r="D5" s="137" t="s">
        <v>126</v>
      </c>
      <c r="E5" s="137" t="s">
        <v>126</v>
      </c>
      <c r="F5" s="138" t="s">
        <v>126</v>
      </c>
      <c r="G5" s="139" t="s">
        <v>127</v>
      </c>
      <c r="H5" s="138" t="s">
        <v>127</v>
      </c>
      <c r="I5" s="140"/>
      <c r="J5"/>
      <c r="K5"/>
    </row>
    <row r="6" spans="1:11" x14ac:dyDescent="0.25">
      <c r="B6" s="141" t="s">
        <v>145</v>
      </c>
      <c r="C6" s="142" t="s">
        <v>128</v>
      </c>
      <c r="D6" s="142" t="s">
        <v>128</v>
      </c>
      <c r="E6" s="142" t="s">
        <v>128</v>
      </c>
      <c r="F6" s="143" t="s">
        <v>129</v>
      </c>
      <c r="G6" s="144" t="s">
        <v>130</v>
      </c>
      <c r="H6" s="143" t="s">
        <v>131</v>
      </c>
      <c r="I6" s="140"/>
      <c r="J6"/>
      <c r="K6"/>
    </row>
    <row r="7" spans="1:11" ht="60" x14ac:dyDescent="0.25">
      <c r="B7" s="145" t="s">
        <v>146</v>
      </c>
      <c r="C7" s="146">
        <v>0.21</v>
      </c>
      <c r="D7" s="146">
        <v>0.4</v>
      </c>
      <c r="E7" s="146">
        <v>0.85</v>
      </c>
      <c r="F7" s="147">
        <v>0.193</v>
      </c>
      <c r="G7" s="147">
        <v>2.5999999999999995E-2</v>
      </c>
      <c r="H7" s="147">
        <v>2.5999999999999995E-2</v>
      </c>
      <c r="I7" s="148" t="s">
        <v>165</v>
      </c>
      <c r="J7"/>
      <c r="K7"/>
    </row>
    <row r="8" spans="1:11" ht="43.15" customHeight="1" x14ac:dyDescent="0.25">
      <c r="B8" s="149" t="s">
        <v>147</v>
      </c>
      <c r="C8" s="150">
        <v>4</v>
      </c>
      <c r="D8" s="150">
        <v>4</v>
      </c>
      <c r="E8" s="150">
        <v>4</v>
      </c>
      <c r="F8" s="151">
        <v>4</v>
      </c>
      <c r="G8" s="151">
        <v>5</v>
      </c>
      <c r="H8" s="151">
        <v>5</v>
      </c>
      <c r="I8" s="152"/>
      <c r="J8"/>
      <c r="K8"/>
    </row>
    <row r="9" spans="1:11" x14ac:dyDescent="0.25">
      <c r="B9" s="145" t="s">
        <v>148</v>
      </c>
      <c r="C9" s="153">
        <v>0.8640000000000001</v>
      </c>
      <c r="D9" s="153">
        <v>0.8640000000000001</v>
      </c>
      <c r="E9" s="153">
        <v>0.8640000000000001</v>
      </c>
      <c r="F9" s="154">
        <v>0.59100000000000008</v>
      </c>
      <c r="G9" s="154">
        <v>0.6090000000000001</v>
      </c>
      <c r="H9" s="154">
        <v>0.84499999999999986</v>
      </c>
      <c r="I9" s="140"/>
      <c r="J9"/>
      <c r="K9"/>
    </row>
    <row r="10" spans="1:11" x14ac:dyDescent="0.25">
      <c r="B10" s="145" t="s">
        <v>149</v>
      </c>
      <c r="C10" s="155">
        <v>95.1</v>
      </c>
      <c r="D10" s="155">
        <v>95.1</v>
      </c>
      <c r="E10" s="155">
        <v>95.1</v>
      </c>
      <c r="F10" s="156">
        <v>95.1</v>
      </c>
      <c r="G10" s="156">
        <v>93.3</v>
      </c>
      <c r="H10" s="156">
        <v>93.3</v>
      </c>
      <c r="I10" s="157"/>
      <c r="J10"/>
      <c r="K10"/>
    </row>
    <row r="11" spans="1:11" x14ac:dyDescent="0.25">
      <c r="B11" s="145" t="s">
        <v>150</v>
      </c>
      <c r="C11" s="158">
        <f t="shared" ref="C11:H11" si="0">C10*(1-C9)</f>
        <v>12.93359999999999</v>
      </c>
      <c r="D11" s="158">
        <f t="shared" si="0"/>
        <v>12.93359999999999</v>
      </c>
      <c r="E11" s="158">
        <f t="shared" si="0"/>
        <v>12.93359999999999</v>
      </c>
      <c r="F11" s="159">
        <f t="shared" si="0"/>
        <v>38.89589999999999</v>
      </c>
      <c r="G11" s="159">
        <f t="shared" si="0"/>
        <v>36.480299999999993</v>
      </c>
      <c r="H11" s="159">
        <f t="shared" si="0"/>
        <v>14.461500000000012</v>
      </c>
      <c r="I11" s="160"/>
      <c r="J11"/>
      <c r="K11"/>
    </row>
    <row r="12" spans="1:11" x14ac:dyDescent="0.25">
      <c r="B12" s="145" t="s">
        <v>151</v>
      </c>
      <c r="C12" s="155">
        <f t="shared" ref="C12:H12" si="1">C10-C11</f>
        <v>82.16640000000001</v>
      </c>
      <c r="D12" s="155">
        <f t="shared" si="1"/>
        <v>82.16640000000001</v>
      </c>
      <c r="E12" s="155">
        <f t="shared" si="1"/>
        <v>82.16640000000001</v>
      </c>
      <c r="F12" s="161">
        <f t="shared" si="1"/>
        <v>56.204100000000004</v>
      </c>
      <c r="G12" s="161">
        <f t="shared" si="1"/>
        <v>56.819700000000005</v>
      </c>
      <c r="H12" s="161">
        <f t="shared" si="1"/>
        <v>78.838499999999982</v>
      </c>
      <c r="I12"/>
      <c r="J12"/>
      <c r="K12"/>
    </row>
    <row r="13" spans="1:11" x14ac:dyDescent="0.25">
      <c r="B13" s="145" t="s">
        <v>152</v>
      </c>
      <c r="C13" s="162">
        <f t="shared" ref="C13:H13" si="2">C8*(C12/1000)</f>
        <v>0.32866560000000006</v>
      </c>
      <c r="D13" s="162">
        <f t="shared" si="2"/>
        <v>0.32866560000000006</v>
      </c>
      <c r="E13" s="162">
        <f t="shared" si="2"/>
        <v>0.32866560000000006</v>
      </c>
      <c r="F13" s="163">
        <f t="shared" si="2"/>
        <v>0.22481640000000003</v>
      </c>
      <c r="G13" s="163">
        <f t="shared" si="2"/>
        <v>0.28409850000000003</v>
      </c>
      <c r="H13" s="163">
        <f t="shared" si="2"/>
        <v>0.39419249999999989</v>
      </c>
      <c r="I13" s="164"/>
      <c r="J13"/>
      <c r="K13"/>
    </row>
    <row r="14" spans="1:11" x14ac:dyDescent="0.25">
      <c r="B14" s="145" t="s">
        <v>153</v>
      </c>
      <c r="C14" s="165">
        <v>34</v>
      </c>
      <c r="D14" s="165">
        <v>34</v>
      </c>
      <c r="E14" s="165">
        <v>34</v>
      </c>
      <c r="F14" s="156">
        <v>33</v>
      </c>
      <c r="G14" s="156">
        <v>21.3</v>
      </c>
      <c r="H14" s="156">
        <v>32</v>
      </c>
      <c r="I14" s="140"/>
      <c r="J14"/>
      <c r="K14"/>
    </row>
    <row r="15" spans="1:11" x14ac:dyDescent="0.25">
      <c r="B15" s="145" t="s">
        <v>154</v>
      </c>
      <c r="C15" s="165">
        <v>35.299999999999997</v>
      </c>
      <c r="D15" s="165">
        <v>35.299999999999997</v>
      </c>
      <c r="E15" s="165">
        <v>35.299999999999997</v>
      </c>
      <c r="F15" s="156">
        <v>35.299999999999997</v>
      </c>
      <c r="G15" s="156"/>
      <c r="H15" s="156"/>
      <c r="I15"/>
      <c r="J15"/>
      <c r="K15"/>
    </row>
    <row r="16" spans="1:11" x14ac:dyDescent="0.25">
      <c r="B16" s="145" t="s">
        <v>155</v>
      </c>
      <c r="C16" s="166">
        <f>C13*C15</f>
        <v>11.601895680000002</v>
      </c>
      <c r="D16" s="166">
        <f>D13*D15</f>
        <v>11.601895680000002</v>
      </c>
      <c r="E16" s="166">
        <f>E13*E15</f>
        <v>11.601895680000002</v>
      </c>
      <c r="F16" s="167">
        <f>F13*F14</f>
        <v>7.4189412000000008</v>
      </c>
      <c r="G16" s="167">
        <f>G13*G14</f>
        <v>6.0512980500000007</v>
      </c>
      <c r="H16" s="167">
        <f>H13*H14</f>
        <v>12.614159999999996</v>
      </c>
      <c r="I16" s="168"/>
      <c r="J16"/>
      <c r="K16"/>
    </row>
    <row r="17" spans="2:11" x14ac:dyDescent="0.25">
      <c r="B17" s="145" t="s">
        <v>156</v>
      </c>
      <c r="C17" s="169">
        <v>6.01079356962018</v>
      </c>
      <c r="D17" s="169">
        <v>7.05</v>
      </c>
      <c r="E17" s="169">
        <v>7.33</v>
      </c>
      <c r="F17" s="170">
        <v>4.97</v>
      </c>
      <c r="G17" s="170"/>
      <c r="H17" s="170"/>
      <c r="I17"/>
      <c r="J17" s="171"/>
      <c r="K17" s="171"/>
    </row>
    <row r="18" spans="2:11" x14ac:dyDescent="0.25">
      <c r="B18" s="145" t="s">
        <v>157</v>
      </c>
      <c r="C18" s="172">
        <f>C17/C15</f>
        <v>0.17027743823286631</v>
      </c>
      <c r="D18" s="172">
        <f>D17/D15</f>
        <v>0.19971671388101983</v>
      </c>
      <c r="E18" s="172">
        <f>E17/E15</f>
        <v>0.20764872521246461</v>
      </c>
      <c r="F18" s="167">
        <f>F17/F15</f>
        <v>0.14079320113314447</v>
      </c>
      <c r="G18" s="167"/>
      <c r="H18" s="167"/>
      <c r="I18" s="140"/>
    </row>
    <row r="19" spans="2:11" x14ac:dyDescent="0.25">
      <c r="B19" s="145" t="s">
        <v>158</v>
      </c>
      <c r="C19" s="153">
        <f t="shared" ref="C19:H19" si="3">(C10*C7)/(C12)</f>
        <v>0.2430555555555555</v>
      </c>
      <c r="D19" s="153">
        <f t="shared" si="3"/>
        <v>0.46296296296296291</v>
      </c>
      <c r="E19" s="153">
        <f t="shared" si="3"/>
        <v>0.98379629629629606</v>
      </c>
      <c r="F19" s="154">
        <f t="shared" si="3"/>
        <v>0.32656514382402702</v>
      </c>
      <c r="G19" s="154">
        <f t="shared" si="3"/>
        <v>4.2692939244663365E-2</v>
      </c>
      <c r="H19" s="154">
        <f t="shared" si="3"/>
        <v>3.0769230769230767E-2</v>
      </c>
      <c r="I19" s="140"/>
    </row>
    <row r="20" spans="2:11" ht="30" x14ac:dyDescent="0.25">
      <c r="B20" s="173" t="s">
        <v>163</v>
      </c>
      <c r="C20" s="166">
        <f t="shared" ref="C20:H20" si="4">C19*C16</f>
        <v>2.8199052</v>
      </c>
      <c r="D20" s="166">
        <f t="shared" si="4"/>
        <v>5.3712480000000005</v>
      </c>
      <c r="E20" s="166">
        <f t="shared" si="4"/>
        <v>11.413901999999998</v>
      </c>
      <c r="F20" s="174">
        <f t="shared" si="4"/>
        <v>2.4227675999999998</v>
      </c>
      <c r="G20" s="174">
        <f t="shared" si="4"/>
        <v>0.2583476999999999</v>
      </c>
      <c r="H20" s="174">
        <f t="shared" si="4"/>
        <v>0.38812799999999986</v>
      </c>
      <c r="I20" s="140"/>
    </row>
    <row r="21" spans="2:11" ht="45" x14ac:dyDescent="0.25">
      <c r="B21" s="175" t="s">
        <v>159</v>
      </c>
      <c r="C21" s="166">
        <f t="shared" ref="C21:H21" si="5">C17+C20</f>
        <v>8.8306987696201809</v>
      </c>
      <c r="D21" s="166">
        <f t="shared" si="5"/>
        <v>12.421248</v>
      </c>
      <c r="E21" s="166">
        <f t="shared" si="5"/>
        <v>18.743901999999999</v>
      </c>
      <c r="F21" s="174">
        <f t="shared" si="5"/>
        <v>7.3927675999999991</v>
      </c>
      <c r="G21" s="174">
        <f t="shared" si="5"/>
        <v>0.2583476999999999</v>
      </c>
      <c r="H21" s="174">
        <f t="shared" si="5"/>
        <v>0.38812799999999986</v>
      </c>
      <c r="I21" s="176" t="s">
        <v>164</v>
      </c>
    </row>
    <row r="22" spans="2:11" x14ac:dyDescent="0.25">
      <c r="B22" s="173" t="s">
        <v>160</v>
      </c>
      <c r="C22" s="166">
        <f>4.161*1.02^2</f>
        <v>4.3291043999999994</v>
      </c>
      <c r="D22" s="166">
        <f>4.161*1.02^22</f>
        <v>6.4328214100984349</v>
      </c>
      <c r="E22" s="166">
        <f>4.161*1.02^42</f>
        <v>9.5588342231295726</v>
      </c>
      <c r="F22" s="177"/>
      <c r="G22" s="177"/>
      <c r="H22" s="177"/>
      <c r="I22"/>
    </row>
    <row r="23" spans="2:11" x14ac:dyDescent="0.25">
      <c r="B23" s="173" t="s">
        <v>161</v>
      </c>
      <c r="C23" s="166">
        <f>C21+C22</f>
        <v>13.159803169620179</v>
      </c>
      <c r="D23" s="166">
        <f>D21+D22</f>
        <v>18.854069410098436</v>
      </c>
      <c r="E23" s="166">
        <f>E21+E22</f>
        <v>28.302736223129571</v>
      </c>
      <c r="F23" s="178"/>
      <c r="G23" s="177"/>
      <c r="H23" s="177"/>
      <c r="I23"/>
    </row>
    <row r="24" spans="2:11" x14ac:dyDescent="0.25">
      <c r="B24" s="173"/>
      <c r="C24" s="179"/>
      <c r="D24" s="179"/>
      <c r="E24" s="179"/>
      <c r="F24" s="177"/>
      <c r="G24" s="177"/>
      <c r="H24" s="177"/>
      <c r="I24"/>
    </row>
    <row r="25" spans="2:11" ht="30" x14ac:dyDescent="0.25">
      <c r="B25" s="180" t="s">
        <v>162</v>
      </c>
      <c r="C25" s="181">
        <f>((C10-(C10*(1-C7)))*C15/1000)*C8</f>
        <v>2.8199051999999982</v>
      </c>
      <c r="D25" s="181">
        <f>((D10-(D10*(1-D7)))*D15/1000)*D8</f>
        <v>5.3712479999999996</v>
      </c>
      <c r="E25" s="181">
        <f>((E10-(E10*(1-E7)))*E15/1000)*E8</f>
        <v>11.413901999999998</v>
      </c>
      <c r="F25" s="174">
        <f>((F10-(F10*(1-F7)))*35.3/1000)*F8</f>
        <v>2.5916271600000007</v>
      </c>
      <c r="G25" s="174">
        <f>((G10-(G10*(1-G7)))*35.3/1000)*G8</f>
        <v>0.42815369999999914</v>
      </c>
      <c r="H25" s="174">
        <f>((H10-(H10*(1-H7)))*35.3/1000)*H8</f>
        <v>0.42815369999999914</v>
      </c>
      <c r="I25" s="182"/>
    </row>
    <row r="26" spans="2:11" ht="16.5" customHeight="1" x14ac:dyDescent="0.25"/>
  </sheetData>
  <sheetProtection selectLockedCells="1" selectUnlockedCells="1"/>
  <mergeCells count="1">
    <mergeCell ref="A1:E3"/>
  </mergeCells>
  <conditionalFormatting sqref="C19:E19">
    <cfRule type="cellIs" dxfId="1" priority="1" stopIfTrue="1" operator="greaterThan">
      <formula>1</formula>
    </cfRule>
    <cfRule type="cellIs" dxfId="0" priority="2" stopIfTrue="1" operator="greaterThan">
      <formula>100</formula>
    </cfRule>
  </conditionalFormatting>
  <pageMargins left="0.7" right="0.7" top="0.75" bottom="0.75" header="0.51180555555555551" footer="0.51180555555555551"/>
  <pageSetup paperSize="9" firstPageNumber="0"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Template/>
  <TotalTime>178</TotalTime>
  <Application>Microsoft Excel</Application>
  <DocSecurity>0</DocSecurity>
  <ScaleCrop>false</ScaleCrop>
  <HeadingPairs>
    <vt:vector size="4" baseType="variant">
      <vt:variant>
        <vt:lpstr>Kalkylblad</vt:lpstr>
      </vt:variant>
      <vt:variant>
        <vt:i4>3</vt:i4>
      </vt:variant>
      <vt:variant>
        <vt:lpstr>Namngivna områden</vt:lpstr>
      </vt:variant>
      <vt:variant>
        <vt:i4>1</vt:i4>
      </vt:variant>
    </vt:vector>
  </HeadingPairs>
  <TitlesOfParts>
    <vt:vector size="4" baseType="lpstr">
      <vt:lpstr>Instructions</vt:lpstr>
      <vt:lpstr>Calculation model</vt:lpstr>
      <vt:lpstr>Diesel prices from Elvägskalk</vt:lpstr>
      <vt:lpstr>High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Hasselgren Björn, PLnpv</dc:creator>
  <cp:keywords/>
  <dc:description/>
  <cp:lastModifiedBy>Näsström Elin, PLnpv</cp:lastModifiedBy>
  <cp:revision>17</cp:revision>
  <cp:lastPrinted>2019-04-04T08:07:59Z</cp:lastPrinted>
  <dcterms:created xsi:type="dcterms:W3CDTF">2019-03-13T09:31:23Z</dcterms:created>
  <dcterms:modified xsi:type="dcterms:W3CDTF">2020-01-20T13:54:39Z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