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M:\Dokument\"/>
    </mc:Choice>
  </mc:AlternateContent>
  <xr:revisionPtr revIDLastSave="0" documentId="13_ncr:1_{6887CEB2-2558-466B-A045-0E1860A014F0}" xr6:coauthVersionLast="47" xr6:coauthVersionMax="47" xr10:uidLastSave="{00000000-0000-0000-0000-000000000000}"/>
  <bookViews>
    <workbookView xWindow="31545" yWindow="4275" windowWidth="17280" windowHeight="8880" firstSheet="6" activeTab="7" xr2:uid="{00000000-000D-0000-FFFF-FFFF00000000}"/>
  </bookViews>
  <sheets>
    <sheet name="Beskrivning" sheetId="19" r:id="rId1"/>
    <sheet name="Indata" sheetId="14" r:id="rId2"/>
    <sheet name="Resultat" sheetId="17" r:id="rId3"/>
    <sheet name="Figurer utsläpp" sheetId="25" r:id="rId4"/>
    <sheet name="Indata - Utsläpp" sheetId="18" r:id="rId5"/>
    <sheet name="Indata - Fordon och Trafik" sheetId="15" r:id="rId6"/>
    <sheet name="Indata - Effektsamband-Faktorer" sheetId="21" r:id="rId7"/>
    <sheet name="Modell - Drivmedelpriser" sheetId="13" r:id="rId8"/>
    <sheet name="Modell - Lätta fordon" sheetId="7" r:id="rId9"/>
    <sheet name="Modell - Tunga fordon" sheetId="16" r:id="rId10"/>
  </sheets>
  <externalReferences>
    <externalReference r:id="rId11"/>
    <externalReference r:id="rId12"/>
  </externalReferences>
  <definedNames>
    <definedName name="a_Check_Details_Subsegm_Buses_HOT" localSheetId="9">#REF!</definedName>
    <definedName name="a_Check_Details_Subsegm_Buses_HOT">#REF!</definedName>
    <definedName name="a_Check_Details_Subsegm_HDV_HOT" localSheetId="9">#REF!</definedName>
    <definedName name="a_Check_Details_Subsegm_HDV_HOT">#REF!</definedName>
    <definedName name="a_Check_Details_Subsegm_LDV_COLD" localSheetId="9">#REF!</definedName>
    <definedName name="a_Check_Details_Subsegm_LDV_COLD">#REF!</definedName>
    <definedName name="a_Check_Details_Subsegm_MC_HOT" localSheetId="9">#REF!</definedName>
    <definedName name="a_Check_Details_Subsegm_MC_HOT">#REF!</definedName>
    <definedName name="energi_B">'[1]Koefficienter &amp; omvandlingstal'!$I$8</definedName>
    <definedName name="energi_Eo1">'[1]Koefficienter &amp; omvandlingstal'!$I$11</definedName>
    <definedName name="energi_Eo1_s">'[1]Koefficienter &amp; omvandlingstal'!$I$12</definedName>
    <definedName name="energi_Eo5_s">'[1]Koefficienter &amp; omvandlingstal'!$I$15</definedName>
    <definedName name="KALKYLPERIOD" localSheetId="9">'[2]0.12 Lönkalk'!#REF!</definedName>
    <definedName name="KALKYLPERIOD">'[2]0.12 Lönkalk'!#REF!</definedName>
    <definedName name="kr_till_öre">'[1]Koefficienter &amp; omvandlingstal'!$A$20</definedName>
    <definedName name="m3_till_liter">'[1]Koefficienter &amp; omvandlingstal'!$A$21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3" l="1"/>
  <c r="D35" i="13" s="1"/>
  <c r="C55" i="13"/>
  <c r="D55" i="13"/>
  <c r="E55" i="13"/>
  <c r="F55" i="13"/>
  <c r="G55" i="13"/>
  <c r="H55" i="13"/>
  <c r="D54" i="13"/>
  <c r="E54" i="13"/>
  <c r="F54" i="13"/>
  <c r="G54" i="13"/>
  <c r="H54" i="13"/>
  <c r="C54" i="13"/>
  <c r="C36" i="13"/>
  <c r="E36" i="13"/>
  <c r="F36" i="13"/>
  <c r="G36" i="13"/>
  <c r="H36" i="13"/>
  <c r="E35" i="13"/>
  <c r="F35" i="13"/>
  <c r="G35" i="13"/>
  <c r="H35" i="13"/>
  <c r="C35" i="13"/>
  <c r="C17" i="13"/>
  <c r="D17" i="13"/>
  <c r="E17" i="13"/>
  <c r="F17" i="13"/>
  <c r="G17" i="13"/>
  <c r="H17" i="13"/>
  <c r="D16" i="13"/>
  <c r="E16" i="13"/>
  <c r="F16" i="13"/>
  <c r="G16" i="13"/>
  <c r="H16" i="13"/>
  <c r="C16" i="13"/>
  <c r="D36" i="13" l="1"/>
  <c r="D58" i="14" l="1"/>
  <c r="D59" i="14"/>
  <c r="D60" i="14"/>
  <c r="D57" i="14"/>
  <c r="D55" i="14"/>
  <c r="D54" i="14"/>
  <c r="D47" i="14"/>
  <c r="D48" i="14"/>
  <c r="D49" i="14"/>
  <c r="D46" i="14"/>
  <c r="D37" i="14"/>
  <c r="D34" i="14"/>
  <c r="D30" i="14"/>
  <c r="D31" i="14"/>
  <c r="D29" i="14"/>
  <c r="D56" i="14" l="1"/>
  <c r="F27" i="14"/>
  <c r="F26" i="14"/>
  <c r="F25" i="14"/>
  <c r="E27" i="14"/>
  <c r="E26" i="14"/>
  <c r="E25" i="14"/>
  <c r="C47" i="13"/>
  <c r="D47" i="13"/>
  <c r="E47" i="13"/>
  <c r="F47" i="13"/>
  <c r="G47" i="13"/>
  <c r="H47" i="13"/>
  <c r="D46" i="13"/>
  <c r="E46" i="13"/>
  <c r="F46" i="13"/>
  <c r="G46" i="13"/>
  <c r="H46" i="13"/>
  <c r="C46" i="13"/>
  <c r="C28" i="13"/>
  <c r="D28" i="13"/>
  <c r="E28" i="13"/>
  <c r="F28" i="13"/>
  <c r="G28" i="13"/>
  <c r="H28" i="13"/>
  <c r="D27" i="13"/>
  <c r="E27" i="13"/>
  <c r="F27" i="13"/>
  <c r="G27" i="13"/>
  <c r="H27" i="13"/>
  <c r="C27" i="13"/>
  <c r="C9" i="13"/>
  <c r="D9" i="13"/>
  <c r="E9" i="13"/>
  <c r="F9" i="13"/>
  <c r="G9" i="13"/>
  <c r="H9" i="13"/>
  <c r="D8" i="13"/>
  <c r="E8" i="13"/>
  <c r="F8" i="13"/>
  <c r="G8" i="13"/>
  <c r="H8" i="13"/>
  <c r="C8" i="13"/>
  <c r="C36" i="15"/>
  <c r="C37" i="15"/>
  <c r="C38" i="15"/>
  <c r="C35" i="15"/>
  <c r="C48" i="13" l="1"/>
  <c r="H48" i="13"/>
  <c r="G48" i="13"/>
  <c r="F48" i="13"/>
  <c r="E48" i="13"/>
  <c r="D48" i="13"/>
  <c r="C29" i="13"/>
  <c r="D10" i="13"/>
  <c r="C10" i="13"/>
  <c r="H29" i="13"/>
  <c r="G29" i="13"/>
  <c r="F29" i="13"/>
  <c r="E29" i="13"/>
  <c r="H10" i="13"/>
  <c r="G10" i="13"/>
  <c r="F10" i="13"/>
  <c r="E10" i="13"/>
  <c r="G78" i="13" l="1"/>
  <c r="E78" i="13"/>
  <c r="C78" i="13"/>
  <c r="G65" i="13"/>
  <c r="E65" i="13"/>
  <c r="C65" i="13"/>
  <c r="D66" i="13"/>
  <c r="D71" i="13" s="1"/>
  <c r="D68" i="13"/>
  <c r="D69" i="13" s="1"/>
  <c r="G50" i="13"/>
  <c r="G51" i="13"/>
  <c r="G52" i="13"/>
  <c r="G49" i="13"/>
  <c r="E50" i="13"/>
  <c r="E51" i="13"/>
  <c r="E52" i="13"/>
  <c r="E49" i="13"/>
  <c r="C50" i="13"/>
  <c r="C51" i="13"/>
  <c r="C52" i="13"/>
  <c r="C49" i="13"/>
  <c r="G31" i="13"/>
  <c r="G32" i="13"/>
  <c r="G33" i="13"/>
  <c r="G30" i="13"/>
  <c r="E31" i="13"/>
  <c r="E32" i="13"/>
  <c r="E33" i="13"/>
  <c r="E30" i="13"/>
  <c r="C31" i="13"/>
  <c r="C32" i="13"/>
  <c r="C33" i="13"/>
  <c r="C30" i="13"/>
  <c r="G12" i="13"/>
  <c r="G13" i="13"/>
  <c r="G14" i="13"/>
  <c r="G11" i="13"/>
  <c r="E12" i="13"/>
  <c r="E13" i="13"/>
  <c r="E14" i="13"/>
  <c r="E11" i="13"/>
  <c r="C12" i="13"/>
  <c r="C13" i="13"/>
  <c r="C14" i="13"/>
  <c r="C11" i="13"/>
  <c r="D15" i="13"/>
  <c r="D18" i="13"/>
  <c r="D21" i="13" s="1"/>
  <c r="D20" i="13"/>
  <c r="D34" i="13"/>
  <c r="D37" i="13"/>
  <c r="D40" i="13" s="1"/>
  <c r="D56" i="13"/>
  <c r="D59" i="13" s="1"/>
  <c r="D58" i="13"/>
  <c r="D79" i="13"/>
  <c r="D84" i="13" s="1"/>
  <c r="D81" i="13"/>
  <c r="C81" i="13" s="1"/>
  <c r="F15" i="13"/>
  <c r="F20" i="13" s="1"/>
  <c r="F18" i="13"/>
  <c r="F34" i="13"/>
  <c r="F39" i="13" s="1"/>
  <c r="F37" i="13"/>
  <c r="F40" i="13" s="1"/>
  <c r="F58" i="13"/>
  <c r="F66" i="13"/>
  <c r="F68" i="13"/>
  <c r="F69" i="13" s="1"/>
  <c r="F72" i="13" s="1"/>
  <c r="F79" i="13"/>
  <c r="F81" i="13"/>
  <c r="E81" i="13" s="1"/>
  <c r="H18" i="13"/>
  <c r="H21" i="13" s="1"/>
  <c r="H34" i="13"/>
  <c r="H39" i="13" s="1"/>
  <c r="H37" i="13"/>
  <c r="H40" i="13" s="1"/>
  <c r="H58" i="13"/>
  <c r="H66" i="13"/>
  <c r="H68" i="13"/>
  <c r="H69" i="13" s="1"/>
  <c r="H72" i="13" s="1"/>
  <c r="H79" i="13"/>
  <c r="H81" i="13"/>
  <c r="H82" i="13" s="1"/>
  <c r="H85" i="13" s="1"/>
  <c r="G79" i="13"/>
  <c r="E79" i="13"/>
  <c r="E84" i="13" s="1"/>
  <c r="G66" i="13"/>
  <c r="E66" i="13"/>
  <c r="G58" i="13"/>
  <c r="E58" i="13"/>
  <c r="G37" i="13"/>
  <c r="G40" i="13" s="1"/>
  <c r="E37" i="13"/>
  <c r="E40" i="13" s="1"/>
  <c r="G18" i="13"/>
  <c r="G21" i="13" s="1"/>
  <c r="E18" i="13"/>
  <c r="E21" i="13" s="1"/>
  <c r="B79" i="13"/>
  <c r="B84" i="13" s="1"/>
  <c r="B81" i="13"/>
  <c r="B82" i="13" s="1"/>
  <c r="B69" i="13"/>
  <c r="B72" i="13" s="1"/>
  <c r="B66" i="13"/>
  <c r="B71" i="13" s="1"/>
  <c r="D19" i="13" l="1"/>
  <c r="D82" i="13"/>
  <c r="D85" i="13" s="1"/>
  <c r="D70" i="13"/>
  <c r="D72" i="13"/>
  <c r="D73" i="13"/>
  <c r="C68" i="13"/>
  <c r="F82" i="13"/>
  <c r="F85" i="13" s="1"/>
  <c r="D74" i="13"/>
  <c r="D38" i="13"/>
  <c r="D22" i="13"/>
  <c r="D23" i="13" s="1"/>
  <c r="H41" i="13"/>
  <c r="F38" i="13"/>
  <c r="D39" i="13"/>
  <c r="D41" i="13" s="1"/>
  <c r="D86" i="13"/>
  <c r="D60" i="13"/>
  <c r="H15" i="13"/>
  <c r="H20" i="13" s="1"/>
  <c r="H22" i="13" s="1"/>
  <c r="F70" i="13"/>
  <c r="D83" i="13"/>
  <c r="D57" i="13"/>
  <c r="G68" i="13"/>
  <c r="G69" i="13" s="1"/>
  <c r="G72" i="13" s="1"/>
  <c r="E68" i="13"/>
  <c r="E69" i="13" s="1"/>
  <c r="E72" i="13" s="1"/>
  <c r="F56" i="13"/>
  <c r="F57" i="13" s="1"/>
  <c r="F19" i="13"/>
  <c r="F21" i="13"/>
  <c r="F22" i="13" s="1"/>
  <c r="F23" i="13" s="1"/>
  <c r="F41" i="13"/>
  <c r="H56" i="13"/>
  <c r="H57" i="13" s="1"/>
  <c r="F84" i="13"/>
  <c r="F71" i="13"/>
  <c r="F73" i="13" s="1"/>
  <c r="G81" i="13"/>
  <c r="G82" i="13" s="1"/>
  <c r="G85" i="13" s="1"/>
  <c r="H38" i="13"/>
  <c r="H83" i="13"/>
  <c r="H70" i="13"/>
  <c r="H84" i="13"/>
  <c r="H86" i="13" s="1"/>
  <c r="H71" i="13"/>
  <c r="H73" i="13" s="1"/>
  <c r="B83" i="13"/>
  <c r="G56" i="13"/>
  <c r="G57" i="13" s="1"/>
  <c r="E56" i="13"/>
  <c r="E59" i="13" s="1"/>
  <c r="E60" i="13" s="1"/>
  <c r="G84" i="13"/>
  <c r="E82" i="13"/>
  <c r="E85" i="13" s="1"/>
  <c r="E86" i="13" s="1"/>
  <c r="G71" i="13"/>
  <c r="E71" i="13"/>
  <c r="B85" i="13"/>
  <c r="B86" i="13" s="1"/>
  <c r="B73" i="13"/>
  <c r="B70" i="13"/>
  <c r="F83" i="13" l="1"/>
  <c r="F86" i="13"/>
  <c r="H42" i="13"/>
  <c r="F42" i="13"/>
  <c r="F87" i="13"/>
  <c r="D61" i="13"/>
  <c r="E70" i="13"/>
  <c r="D87" i="13"/>
  <c r="H19" i="13"/>
  <c r="H23" i="13" s="1"/>
  <c r="E73" i="13"/>
  <c r="F74" i="13"/>
  <c r="D42" i="13"/>
  <c r="G83" i="13"/>
  <c r="F59" i="13"/>
  <c r="F60" i="13" s="1"/>
  <c r="F61" i="13" s="1"/>
  <c r="G86" i="13"/>
  <c r="G87" i="13" s="1"/>
  <c r="H59" i="13"/>
  <c r="H60" i="13" s="1"/>
  <c r="H61" i="13" s="1"/>
  <c r="B87" i="13"/>
  <c r="G59" i="13"/>
  <c r="G60" i="13" s="1"/>
  <c r="G61" i="13" s="1"/>
  <c r="H74" i="13"/>
  <c r="H87" i="13"/>
  <c r="G73" i="13"/>
  <c r="G70" i="13"/>
  <c r="G74" i="13" s="1"/>
  <c r="E57" i="13"/>
  <c r="E61" i="13" s="1"/>
  <c r="E83" i="13"/>
  <c r="E87" i="13" s="1"/>
  <c r="B74" i="13"/>
  <c r="E74" i="13" l="1"/>
  <c r="K19" i="18" l="1"/>
  <c r="L19" i="18"/>
  <c r="M19" i="18"/>
  <c r="N19" i="18"/>
  <c r="K18" i="18"/>
  <c r="L18" i="18"/>
  <c r="M18" i="18"/>
  <c r="N18" i="18"/>
  <c r="B18" i="18"/>
  <c r="C18" i="18"/>
  <c r="D18" i="18"/>
  <c r="E18" i="18"/>
  <c r="F18" i="18"/>
  <c r="G18" i="18"/>
  <c r="H18" i="18"/>
  <c r="I18" i="18"/>
  <c r="J18" i="18"/>
  <c r="K16" i="18"/>
  <c r="L16" i="18"/>
  <c r="M16" i="18"/>
  <c r="N16" i="18"/>
  <c r="K17" i="18"/>
  <c r="L17" i="18"/>
  <c r="M17" i="18"/>
  <c r="N17" i="18"/>
  <c r="C12" i="18"/>
  <c r="D12" i="18"/>
  <c r="E12" i="18"/>
  <c r="F12" i="18"/>
  <c r="G12" i="18"/>
  <c r="H12" i="18"/>
  <c r="I12" i="18"/>
  <c r="J12" i="18"/>
  <c r="K12" i="18"/>
  <c r="L12" i="18"/>
  <c r="M12" i="18"/>
  <c r="N12" i="18"/>
  <c r="N13" i="18" s="1"/>
  <c r="B12" i="18"/>
  <c r="K13" i="18"/>
  <c r="L13" i="18"/>
  <c r="M13" i="18"/>
  <c r="B58" i="13" l="1"/>
  <c r="B34" i="13"/>
  <c r="B39" i="13" s="1"/>
  <c r="B15" i="13"/>
  <c r="B20" i="13" s="1"/>
  <c r="D27" i="14"/>
  <c r="D26" i="14"/>
  <c r="D25" i="14"/>
  <c r="D28" i="14" l="1"/>
  <c r="F5" i="17" l="1"/>
  <c r="H5" i="17"/>
  <c r="D5" i="17"/>
  <c r="H39" i="14"/>
  <c r="B32" i="18" l="1"/>
  <c r="C32" i="18"/>
  <c r="C25" i="18" s="1"/>
  <c r="C26" i="18" s="1"/>
  <c r="D32" i="18"/>
  <c r="D25" i="18" s="1"/>
  <c r="D26" i="18" s="1"/>
  <c r="E32" i="18"/>
  <c r="E25" i="18" s="1"/>
  <c r="E26" i="18" s="1"/>
  <c r="F32" i="18"/>
  <c r="F25" i="18" s="1"/>
  <c r="F26" i="18" s="1"/>
  <c r="G32" i="18"/>
  <c r="G25" i="18" s="1"/>
  <c r="G26" i="18" s="1"/>
  <c r="H32" i="18"/>
  <c r="H25" i="18" s="1"/>
  <c r="H26" i="18" s="1"/>
  <c r="I32" i="18"/>
  <c r="I25" i="18" s="1"/>
  <c r="I26" i="18" s="1"/>
  <c r="J32" i="18"/>
  <c r="B25" i="18"/>
  <c r="B26" i="18" s="1"/>
  <c r="J25" i="18"/>
  <c r="J26" i="18" s="1"/>
  <c r="C1" i="25"/>
  <c r="B1" i="25"/>
  <c r="A1" i="25"/>
  <c r="N43" i="7" l="1"/>
  <c r="C16" i="18" l="1"/>
  <c r="D16" i="18"/>
  <c r="E16" i="18"/>
  <c r="F16" i="18"/>
  <c r="G16" i="18"/>
  <c r="H16" i="18"/>
  <c r="I16" i="18"/>
  <c r="J16" i="18"/>
  <c r="C17" i="18"/>
  <c r="D17" i="18"/>
  <c r="E17" i="18"/>
  <c r="F17" i="18"/>
  <c r="G17" i="18"/>
  <c r="H17" i="18"/>
  <c r="I17" i="18"/>
  <c r="J17" i="18"/>
  <c r="C19" i="18"/>
  <c r="D19" i="18"/>
  <c r="B16" i="18"/>
  <c r="B17" i="18"/>
  <c r="C13" i="18"/>
  <c r="D13" i="18"/>
  <c r="E13" i="18"/>
  <c r="F13" i="18"/>
  <c r="G13" i="18"/>
  <c r="H13" i="18"/>
  <c r="I13" i="18"/>
  <c r="J13" i="18"/>
  <c r="B13" i="18"/>
  <c r="H19" i="18" l="1"/>
  <c r="E19" i="18"/>
  <c r="J19" i="18"/>
  <c r="B19" i="18"/>
  <c r="G19" i="18"/>
  <c r="I19" i="18"/>
  <c r="F19" i="18"/>
  <c r="F64" i="14" l="1"/>
  <c r="F63" i="14"/>
  <c r="H64" i="14"/>
  <c r="H63" i="14"/>
  <c r="J64" i="14"/>
  <c r="J63" i="14"/>
  <c r="I64" i="14"/>
  <c r="I63" i="14"/>
  <c r="G63" i="14"/>
  <c r="E36" i="14"/>
  <c r="E40" i="14"/>
  <c r="F40" i="14"/>
  <c r="AI43" i="7"/>
  <c r="Y43" i="7"/>
  <c r="O43" i="7"/>
  <c r="O44" i="7" s="1"/>
  <c r="X43" i="7"/>
  <c r="AH43" i="7" s="1"/>
  <c r="X44" i="7" l="1"/>
  <c r="G64" i="14" l="1"/>
  <c r="J45" i="14" l="1"/>
  <c r="J44" i="14"/>
  <c r="J43" i="14"/>
  <c r="J42" i="14"/>
  <c r="F45" i="14"/>
  <c r="H45" i="14"/>
  <c r="H44" i="14"/>
  <c r="H43" i="14"/>
  <c r="H42" i="14"/>
  <c r="F44" i="14"/>
  <c r="F43" i="14"/>
  <c r="F42" i="14"/>
  <c r="B55" i="13" l="1"/>
  <c r="B54" i="13"/>
  <c r="E42" i="14" l="1"/>
  <c r="C10" i="15"/>
  <c r="E39" i="14" l="1"/>
  <c r="G39" i="14" s="1"/>
  <c r="E64" i="14" l="1"/>
  <c r="E63" i="14"/>
  <c r="P9" i="15" l="1"/>
  <c r="O9" i="15"/>
  <c r="P25" i="15" l="1"/>
  <c r="O25" i="15"/>
  <c r="O17" i="15"/>
  <c r="P17" i="15"/>
  <c r="I28" i="15" l="1"/>
  <c r="I29" i="15"/>
  <c r="I30" i="15"/>
  <c r="I31" i="15"/>
  <c r="H29" i="15"/>
  <c r="H30" i="15"/>
  <c r="H31" i="15"/>
  <c r="H28" i="15"/>
  <c r="E57" i="14" s="1"/>
  <c r="G17" i="15"/>
  <c r="G16" i="15"/>
  <c r="H27" i="14" l="1"/>
  <c r="H28" i="14" s="1"/>
  <c r="I39" i="14" l="1"/>
  <c r="G25" i="14"/>
  <c r="I26" i="16"/>
  <c r="I45" i="14"/>
  <c r="H26" i="16" s="1"/>
  <c r="I25" i="16"/>
  <c r="I44" i="14"/>
  <c r="H25" i="16" s="1"/>
  <c r="I24" i="16"/>
  <c r="I43" i="14"/>
  <c r="H24" i="16" s="1"/>
  <c r="I23" i="16"/>
  <c r="I42" i="14"/>
  <c r="H23" i="16" s="1"/>
  <c r="G26" i="16"/>
  <c r="G45" i="14"/>
  <c r="F26" i="16" s="1"/>
  <c r="G25" i="16"/>
  <c r="G44" i="14"/>
  <c r="F25" i="16" s="1"/>
  <c r="G24" i="16"/>
  <c r="G43" i="14"/>
  <c r="F24" i="16" s="1"/>
  <c r="G23" i="16"/>
  <c r="G42" i="14"/>
  <c r="F23" i="16" s="1"/>
  <c r="E26" i="16"/>
  <c r="E45" i="14"/>
  <c r="D26" i="16" s="1"/>
  <c r="E25" i="16"/>
  <c r="E44" i="14"/>
  <c r="D25" i="16" s="1"/>
  <c r="E24" i="16"/>
  <c r="E43" i="14"/>
  <c r="D24" i="16" s="1"/>
  <c r="E23" i="16"/>
  <c r="D23" i="16"/>
  <c r="J39" i="14"/>
  <c r="D36" i="16" l="1"/>
  <c r="F36" i="14"/>
  <c r="G36" i="14"/>
  <c r="I36" i="14"/>
  <c r="H36" i="14" l="1"/>
  <c r="J36" i="14"/>
  <c r="G15" i="13" l="1"/>
  <c r="I32" i="16"/>
  <c r="S32" i="16" s="1"/>
  <c r="AC32" i="16" s="1"/>
  <c r="AM32" i="16" s="1"/>
  <c r="H32" i="16"/>
  <c r="R32" i="16" s="1"/>
  <c r="AB32" i="16" s="1"/>
  <c r="AL32" i="16" s="1"/>
  <c r="G32" i="16"/>
  <c r="Q32" i="16" s="1"/>
  <c r="AA32" i="16" s="1"/>
  <c r="AK32" i="16" s="1"/>
  <c r="F32" i="16"/>
  <c r="P32" i="16" s="1"/>
  <c r="Z32" i="16" s="1"/>
  <c r="AJ32" i="16" s="1"/>
  <c r="E32" i="16"/>
  <c r="O32" i="16" s="1"/>
  <c r="Y32" i="16" s="1"/>
  <c r="AI32" i="16" s="1"/>
  <c r="D32" i="16"/>
  <c r="N32" i="16" s="1"/>
  <c r="X32" i="16" s="1"/>
  <c r="AH32" i="16" s="1"/>
  <c r="I31" i="16"/>
  <c r="S31" i="16" s="1"/>
  <c r="AC31" i="16" s="1"/>
  <c r="AM31" i="16" s="1"/>
  <c r="H31" i="16"/>
  <c r="R31" i="16" s="1"/>
  <c r="AB31" i="16" s="1"/>
  <c r="AL31" i="16" s="1"/>
  <c r="G31" i="16"/>
  <c r="Q31" i="16" s="1"/>
  <c r="AA31" i="16" s="1"/>
  <c r="AK31" i="16" s="1"/>
  <c r="F31" i="16"/>
  <c r="P31" i="16" s="1"/>
  <c r="Z31" i="16" s="1"/>
  <c r="AJ31" i="16" s="1"/>
  <c r="E31" i="16"/>
  <c r="O31" i="16" s="1"/>
  <c r="Y31" i="16" s="1"/>
  <c r="AI31" i="16" s="1"/>
  <c r="D31" i="16"/>
  <c r="N31" i="16" s="1"/>
  <c r="X31" i="16" s="1"/>
  <c r="AH31" i="16" s="1"/>
  <c r="I30" i="16"/>
  <c r="S30" i="16" s="1"/>
  <c r="AC30" i="16" s="1"/>
  <c r="AM30" i="16" s="1"/>
  <c r="H30" i="16"/>
  <c r="R30" i="16" s="1"/>
  <c r="AB30" i="16" s="1"/>
  <c r="AL30" i="16" s="1"/>
  <c r="G30" i="16"/>
  <c r="Q30" i="16" s="1"/>
  <c r="AA30" i="16" s="1"/>
  <c r="AK30" i="16" s="1"/>
  <c r="F30" i="16"/>
  <c r="P30" i="16" s="1"/>
  <c r="Z30" i="16" s="1"/>
  <c r="AJ30" i="16" s="1"/>
  <c r="E30" i="16"/>
  <c r="O30" i="16" s="1"/>
  <c r="Y30" i="16" s="1"/>
  <c r="AI30" i="16" s="1"/>
  <c r="D30" i="16"/>
  <c r="N30" i="16" s="1"/>
  <c r="X30" i="16" s="1"/>
  <c r="AH30" i="16" s="1"/>
  <c r="I29" i="16"/>
  <c r="S29" i="16" s="1"/>
  <c r="AC29" i="16" s="1"/>
  <c r="AM29" i="16" s="1"/>
  <c r="I18" i="17" s="1"/>
  <c r="H29" i="16"/>
  <c r="R29" i="16" s="1"/>
  <c r="AB29" i="16" s="1"/>
  <c r="AL29" i="16" s="1"/>
  <c r="H18" i="17" s="1"/>
  <c r="G29" i="16"/>
  <c r="Q29" i="16" s="1"/>
  <c r="AA29" i="16" s="1"/>
  <c r="AK29" i="16" s="1"/>
  <c r="G18" i="17" s="1"/>
  <c r="F29" i="16"/>
  <c r="P29" i="16" s="1"/>
  <c r="Z29" i="16" s="1"/>
  <c r="AJ29" i="16" s="1"/>
  <c r="F18" i="17" s="1"/>
  <c r="E29" i="16"/>
  <c r="O29" i="16" s="1"/>
  <c r="Y29" i="16" s="1"/>
  <c r="AI29" i="16" s="1"/>
  <c r="E18" i="17" s="1"/>
  <c r="D29" i="16"/>
  <c r="N29" i="16" s="1"/>
  <c r="X29" i="16" s="1"/>
  <c r="AH29" i="16" s="1"/>
  <c r="D18" i="17" s="1"/>
  <c r="G19" i="13" l="1"/>
  <c r="G20" i="13"/>
  <c r="G22" i="13" s="1"/>
  <c r="G23" i="13" s="1"/>
  <c r="O26" i="16"/>
  <c r="Q26" i="16"/>
  <c r="S26" i="16"/>
  <c r="O24" i="16"/>
  <c r="P25" i="16"/>
  <c r="R23" i="16"/>
  <c r="R25" i="16"/>
  <c r="N25" i="16"/>
  <c r="O25" i="16"/>
  <c r="Q23" i="16"/>
  <c r="Q25" i="16"/>
  <c r="S23" i="16"/>
  <c r="S25" i="16"/>
  <c r="N23" i="16"/>
  <c r="N24" i="16"/>
  <c r="Q24" i="16"/>
  <c r="S24" i="16"/>
  <c r="P23" i="16"/>
  <c r="O23" i="16"/>
  <c r="N26" i="16"/>
  <c r="P24" i="16"/>
  <c r="P26" i="16"/>
  <c r="R24" i="16"/>
  <c r="R26" i="16"/>
  <c r="Y26" i="16" l="1"/>
  <c r="AI26" i="16" s="1"/>
  <c r="X25" i="16"/>
  <c r="AH25" i="16" s="1"/>
  <c r="Y23" i="16"/>
  <c r="AI23" i="16" s="1"/>
  <c r="X26" i="16"/>
  <c r="AH26" i="16" s="1"/>
  <c r="X23" i="16"/>
  <c r="AH23" i="16" s="1"/>
  <c r="F53" i="14" l="1"/>
  <c r="E53" i="14"/>
  <c r="F52" i="14"/>
  <c r="E52" i="14"/>
  <c r="F51" i="14"/>
  <c r="E51" i="14"/>
  <c r="F50" i="14"/>
  <c r="E50" i="14"/>
  <c r="F60" i="14"/>
  <c r="E58" i="14"/>
  <c r="F58" i="14"/>
  <c r="E59" i="14"/>
  <c r="F59" i="14"/>
  <c r="E60" i="14"/>
  <c r="F57" i="14"/>
  <c r="E47" i="14"/>
  <c r="F47" i="14"/>
  <c r="E48" i="14"/>
  <c r="F48" i="14"/>
  <c r="E49" i="14"/>
  <c r="F49" i="14"/>
  <c r="F46" i="14"/>
  <c r="J61" i="14"/>
  <c r="I32" i="15"/>
  <c r="H32" i="15"/>
  <c r="D32" i="15"/>
  <c r="C32" i="15"/>
  <c r="E41" i="16" l="1"/>
  <c r="E36" i="16"/>
  <c r="D13" i="16"/>
  <c r="N13" i="16" s="1"/>
  <c r="X13" i="16" s="1"/>
  <c r="AH13" i="16" s="1"/>
  <c r="G48" i="14"/>
  <c r="F13" i="16" s="1"/>
  <c r="P13" i="16" s="1"/>
  <c r="I48" i="14"/>
  <c r="H13" i="16" s="1"/>
  <c r="R13" i="16" s="1"/>
  <c r="H58" i="14"/>
  <c r="G42" i="16" s="1"/>
  <c r="Q42" i="16" s="1"/>
  <c r="J58" i="14"/>
  <c r="I42" i="16" s="1"/>
  <c r="S42" i="16" s="1"/>
  <c r="E18" i="16"/>
  <c r="O18" i="16" s="1"/>
  <c r="Y18" i="16" s="1"/>
  <c r="AI18" i="16" s="1"/>
  <c r="J52" i="14"/>
  <c r="I18" i="16" s="1"/>
  <c r="S18" i="16" s="1"/>
  <c r="AC18" i="16" s="1"/>
  <c r="AM18" i="16" s="1"/>
  <c r="H52" i="14"/>
  <c r="G18" i="16" s="1"/>
  <c r="Q18" i="16" s="1"/>
  <c r="AA18" i="16" s="1"/>
  <c r="AK18" i="16" s="1"/>
  <c r="E14" i="16"/>
  <c r="J49" i="14"/>
  <c r="I14" i="16" s="1"/>
  <c r="H49" i="14"/>
  <c r="G14" i="16" s="1"/>
  <c r="G60" i="14"/>
  <c r="F44" i="16" s="1"/>
  <c r="P44" i="16" s="1"/>
  <c r="I60" i="14"/>
  <c r="H44" i="16" s="1"/>
  <c r="R44" i="16" s="1"/>
  <c r="D17" i="16"/>
  <c r="N17" i="16" s="1"/>
  <c r="I51" i="14"/>
  <c r="H17" i="16" s="1"/>
  <c r="R17" i="16" s="1"/>
  <c r="AB17" i="16" s="1"/>
  <c r="AL17" i="16" s="1"/>
  <c r="G51" i="14"/>
  <c r="F17" i="16" s="1"/>
  <c r="P17" i="16" s="1"/>
  <c r="Z17" i="16" s="1"/>
  <c r="AJ17" i="16" s="1"/>
  <c r="E13" i="16"/>
  <c r="J48" i="14"/>
  <c r="I13" i="16" s="1"/>
  <c r="S13" i="16" s="1"/>
  <c r="H48" i="14"/>
  <c r="G13" i="16" s="1"/>
  <c r="Q13" i="16" s="1"/>
  <c r="G57" i="14"/>
  <c r="I57" i="14"/>
  <c r="G59" i="14"/>
  <c r="I59" i="14"/>
  <c r="H43" i="16" s="1"/>
  <c r="R43" i="16" s="1"/>
  <c r="G50" i="14"/>
  <c r="F16" i="16" s="1"/>
  <c r="P16" i="16" s="1"/>
  <c r="I50" i="14"/>
  <c r="H16" i="16" s="1"/>
  <c r="R16" i="16" s="1"/>
  <c r="D18" i="16"/>
  <c r="N18" i="16" s="1"/>
  <c r="G52" i="14"/>
  <c r="F18" i="16" s="1"/>
  <c r="P18" i="16" s="1"/>
  <c r="Z18" i="16" s="1"/>
  <c r="AJ18" i="16" s="1"/>
  <c r="I52" i="14"/>
  <c r="H18" i="16" s="1"/>
  <c r="R18" i="16" s="1"/>
  <c r="AB18" i="16" s="1"/>
  <c r="AL18" i="16" s="1"/>
  <c r="E11" i="16"/>
  <c r="J46" i="14"/>
  <c r="I11" i="16" s="1"/>
  <c r="H46" i="14"/>
  <c r="G11" i="16" s="1"/>
  <c r="H57" i="14"/>
  <c r="G41" i="16" s="1"/>
  <c r="J57" i="14"/>
  <c r="I41" i="16" s="1"/>
  <c r="E16" i="16"/>
  <c r="O16" i="16" s="1"/>
  <c r="J50" i="14"/>
  <c r="I16" i="16" s="1"/>
  <c r="S16" i="16" s="1"/>
  <c r="H50" i="14"/>
  <c r="G16" i="16" s="1"/>
  <c r="Q16" i="16" s="1"/>
  <c r="AA16" i="16" s="1"/>
  <c r="AK16" i="16" s="1"/>
  <c r="E12" i="16"/>
  <c r="J47" i="14"/>
  <c r="I12" i="16" s="1"/>
  <c r="S12" i="16" s="1"/>
  <c r="H47" i="14"/>
  <c r="G12" i="16" s="1"/>
  <c r="Q12" i="16" s="1"/>
  <c r="G58" i="14"/>
  <c r="F42" i="16" s="1"/>
  <c r="P42" i="16" s="1"/>
  <c r="I58" i="14"/>
  <c r="H37" i="16" s="1"/>
  <c r="R37" i="16" s="1"/>
  <c r="D19" i="16"/>
  <c r="N19" i="16" s="1"/>
  <c r="X19" i="16" s="1"/>
  <c r="AH19" i="16" s="1"/>
  <c r="G53" i="14"/>
  <c r="F19" i="16" s="1"/>
  <c r="P19" i="16" s="1"/>
  <c r="Z19" i="16" s="1"/>
  <c r="AJ19" i="16" s="1"/>
  <c r="I53" i="14"/>
  <c r="H19" i="16" s="1"/>
  <c r="R19" i="16" s="1"/>
  <c r="AB19" i="16" s="1"/>
  <c r="AL19" i="16" s="1"/>
  <c r="D14" i="16"/>
  <c r="G49" i="14"/>
  <c r="F14" i="16" s="1"/>
  <c r="I49" i="14"/>
  <c r="H14" i="16" s="1"/>
  <c r="D12" i="16"/>
  <c r="G47" i="14"/>
  <c r="F12" i="16" s="1"/>
  <c r="P12" i="16" s="1"/>
  <c r="I47" i="14"/>
  <c r="H12" i="16" s="1"/>
  <c r="R12" i="16" s="1"/>
  <c r="H59" i="14"/>
  <c r="G38" i="16" s="1"/>
  <c r="J59" i="14"/>
  <c r="I38" i="16" s="1"/>
  <c r="S38" i="16" s="1"/>
  <c r="H60" i="14"/>
  <c r="G44" i="16" s="1"/>
  <c r="Q44" i="16" s="1"/>
  <c r="J60" i="14"/>
  <c r="I44" i="16" s="1"/>
  <c r="S44" i="16" s="1"/>
  <c r="E17" i="16"/>
  <c r="O17" i="16" s="1"/>
  <c r="Y17" i="16" s="1"/>
  <c r="AI17" i="16" s="1"/>
  <c r="H51" i="14"/>
  <c r="G17" i="16" s="1"/>
  <c r="Q17" i="16" s="1"/>
  <c r="AA17" i="16" s="1"/>
  <c r="AK17" i="16" s="1"/>
  <c r="J51" i="14"/>
  <c r="I17" i="16" s="1"/>
  <c r="S17" i="16" s="1"/>
  <c r="AC17" i="16" s="1"/>
  <c r="AM17" i="16" s="1"/>
  <c r="E19" i="16"/>
  <c r="O19" i="16" s="1"/>
  <c r="Y19" i="16" s="1"/>
  <c r="AI19" i="16" s="1"/>
  <c r="J53" i="14"/>
  <c r="I19" i="16" s="1"/>
  <c r="S19" i="16" s="1"/>
  <c r="AC19" i="16" s="1"/>
  <c r="AM19" i="16" s="1"/>
  <c r="H53" i="14"/>
  <c r="G19" i="16" s="1"/>
  <c r="Q19" i="16" s="1"/>
  <c r="AA19" i="16" s="1"/>
  <c r="AK19" i="16" s="1"/>
  <c r="O36" i="16"/>
  <c r="D41" i="16"/>
  <c r="D43" i="16"/>
  <c r="N43" i="16" s="1"/>
  <c r="D38" i="16"/>
  <c r="D16" i="16"/>
  <c r="E37" i="16"/>
  <c r="O37" i="16" s="1"/>
  <c r="E42" i="16"/>
  <c r="O42" i="16" s="1"/>
  <c r="D39" i="16"/>
  <c r="N39" i="16" s="1"/>
  <c r="D44" i="16"/>
  <c r="N44" i="16" s="1"/>
  <c r="D42" i="16"/>
  <c r="N42" i="16" s="1"/>
  <c r="D37" i="16"/>
  <c r="E43" i="16"/>
  <c r="O43" i="16" s="1"/>
  <c r="E38" i="16"/>
  <c r="E39" i="16"/>
  <c r="E44" i="16"/>
  <c r="O44" i="16" s="1"/>
  <c r="F56" i="14"/>
  <c r="E56" i="14"/>
  <c r="F41" i="16" l="1"/>
  <c r="F36" i="16"/>
  <c r="P36" i="16" s="1"/>
  <c r="F38" i="16"/>
  <c r="P38" i="16" s="1"/>
  <c r="F43" i="16"/>
  <c r="P43" i="16" s="1"/>
  <c r="Z16" i="16"/>
  <c r="AJ16" i="16" s="1"/>
  <c r="F16" i="17" s="1"/>
  <c r="N16" i="16"/>
  <c r="X16" i="16" s="1"/>
  <c r="AH16" i="16" s="1"/>
  <c r="D40" i="16"/>
  <c r="H39" i="16"/>
  <c r="R39" i="16" s="1"/>
  <c r="H38" i="16"/>
  <c r="H48" i="16" s="1"/>
  <c r="I43" i="16"/>
  <c r="S43" i="16" s="1"/>
  <c r="I37" i="16"/>
  <c r="S37" i="16" s="1"/>
  <c r="I39" i="16"/>
  <c r="S39" i="16" s="1"/>
  <c r="F37" i="16"/>
  <c r="P37" i="16" s="1"/>
  <c r="P47" i="16" s="1"/>
  <c r="F39" i="16"/>
  <c r="F49" i="16" s="1"/>
  <c r="H42" i="16"/>
  <c r="R42" i="16" s="1"/>
  <c r="G37" i="16"/>
  <c r="Q37" i="16" s="1"/>
  <c r="G43" i="16"/>
  <c r="Q43" i="16" s="1"/>
  <c r="G16" i="17"/>
  <c r="O12" i="16"/>
  <c r="Y12" i="16" s="1"/>
  <c r="AI12" i="16" s="1"/>
  <c r="O13" i="16"/>
  <c r="Y13" i="16" s="1"/>
  <c r="AI13" i="16" s="1"/>
  <c r="N12" i="16"/>
  <c r="X12" i="16" s="1"/>
  <c r="AH12" i="16" s="1"/>
  <c r="I56" i="14"/>
  <c r="H36" i="16"/>
  <c r="R36" i="16" s="1"/>
  <c r="I36" i="16"/>
  <c r="I46" i="16" s="1"/>
  <c r="H56" i="14"/>
  <c r="G56" i="14"/>
  <c r="J56" i="14"/>
  <c r="H41" i="16"/>
  <c r="G39" i="16"/>
  <c r="Q39" i="16" s="1"/>
  <c r="G36" i="16"/>
  <c r="Q36" i="16" s="1"/>
  <c r="E48" i="16"/>
  <c r="D47" i="16"/>
  <c r="N49" i="16"/>
  <c r="D48" i="16"/>
  <c r="E49" i="16"/>
  <c r="O47" i="16"/>
  <c r="O41" i="16"/>
  <c r="E45" i="16"/>
  <c r="E20" i="16" s="1"/>
  <c r="X17" i="16"/>
  <c r="AH17" i="16" s="1"/>
  <c r="P41" i="16"/>
  <c r="O38" i="16"/>
  <c r="S41" i="16"/>
  <c r="Q41" i="16"/>
  <c r="N38" i="16"/>
  <c r="N48" i="16" s="1"/>
  <c r="X18" i="16"/>
  <c r="AH18" i="16" s="1"/>
  <c r="N37" i="16"/>
  <c r="N47" i="16" s="1"/>
  <c r="D46" i="16"/>
  <c r="N36" i="16"/>
  <c r="N41" i="16"/>
  <c r="N45" i="16" s="1"/>
  <c r="D45" i="16"/>
  <c r="D20" i="16" s="1"/>
  <c r="O39" i="16"/>
  <c r="D49" i="16"/>
  <c r="E47" i="16"/>
  <c r="Q38" i="16"/>
  <c r="E40" i="16"/>
  <c r="E15" i="16" s="1"/>
  <c r="E46" i="16"/>
  <c r="AC16" i="16"/>
  <c r="AM16" i="16" s="1"/>
  <c r="Y16" i="16"/>
  <c r="AI16" i="16" s="1"/>
  <c r="AB16" i="16"/>
  <c r="AL16" i="16" s="1"/>
  <c r="D47" i="7"/>
  <c r="D26" i="7"/>
  <c r="N26" i="7" s="1"/>
  <c r="X26" i="7" s="1"/>
  <c r="AH26" i="7" s="1"/>
  <c r="D25" i="7"/>
  <c r="N25" i="7" s="1"/>
  <c r="X25" i="7" s="1"/>
  <c r="AH25" i="7" s="1"/>
  <c r="D24" i="7"/>
  <c r="N24" i="7" s="1"/>
  <c r="X24" i="7" s="1"/>
  <c r="AH24" i="7" s="1"/>
  <c r="D17" i="17" s="1"/>
  <c r="E25" i="7"/>
  <c r="O25" i="7" s="1"/>
  <c r="Y25" i="7" s="1"/>
  <c r="AI25" i="7" s="1"/>
  <c r="F25" i="7"/>
  <c r="P25" i="7" s="1"/>
  <c r="Z25" i="7" s="1"/>
  <c r="AJ25" i="7" s="1"/>
  <c r="G25" i="7"/>
  <c r="Q25" i="7" s="1"/>
  <c r="AA25" i="7" s="1"/>
  <c r="AK25" i="7" s="1"/>
  <c r="H25" i="7"/>
  <c r="R25" i="7" s="1"/>
  <c r="AB25" i="7" s="1"/>
  <c r="AL25" i="7" s="1"/>
  <c r="I25" i="7"/>
  <c r="S25" i="7" s="1"/>
  <c r="AC25" i="7" s="1"/>
  <c r="AM25" i="7" s="1"/>
  <c r="E26" i="7"/>
  <c r="O26" i="7" s="1"/>
  <c r="Y26" i="7" s="1"/>
  <c r="AI26" i="7" s="1"/>
  <c r="F26" i="7"/>
  <c r="P26" i="7" s="1"/>
  <c r="Z26" i="7" s="1"/>
  <c r="AJ26" i="7" s="1"/>
  <c r="G26" i="7"/>
  <c r="Q26" i="7" s="1"/>
  <c r="AA26" i="7" s="1"/>
  <c r="AK26" i="7" s="1"/>
  <c r="H26" i="7"/>
  <c r="R26" i="7" s="1"/>
  <c r="AB26" i="7" s="1"/>
  <c r="AL26" i="7" s="1"/>
  <c r="I26" i="7"/>
  <c r="S26" i="7" s="1"/>
  <c r="AC26" i="7" s="1"/>
  <c r="AM26" i="7" s="1"/>
  <c r="E24" i="7"/>
  <c r="O24" i="7" s="1"/>
  <c r="Y24" i="7" s="1"/>
  <c r="AI24" i="7" s="1"/>
  <c r="E17" i="17" s="1"/>
  <c r="F24" i="7"/>
  <c r="P24" i="7" s="1"/>
  <c r="Z24" i="7" s="1"/>
  <c r="AJ24" i="7" s="1"/>
  <c r="F17" i="17" s="1"/>
  <c r="G24" i="7"/>
  <c r="Q24" i="7" s="1"/>
  <c r="AA24" i="7" s="1"/>
  <c r="AK24" i="7" s="1"/>
  <c r="G17" i="17" s="1"/>
  <c r="H24" i="7"/>
  <c r="R24" i="7" s="1"/>
  <c r="AB24" i="7" s="1"/>
  <c r="AL24" i="7" s="1"/>
  <c r="H17" i="17" s="1"/>
  <c r="I24" i="7"/>
  <c r="S24" i="7" s="1"/>
  <c r="AC24" i="7" s="1"/>
  <c r="AM24" i="7" s="1"/>
  <c r="I17" i="17" s="1"/>
  <c r="N47" i="7" l="1"/>
  <c r="O49" i="16"/>
  <c r="N20" i="16"/>
  <c r="Q49" i="16"/>
  <c r="O48" i="16"/>
  <c r="Q47" i="16"/>
  <c r="S48" i="16"/>
  <c r="S49" i="16"/>
  <c r="S47" i="16"/>
  <c r="R49" i="16"/>
  <c r="R47" i="16"/>
  <c r="H49" i="16"/>
  <c r="O45" i="16"/>
  <c r="S45" i="16"/>
  <c r="I48" i="16"/>
  <c r="I45" i="16"/>
  <c r="I20" i="16" s="1"/>
  <c r="R38" i="16"/>
  <c r="I47" i="16"/>
  <c r="G47" i="16"/>
  <c r="P45" i="16"/>
  <c r="P20" i="16" s="1"/>
  <c r="F45" i="16"/>
  <c r="F48" i="16"/>
  <c r="P48" i="16"/>
  <c r="Q45" i="16"/>
  <c r="H47" i="16"/>
  <c r="I49" i="16"/>
  <c r="P39" i="16"/>
  <c r="P49" i="16" s="1"/>
  <c r="H45" i="16"/>
  <c r="H20" i="16" s="1"/>
  <c r="F47" i="16"/>
  <c r="R41" i="16"/>
  <c r="Q48" i="16"/>
  <c r="G48" i="16"/>
  <c r="G45" i="16"/>
  <c r="G20" i="16" s="1"/>
  <c r="E16" i="17"/>
  <c r="I16" i="17"/>
  <c r="D16" i="17"/>
  <c r="H16" i="17"/>
  <c r="H40" i="16"/>
  <c r="I40" i="16"/>
  <c r="I15" i="16" s="1"/>
  <c r="H46" i="16"/>
  <c r="G46" i="16"/>
  <c r="G49" i="16"/>
  <c r="G40" i="16"/>
  <c r="G15" i="16" s="1"/>
  <c r="F46" i="16"/>
  <c r="S36" i="16"/>
  <c r="F40" i="16"/>
  <c r="P46" i="16"/>
  <c r="E50" i="16"/>
  <c r="O46" i="16"/>
  <c r="Q40" i="16"/>
  <c r="Q46" i="16"/>
  <c r="D50" i="16"/>
  <c r="O40" i="16"/>
  <c r="N46" i="16"/>
  <c r="N50" i="16" s="1"/>
  <c r="N40" i="16"/>
  <c r="X47" i="7"/>
  <c r="AH47" i="7" s="1"/>
  <c r="E47" i="7"/>
  <c r="O47" i="7" s="1"/>
  <c r="Y47" i="7" s="1"/>
  <c r="AI47" i="7" s="1"/>
  <c r="J38" i="14"/>
  <c r="F28" i="14"/>
  <c r="I26" i="14"/>
  <c r="J26" i="14"/>
  <c r="I27" i="14"/>
  <c r="I28" i="14" s="1"/>
  <c r="H20" i="7" s="1"/>
  <c r="J27" i="14"/>
  <c r="J28" i="14" s="1"/>
  <c r="J25" i="14"/>
  <c r="I25" i="14"/>
  <c r="G26" i="14"/>
  <c r="H26" i="14"/>
  <c r="G27" i="14"/>
  <c r="G28" i="14" s="1"/>
  <c r="H25" i="14"/>
  <c r="G18" i="15"/>
  <c r="H18" i="15"/>
  <c r="E31" i="14" s="1"/>
  <c r="I18" i="15"/>
  <c r="F31" i="14" s="1"/>
  <c r="G10" i="15"/>
  <c r="H17" i="15"/>
  <c r="E30" i="14" s="1"/>
  <c r="I17" i="15"/>
  <c r="F30" i="14" s="1"/>
  <c r="H16" i="15"/>
  <c r="E29" i="14" s="1"/>
  <c r="D13" i="7" s="1"/>
  <c r="I16" i="15"/>
  <c r="F29" i="14" s="1"/>
  <c r="G13" i="15"/>
  <c r="H13" i="15"/>
  <c r="E37" i="14" s="1"/>
  <c r="D37" i="7" s="1"/>
  <c r="I13" i="15"/>
  <c r="F37" i="14" s="1"/>
  <c r="B10" i="15"/>
  <c r="D10" i="15"/>
  <c r="O50" i="16" l="1"/>
  <c r="O20" i="16"/>
  <c r="Q20" i="16"/>
  <c r="F20" i="16"/>
  <c r="S20" i="16"/>
  <c r="S46" i="16"/>
  <c r="R45" i="16"/>
  <c r="R20" i="16" s="1"/>
  <c r="R48" i="16"/>
  <c r="R40" i="16"/>
  <c r="I50" i="16"/>
  <c r="Q50" i="16"/>
  <c r="P50" i="16"/>
  <c r="C34" i="13"/>
  <c r="C39" i="13" s="1"/>
  <c r="G29" i="14"/>
  <c r="I29" i="14"/>
  <c r="R46" i="16"/>
  <c r="P40" i="16"/>
  <c r="F50" i="16"/>
  <c r="H50" i="16"/>
  <c r="S40" i="16"/>
  <c r="G50" i="16"/>
  <c r="G40" i="14"/>
  <c r="I40" i="14"/>
  <c r="E13" i="7"/>
  <c r="J29" i="14"/>
  <c r="H29" i="14"/>
  <c r="D14" i="7"/>
  <c r="I30" i="14"/>
  <c r="G30" i="14"/>
  <c r="E14" i="7"/>
  <c r="H30" i="14"/>
  <c r="J30" i="14"/>
  <c r="N37" i="7"/>
  <c r="G37" i="14"/>
  <c r="F37" i="7" s="1"/>
  <c r="I37" i="14"/>
  <c r="H37" i="7" s="1"/>
  <c r="H40" i="14"/>
  <c r="J40" i="14"/>
  <c r="E15" i="7"/>
  <c r="O15" i="7" s="1"/>
  <c r="Y15" i="7" s="1"/>
  <c r="AI15" i="7" s="1"/>
  <c r="J31" i="14"/>
  <c r="H31" i="14"/>
  <c r="G31" i="14"/>
  <c r="I31" i="14"/>
  <c r="E37" i="7"/>
  <c r="H37" i="14"/>
  <c r="G37" i="7" s="1"/>
  <c r="J37" i="14"/>
  <c r="I37" i="7" s="1"/>
  <c r="C82" i="13"/>
  <c r="C85" i="13" s="1"/>
  <c r="C58" i="13"/>
  <c r="F30" i="7"/>
  <c r="P30" i="7" s="1"/>
  <c r="Z30" i="7" s="1"/>
  <c r="AJ30" i="7" s="1"/>
  <c r="H30" i="7"/>
  <c r="R30" i="7" s="1"/>
  <c r="AB30" i="7" s="1"/>
  <c r="AL30" i="7" s="1"/>
  <c r="D30" i="7"/>
  <c r="N30" i="7" s="1"/>
  <c r="X30" i="7" s="1"/>
  <c r="AH30" i="7" s="1"/>
  <c r="D31" i="7"/>
  <c r="N31" i="7" s="1"/>
  <c r="X31" i="7" s="1"/>
  <c r="AH31" i="7" s="1"/>
  <c r="D29" i="7"/>
  <c r="AC12" i="16"/>
  <c r="AM12" i="16" s="1"/>
  <c r="AC13" i="16"/>
  <c r="AM13" i="16" s="1"/>
  <c r="AB13" i="16"/>
  <c r="AL13" i="16" s="1"/>
  <c r="AB12" i="16"/>
  <c r="AL12" i="16" s="1"/>
  <c r="D48" i="7"/>
  <c r="D49" i="7" s="1"/>
  <c r="AA13" i="16"/>
  <c r="AK13" i="16" s="1"/>
  <c r="AA12" i="16"/>
  <c r="AK12" i="16" s="1"/>
  <c r="E48" i="7"/>
  <c r="E49" i="7" s="1"/>
  <c r="Z12" i="16"/>
  <c r="AJ12" i="16" s="1"/>
  <c r="Z13" i="16"/>
  <c r="AJ13" i="16" s="1"/>
  <c r="E20" i="7"/>
  <c r="H18" i="7"/>
  <c r="H19" i="7"/>
  <c r="D15" i="7"/>
  <c r="N15" i="7" s="1"/>
  <c r="X15" i="7" s="1"/>
  <c r="AH15" i="7" s="1"/>
  <c r="E28" i="14"/>
  <c r="C15" i="13"/>
  <c r="C20" i="13" s="1"/>
  <c r="I10" i="15"/>
  <c r="H10" i="15"/>
  <c r="C69" i="13" l="1"/>
  <c r="C72" i="13" s="1"/>
  <c r="S50" i="16"/>
  <c r="R50" i="16"/>
  <c r="N29" i="7"/>
  <c r="X29" i="7" s="1"/>
  <c r="AH29" i="7" s="1"/>
  <c r="D19" i="17" s="1"/>
  <c r="E14" i="17"/>
  <c r="E18" i="7"/>
  <c r="E34" i="7" s="1"/>
  <c r="B18" i="13"/>
  <c r="E31" i="7"/>
  <c r="O31" i="7" s="1"/>
  <c r="Y31" i="7" s="1"/>
  <c r="AI31" i="7" s="1"/>
  <c r="H29" i="7"/>
  <c r="R29" i="7" s="1"/>
  <c r="AB29" i="7" s="1"/>
  <c r="AL29" i="7" s="1"/>
  <c r="H19" i="17" s="1"/>
  <c r="F31" i="7"/>
  <c r="P31" i="7" s="1"/>
  <c r="Z31" i="7" s="1"/>
  <c r="AJ31" i="7" s="1"/>
  <c r="H31" i="7"/>
  <c r="R31" i="7" s="1"/>
  <c r="AB31" i="7" s="1"/>
  <c r="AL31" i="7" s="1"/>
  <c r="I31" i="7"/>
  <c r="S31" i="7" s="1"/>
  <c r="AC31" i="7" s="1"/>
  <c r="AM31" i="7" s="1"/>
  <c r="D14" i="17"/>
  <c r="F29" i="7"/>
  <c r="P29" i="7" s="1"/>
  <c r="Z29" i="7" s="1"/>
  <c r="AJ29" i="7" s="1"/>
  <c r="F19" i="17" s="1"/>
  <c r="E29" i="7"/>
  <c r="O29" i="7" s="1"/>
  <c r="Y29" i="7" s="1"/>
  <c r="AI29" i="7" s="1"/>
  <c r="E19" i="17" s="1"/>
  <c r="E30" i="7"/>
  <c r="O30" i="7" s="1"/>
  <c r="Y30" i="7" s="1"/>
  <c r="AI30" i="7" s="1"/>
  <c r="E19" i="7"/>
  <c r="D20" i="7"/>
  <c r="G31" i="7"/>
  <c r="Q31" i="7" s="1"/>
  <c r="AA31" i="7" s="1"/>
  <c r="AK31" i="7" s="1"/>
  <c r="G29" i="7"/>
  <c r="Q29" i="7" s="1"/>
  <c r="AA29" i="7" s="1"/>
  <c r="AK29" i="7" s="1"/>
  <c r="G19" i="17" s="1"/>
  <c r="G30" i="7"/>
  <c r="Q30" i="7" s="1"/>
  <c r="AA30" i="7" s="1"/>
  <c r="AK30" i="7" s="1"/>
  <c r="H21" i="7"/>
  <c r="E36" i="7"/>
  <c r="O37" i="7"/>
  <c r="B21" i="13" l="1"/>
  <c r="B22" i="13" s="1"/>
  <c r="B19" i="13"/>
  <c r="B23" i="13" s="1"/>
  <c r="D32" i="14" s="1"/>
  <c r="C18" i="13"/>
  <c r="C19" i="13" s="1"/>
  <c r="O7" i="16"/>
  <c r="F55" i="14"/>
  <c r="E21" i="7"/>
  <c r="D36" i="7"/>
  <c r="I29" i="7"/>
  <c r="S29" i="7" s="1"/>
  <c r="AC29" i="7" s="1"/>
  <c r="AM29" i="7" s="1"/>
  <c r="I19" i="17" s="1"/>
  <c r="E35" i="7"/>
  <c r="I30" i="7"/>
  <c r="S30" i="7" s="1"/>
  <c r="AC30" i="7" s="1"/>
  <c r="AM30" i="7" s="1"/>
  <c r="C56" i="13"/>
  <c r="C59" i="13" s="1"/>
  <c r="C60" i="13" s="1"/>
  <c r="C37" i="13"/>
  <c r="D19" i="7"/>
  <c r="D35" i="7" s="1"/>
  <c r="D18" i="7"/>
  <c r="D34" i="7" s="1"/>
  <c r="C21" i="13" l="1"/>
  <c r="C22" i="13" s="1"/>
  <c r="C23" i="13" s="1"/>
  <c r="O58" i="16"/>
  <c r="O59" i="16"/>
  <c r="Y59" i="16" s="1"/>
  <c r="AI59" i="16" s="1"/>
  <c r="O60" i="16"/>
  <c r="Y60" i="16" s="1"/>
  <c r="AI60" i="16" s="1"/>
  <c r="O61" i="16"/>
  <c r="Y61" i="16" s="1"/>
  <c r="AI61" i="16" s="1"/>
  <c r="F32" i="14"/>
  <c r="Y7" i="16"/>
  <c r="AI7" i="16" s="1"/>
  <c r="E11" i="17" s="1"/>
  <c r="C57" i="13"/>
  <c r="N6" i="16" s="1"/>
  <c r="O6" i="16"/>
  <c r="C38" i="13"/>
  <c r="C40" i="13"/>
  <c r="C41" i="13" s="1"/>
  <c r="F34" i="14"/>
  <c r="O8" i="7"/>
  <c r="E7" i="16"/>
  <c r="D21" i="7"/>
  <c r="C79" i="13"/>
  <c r="C83" i="13" s="1"/>
  <c r="B56" i="13"/>
  <c r="B37" i="13"/>
  <c r="G34" i="13" l="1"/>
  <c r="G38" i="13" s="1"/>
  <c r="E34" i="13"/>
  <c r="E38" i="13" s="1"/>
  <c r="G39" i="13"/>
  <c r="G41" i="13" s="1"/>
  <c r="E39" i="13"/>
  <c r="E41" i="13" s="1"/>
  <c r="E15" i="13"/>
  <c r="E19" i="13" s="1"/>
  <c r="B59" i="13"/>
  <c r="B60" i="13" s="1"/>
  <c r="B57" i="13"/>
  <c r="B40" i="13"/>
  <c r="B41" i="13" s="1"/>
  <c r="B38" i="13"/>
  <c r="O54" i="16"/>
  <c r="O55" i="16"/>
  <c r="N54" i="16"/>
  <c r="N55" i="16"/>
  <c r="E58" i="16"/>
  <c r="E59" i="16"/>
  <c r="E60" i="16"/>
  <c r="E61" i="16"/>
  <c r="O64" i="16"/>
  <c r="O65" i="16"/>
  <c r="E32" i="14"/>
  <c r="G32" i="14" s="1"/>
  <c r="N6" i="7"/>
  <c r="H32" i="14"/>
  <c r="J32" i="14"/>
  <c r="C61" i="13"/>
  <c r="E54" i="14"/>
  <c r="D6" i="16" s="1"/>
  <c r="C42" i="13"/>
  <c r="N7" i="7" s="1"/>
  <c r="F54" i="14"/>
  <c r="E6" i="16" s="1"/>
  <c r="Y58" i="16"/>
  <c r="AI58" i="16" s="1"/>
  <c r="O62" i="16"/>
  <c r="O6" i="7"/>
  <c r="Y6" i="7" s="1"/>
  <c r="AI6" i="7" s="1"/>
  <c r="E7" i="17" s="1"/>
  <c r="X6" i="16"/>
  <c r="F33" i="14"/>
  <c r="H33" i="14" s="1"/>
  <c r="G7" i="7" s="1"/>
  <c r="C84" i="13"/>
  <c r="C86" i="13" s="1"/>
  <c r="C66" i="13"/>
  <c r="C70" i="13" s="1"/>
  <c r="Y8" i="7"/>
  <c r="AI8" i="7" s="1"/>
  <c r="E9" i="17" s="1"/>
  <c r="O42" i="7"/>
  <c r="Y42" i="7" s="1"/>
  <c r="AI42" i="7" s="1"/>
  <c r="E22" i="17" s="1"/>
  <c r="H34" i="14"/>
  <c r="G8" i="7" s="1"/>
  <c r="E8" i="7"/>
  <c r="E42" i="7" s="1"/>
  <c r="J34" i="14"/>
  <c r="I8" i="7" s="1"/>
  <c r="E6" i="7"/>
  <c r="E40" i="7" s="1"/>
  <c r="G42" i="13" l="1"/>
  <c r="E42" i="13"/>
  <c r="B42" i="13"/>
  <c r="D33" i="14" s="1"/>
  <c r="D35" i="14" s="1"/>
  <c r="B61" i="13"/>
  <c r="E20" i="13"/>
  <c r="E22" i="13" s="1"/>
  <c r="E23" i="13" s="1"/>
  <c r="E63" i="16"/>
  <c r="E64" i="16"/>
  <c r="E66" i="16"/>
  <c r="E65" i="16"/>
  <c r="Y65" i="16"/>
  <c r="AI65" i="16" s="1"/>
  <c r="D54" i="16"/>
  <c r="D56" i="16"/>
  <c r="D55" i="16"/>
  <c r="E53" i="16"/>
  <c r="E54" i="16"/>
  <c r="E56" i="16"/>
  <c r="E55" i="16"/>
  <c r="N7" i="16"/>
  <c r="E55" i="14"/>
  <c r="I32" i="14"/>
  <c r="H6" i="7" s="1"/>
  <c r="D6" i="7"/>
  <c r="D40" i="7" s="1"/>
  <c r="N9" i="7"/>
  <c r="Y64" i="16"/>
  <c r="AI64" i="16" s="1"/>
  <c r="Y6" i="16"/>
  <c r="Y8" i="16" s="1"/>
  <c r="Y54" i="16"/>
  <c r="AI54" i="16" s="1"/>
  <c r="Y55" i="16"/>
  <c r="AI55" i="16" s="1"/>
  <c r="X54" i="16"/>
  <c r="AH54" i="16" s="1"/>
  <c r="C87" i="13"/>
  <c r="X55" i="16"/>
  <c r="AH55" i="16" s="1"/>
  <c r="O8" i="16"/>
  <c r="AH6" i="16"/>
  <c r="X8" i="16"/>
  <c r="J33" i="14"/>
  <c r="I7" i="7" s="1"/>
  <c r="O7" i="7"/>
  <c r="F35" i="14"/>
  <c r="E9" i="7" s="1"/>
  <c r="E7" i="7"/>
  <c r="E41" i="7" s="1"/>
  <c r="N8" i="16"/>
  <c r="X6" i="7"/>
  <c r="AH6" i="7" s="1"/>
  <c r="D7" i="17" s="1"/>
  <c r="E62" i="16"/>
  <c r="C71" i="13"/>
  <c r="C73" i="13" s="1"/>
  <c r="C74" i="13" s="1"/>
  <c r="E33" i="14"/>
  <c r="Y25" i="16"/>
  <c r="AI25" i="16" s="1"/>
  <c r="G6" i="7"/>
  <c r="H35" i="14"/>
  <c r="G9" i="7" s="1"/>
  <c r="I6" i="7"/>
  <c r="F6" i="7"/>
  <c r="J54" i="14" l="1"/>
  <c r="I6" i="16" s="1"/>
  <c r="R6" i="16"/>
  <c r="N8" i="7"/>
  <c r="N65" i="16"/>
  <c r="N64" i="16"/>
  <c r="N58" i="16"/>
  <c r="N59" i="16"/>
  <c r="N60" i="16"/>
  <c r="X60" i="16" s="1"/>
  <c r="AH60" i="16" s="1"/>
  <c r="N61" i="16"/>
  <c r="Q7" i="16"/>
  <c r="H55" i="14"/>
  <c r="G7" i="16" s="1"/>
  <c r="S7" i="16"/>
  <c r="J55" i="14"/>
  <c r="I7" i="16" s="1"/>
  <c r="P7" i="16"/>
  <c r="P58" i="16" s="1"/>
  <c r="G55" i="14"/>
  <c r="F7" i="16" s="1"/>
  <c r="R7" i="16"/>
  <c r="I55" i="14"/>
  <c r="H7" i="16" s="1"/>
  <c r="H54" i="14"/>
  <c r="G6" i="16" s="1"/>
  <c r="D10" i="17"/>
  <c r="AH8" i="16"/>
  <c r="AI6" i="16"/>
  <c r="E10" i="17" s="1"/>
  <c r="O11" i="16"/>
  <c r="Q8" i="7"/>
  <c r="AA8" i="7" s="1"/>
  <c r="AK8" i="7" s="1"/>
  <c r="G9" i="17" s="1"/>
  <c r="S8" i="7"/>
  <c r="AC8" i="7" s="1"/>
  <c r="AM8" i="7" s="1"/>
  <c r="I9" i="17" s="1"/>
  <c r="E67" i="16"/>
  <c r="E57" i="16"/>
  <c r="J35" i="14"/>
  <c r="I9" i="7" s="1"/>
  <c r="Y7" i="7"/>
  <c r="AI7" i="7" s="1"/>
  <c r="E8" i="17" s="1"/>
  <c r="O9" i="7"/>
  <c r="O10" i="7" s="1"/>
  <c r="D7" i="16"/>
  <c r="X7" i="7"/>
  <c r="AH7" i="7" s="1"/>
  <c r="D8" i="17" s="1"/>
  <c r="G33" i="14"/>
  <c r="D7" i="7"/>
  <c r="D41" i="7" s="1"/>
  <c r="E35" i="14"/>
  <c r="D9" i="7" s="1"/>
  <c r="I33" i="14"/>
  <c r="P6" i="7"/>
  <c r="Z6" i="7" s="1"/>
  <c r="AJ6" i="7" s="1"/>
  <c r="F7" i="17" s="1"/>
  <c r="Q6" i="7"/>
  <c r="AA6" i="7" s="1"/>
  <c r="AK6" i="7" s="1"/>
  <c r="G7" i="17" s="1"/>
  <c r="Y24" i="16"/>
  <c r="AI24" i="16" s="1"/>
  <c r="X24" i="16"/>
  <c r="AH24" i="16" s="1"/>
  <c r="R8" i="7"/>
  <c r="AB8" i="7" s="1"/>
  <c r="AL8" i="7" s="1"/>
  <c r="H9" i="17" s="1"/>
  <c r="P6" i="16"/>
  <c r="P8" i="7"/>
  <c r="Z8" i="7" s="1"/>
  <c r="AJ8" i="7" s="1"/>
  <c r="F9" i="17" s="1"/>
  <c r="Q6" i="16" l="1"/>
  <c r="S6" i="16"/>
  <c r="S55" i="16" s="1"/>
  <c r="AC55" i="16" s="1"/>
  <c r="AM55" i="16" s="1"/>
  <c r="I54" i="14"/>
  <c r="H6" i="16" s="1"/>
  <c r="H66" i="16" s="1"/>
  <c r="I66" i="16"/>
  <c r="I63" i="16"/>
  <c r="I64" i="16"/>
  <c r="I65" i="16"/>
  <c r="G65" i="16"/>
  <c r="G64" i="16"/>
  <c r="G63" i="16"/>
  <c r="G66" i="16"/>
  <c r="D64" i="16"/>
  <c r="D66" i="16"/>
  <c r="D65" i="16"/>
  <c r="P54" i="16"/>
  <c r="P55" i="16"/>
  <c r="Q54" i="16"/>
  <c r="AA54" i="16" s="1"/>
  <c r="AK54" i="16" s="1"/>
  <c r="Q55" i="16"/>
  <c r="AA55" i="16" s="1"/>
  <c r="AK55" i="16" s="1"/>
  <c r="O63" i="16"/>
  <c r="Y63" i="16" s="1"/>
  <c r="AI63" i="16" s="1"/>
  <c r="O53" i="16"/>
  <c r="Y53" i="16" s="1"/>
  <c r="AI53" i="16" s="1"/>
  <c r="R55" i="16"/>
  <c r="AB55" i="16" s="1"/>
  <c r="AL55" i="16" s="1"/>
  <c r="R54" i="16"/>
  <c r="AB54" i="16" s="1"/>
  <c r="AL54" i="16" s="1"/>
  <c r="F61" i="16"/>
  <c r="F60" i="16"/>
  <c r="F58" i="16"/>
  <c r="F59" i="16"/>
  <c r="G60" i="16"/>
  <c r="G61" i="16"/>
  <c r="G59" i="16"/>
  <c r="G58" i="16"/>
  <c r="H59" i="16"/>
  <c r="H60" i="16"/>
  <c r="H61" i="16"/>
  <c r="H58" i="16"/>
  <c r="I58" i="16"/>
  <c r="I59" i="16"/>
  <c r="I60" i="16"/>
  <c r="I61" i="16"/>
  <c r="D58" i="16"/>
  <c r="D59" i="16"/>
  <c r="D60" i="16"/>
  <c r="D61" i="16"/>
  <c r="I54" i="16"/>
  <c r="I56" i="16"/>
  <c r="I55" i="16"/>
  <c r="G56" i="16"/>
  <c r="G55" i="16"/>
  <c r="G54" i="16"/>
  <c r="I53" i="16"/>
  <c r="G53" i="16"/>
  <c r="R65" i="16"/>
  <c r="AB65" i="16" s="1"/>
  <c r="AL65" i="16" s="1"/>
  <c r="R64" i="16"/>
  <c r="AB64" i="16" s="1"/>
  <c r="AL64" i="16" s="1"/>
  <c r="P64" i="16"/>
  <c r="P65" i="16"/>
  <c r="S64" i="16"/>
  <c r="AC64" i="16" s="1"/>
  <c r="AM64" i="16" s="1"/>
  <c r="Q64" i="16"/>
  <c r="AA64" i="16" s="1"/>
  <c r="AK64" i="16" s="1"/>
  <c r="Q65" i="16"/>
  <c r="AA65" i="16" s="1"/>
  <c r="AK65" i="16" s="1"/>
  <c r="R59" i="16"/>
  <c r="AB59" i="16" s="1"/>
  <c r="AL59" i="16" s="1"/>
  <c r="R60" i="16"/>
  <c r="AB60" i="16" s="1"/>
  <c r="AL60" i="16" s="1"/>
  <c r="R61" i="16"/>
  <c r="AB61" i="16" s="1"/>
  <c r="AL61" i="16" s="1"/>
  <c r="R58" i="16"/>
  <c r="AB58" i="16" s="1"/>
  <c r="AL58" i="16" s="1"/>
  <c r="S58" i="16"/>
  <c r="AC58" i="16" s="1"/>
  <c r="AM58" i="16" s="1"/>
  <c r="S59" i="16"/>
  <c r="AC59" i="16" s="1"/>
  <c r="AM59" i="16" s="1"/>
  <c r="S60" i="16"/>
  <c r="AC60" i="16" s="1"/>
  <c r="AM60" i="16" s="1"/>
  <c r="S61" i="16"/>
  <c r="AC61" i="16" s="1"/>
  <c r="AM61" i="16" s="1"/>
  <c r="P61" i="16"/>
  <c r="Z61" i="16" s="1"/>
  <c r="AJ61" i="16" s="1"/>
  <c r="P59" i="16"/>
  <c r="Z59" i="16" s="1"/>
  <c r="AJ59" i="16" s="1"/>
  <c r="P60" i="16"/>
  <c r="Z60" i="16" s="1"/>
  <c r="AJ60" i="16" s="1"/>
  <c r="Q60" i="16"/>
  <c r="AA60" i="16" s="1"/>
  <c r="AK60" i="16" s="1"/>
  <c r="Q61" i="16"/>
  <c r="AA61" i="16" s="1"/>
  <c r="AK61" i="16" s="1"/>
  <c r="Q58" i="16"/>
  <c r="Q59" i="16"/>
  <c r="AA59" i="16" s="1"/>
  <c r="AK59" i="16" s="1"/>
  <c r="N62" i="16"/>
  <c r="O14" i="16"/>
  <c r="O56" i="16" s="1"/>
  <c r="R6" i="7"/>
  <c r="AB6" i="7" s="1"/>
  <c r="AL6" i="7" s="1"/>
  <c r="H7" i="17" s="1"/>
  <c r="AB7" i="16"/>
  <c r="AL7" i="16" s="1"/>
  <c r="H11" i="17" s="1"/>
  <c r="AI8" i="16"/>
  <c r="Y11" i="16"/>
  <c r="AI11" i="16" s="1"/>
  <c r="O20" i="7"/>
  <c r="O13" i="7"/>
  <c r="O14" i="7"/>
  <c r="O41" i="7" s="1"/>
  <c r="Y41" i="7" s="1"/>
  <c r="AI41" i="7" s="1"/>
  <c r="E21" i="17" s="1"/>
  <c r="G54" i="14"/>
  <c r="F6" i="16" s="1"/>
  <c r="AA7" i="16"/>
  <c r="AK7" i="16" s="1"/>
  <c r="G11" i="17" s="1"/>
  <c r="X59" i="16"/>
  <c r="AH59" i="16" s="1"/>
  <c r="X65" i="16"/>
  <c r="AH65" i="16" s="1"/>
  <c r="X61" i="16"/>
  <c r="AH61" i="16" s="1"/>
  <c r="X64" i="16"/>
  <c r="AH64" i="16" s="1"/>
  <c r="X58" i="16"/>
  <c r="AH58" i="16" s="1"/>
  <c r="X7" i="16"/>
  <c r="AH7" i="16" s="1"/>
  <c r="D11" i="17" s="1"/>
  <c r="AC7" i="16"/>
  <c r="AM7" i="16" s="1"/>
  <c r="I11" i="17" s="1"/>
  <c r="Z7" i="16"/>
  <c r="AJ7" i="16" s="1"/>
  <c r="F11" i="17" s="1"/>
  <c r="R7" i="7"/>
  <c r="AB7" i="7" s="1"/>
  <c r="AL7" i="7" s="1"/>
  <c r="H8" i="17" s="1"/>
  <c r="E34" i="14"/>
  <c r="F7" i="7"/>
  <c r="G35" i="14"/>
  <c r="F9" i="7" s="1"/>
  <c r="H7" i="7"/>
  <c r="I35" i="14"/>
  <c r="H9" i="7" s="1"/>
  <c r="N10" i="7"/>
  <c r="AC6" i="16"/>
  <c r="S8" i="16"/>
  <c r="AA6" i="16"/>
  <c r="Q8" i="16"/>
  <c r="AB6" i="16"/>
  <c r="P7" i="7"/>
  <c r="Z7" i="7" s="1"/>
  <c r="AJ7" i="7" s="1"/>
  <c r="F8" i="17" s="1"/>
  <c r="Q7" i="7"/>
  <c r="AA7" i="7" s="1"/>
  <c r="AK7" i="7" s="1"/>
  <c r="G8" i="17" s="1"/>
  <c r="S7" i="7"/>
  <c r="AC7" i="7" s="1"/>
  <c r="AM7" i="7" s="1"/>
  <c r="I8" i="17" s="1"/>
  <c r="S6" i="7"/>
  <c r="AC6" i="7" s="1"/>
  <c r="AM6" i="7" s="1"/>
  <c r="I7" i="17" s="1"/>
  <c r="F62" i="16" l="1"/>
  <c r="S54" i="16"/>
  <c r="AC54" i="16" s="1"/>
  <c r="S65" i="16"/>
  <c r="AC65" i="16" s="1"/>
  <c r="AM65" i="16" s="1"/>
  <c r="H54" i="16"/>
  <c r="R8" i="16"/>
  <c r="H56" i="16"/>
  <c r="H64" i="16"/>
  <c r="H65" i="16"/>
  <c r="H55" i="16"/>
  <c r="F65" i="16"/>
  <c r="F64" i="16"/>
  <c r="F66" i="16"/>
  <c r="F55" i="16"/>
  <c r="F54" i="16"/>
  <c r="F56" i="16"/>
  <c r="Y56" i="16"/>
  <c r="AI56" i="16" s="1"/>
  <c r="O66" i="16"/>
  <c r="O67" i="16" s="1"/>
  <c r="O68" i="16" s="1"/>
  <c r="Y50" i="16" s="1"/>
  <c r="Y14" i="16"/>
  <c r="AI14" i="16" s="1"/>
  <c r="Z55" i="16"/>
  <c r="AJ55" i="16" s="1"/>
  <c r="O15" i="16"/>
  <c r="I57" i="16"/>
  <c r="I62" i="16"/>
  <c r="G62" i="16"/>
  <c r="G57" i="16"/>
  <c r="G67" i="16"/>
  <c r="I67" i="16"/>
  <c r="P8" i="16"/>
  <c r="Z64" i="16"/>
  <c r="AJ64" i="16" s="1"/>
  <c r="Z54" i="16"/>
  <c r="AJ54" i="16" s="1"/>
  <c r="Z65" i="16"/>
  <c r="AJ65" i="16" s="1"/>
  <c r="O57" i="16"/>
  <c r="Z6" i="16"/>
  <c r="Z8" i="16" s="1"/>
  <c r="Q11" i="16"/>
  <c r="S11" i="16"/>
  <c r="N13" i="7"/>
  <c r="N40" i="7" s="1"/>
  <c r="X40" i="7" s="1"/>
  <c r="AH40" i="7" s="1"/>
  <c r="D20" i="17" s="1"/>
  <c r="N14" i="7"/>
  <c r="N20" i="7"/>
  <c r="Y14" i="7"/>
  <c r="AI14" i="7" s="1"/>
  <c r="Q62" i="16"/>
  <c r="AA58" i="16"/>
  <c r="AK58" i="16" s="1"/>
  <c r="R62" i="16"/>
  <c r="S62" i="16"/>
  <c r="Z58" i="16"/>
  <c r="AJ58" i="16" s="1"/>
  <c r="P62" i="16"/>
  <c r="Y13" i="7"/>
  <c r="AI13" i="7" s="1"/>
  <c r="O40" i="7"/>
  <c r="Y40" i="7" s="1"/>
  <c r="AI40" i="7" s="1"/>
  <c r="E20" i="17" s="1"/>
  <c r="Y20" i="7"/>
  <c r="AI20" i="7" s="1"/>
  <c r="O19" i="7"/>
  <c r="O36" i="7"/>
  <c r="O18" i="7"/>
  <c r="D62" i="16"/>
  <c r="H62" i="16"/>
  <c r="AM54" i="16"/>
  <c r="D8" i="7"/>
  <c r="D42" i="7" s="1"/>
  <c r="I34" i="14"/>
  <c r="H8" i="7" s="1"/>
  <c r="G34" i="14"/>
  <c r="F8" i="7" s="1"/>
  <c r="X8" i="7"/>
  <c r="AH8" i="7" s="1"/>
  <c r="D9" i="17" s="1"/>
  <c r="N42" i="7"/>
  <c r="X42" i="7" s="1"/>
  <c r="AH42" i="7" s="1"/>
  <c r="D22" i="17" s="1"/>
  <c r="AC8" i="16"/>
  <c r="AM6" i="16"/>
  <c r="I10" i="17" s="1"/>
  <c r="AB8" i="16"/>
  <c r="AL6" i="16"/>
  <c r="H10" i="17" s="1"/>
  <c r="AA8" i="16"/>
  <c r="AK6" i="16"/>
  <c r="G10" i="17" s="1"/>
  <c r="H13" i="7"/>
  <c r="G13" i="7"/>
  <c r="F13" i="7"/>
  <c r="I13" i="7"/>
  <c r="I15" i="7"/>
  <c r="S15" i="7" s="1"/>
  <c r="AC15" i="7" s="1"/>
  <c r="AM15" i="7" s="1"/>
  <c r="I14" i="7"/>
  <c r="H15" i="7"/>
  <c r="R15" i="7" s="1"/>
  <c r="AB15" i="7" s="1"/>
  <c r="AL15" i="7" s="1"/>
  <c r="H14" i="7"/>
  <c r="G15" i="7"/>
  <c r="F15" i="7"/>
  <c r="G14" i="7"/>
  <c r="F14" i="7"/>
  <c r="H47" i="7"/>
  <c r="R47" i="7" s="1"/>
  <c r="AB47" i="7" s="1"/>
  <c r="AL47" i="7" s="1"/>
  <c r="I47" i="7"/>
  <c r="S47" i="7" s="1"/>
  <c r="AC47" i="7" s="1"/>
  <c r="AM47" i="7" s="1"/>
  <c r="I20" i="7"/>
  <c r="S37" i="7"/>
  <c r="I48" i="7"/>
  <c r="H48" i="7"/>
  <c r="Q37" i="7"/>
  <c r="P37" i="7"/>
  <c r="Y40" i="16" l="1"/>
  <c r="Y37" i="16"/>
  <c r="AI37" i="16" s="1"/>
  <c r="Y47" i="16"/>
  <c r="Y44" i="16"/>
  <c r="AI44" i="16" s="1"/>
  <c r="Y49" i="16"/>
  <c r="Y42" i="16"/>
  <c r="AI42" i="16" s="1"/>
  <c r="Y39" i="16"/>
  <c r="AI39" i="16" s="1"/>
  <c r="Y38" i="16"/>
  <c r="AI38" i="16" s="1"/>
  <c r="Y43" i="16"/>
  <c r="AI43" i="16" s="1"/>
  <c r="Y41" i="16"/>
  <c r="Y48" i="16"/>
  <c r="Y45" i="16"/>
  <c r="Y36" i="16"/>
  <c r="AI36" i="16" s="1"/>
  <c r="Y46" i="16"/>
  <c r="S63" i="16"/>
  <c r="AC63" i="16" s="1"/>
  <c r="AM63" i="16" s="1"/>
  <c r="S53" i="16"/>
  <c r="AC53" i="16" s="1"/>
  <c r="AM53" i="16" s="1"/>
  <c r="Q63" i="16"/>
  <c r="AA63" i="16" s="1"/>
  <c r="AK63" i="16" s="1"/>
  <c r="Q53" i="16"/>
  <c r="AA53" i="16" s="1"/>
  <c r="AK53" i="16" s="1"/>
  <c r="Y66" i="16"/>
  <c r="AI66" i="16" s="1"/>
  <c r="S14" i="16"/>
  <c r="S56" i="16" s="1"/>
  <c r="Q14" i="16"/>
  <c r="Q56" i="16" s="1"/>
  <c r="AJ6" i="16"/>
  <c r="F10" i="17" s="1"/>
  <c r="AC11" i="16"/>
  <c r="AM11" i="16" s="1"/>
  <c r="AA11" i="16"/>
  <c r="AK11" i="16" s="1"/>
  <c r="I14" i="17"/>
  <c r="H14" i="17"/>
  <c r="E12" i="17"/>
  <c r="E13" i="17"/>
  <c r="N36" i="7"/>
  <c r="N18" i="7"/>
  <c r="N34" i="7" s="1"/>
  <c r="O35" i="7"/>
  <c r="Y19" i="7"/>
  <c r="AI19" i="7" s="1"/>
  <c r="O34" i="7"/>
  <c r="Y18" i="7"/>
  <c r="O21" i="7"/>
  <c r="Y21" i="7" s="1"/>
  <c r="AI21" i="7" s="1"/>
  <c r="X13" i="7"/>
  <c r="AH13" i="7" s="1"/>
  <c r="X14" i="7"/>
  <c r="AH14" i="7" s="1"/>
  <c r="N41" i="7"/>
  <c r="X41" i="7" s="1"/>
  <c r="AH41" i="7" s="1"/>
  <c r="D21" i="17" s="1"/>
  <c r="X20" i="7"/>
  <c r="AH20" i="7" s="1"/>
  <c r="N19" i="7"/>
  <c r="N35" i="7" s="1"/>
  <c r="AL8" i="16"/>
  <c r="AM8" i="16"/>
  <c r="AK8" i="16"/>
  <c r="H36" i="7"/>
  <c r="R37" i="7"/>
  <c r="G42" i="7"/>
  <c r="Q15" i="7"/>
  <c r="Q42" i="7" s="1"/>
  <c r="F41" i="7"/>
  <c r="H41" i="7"/>
  <c r="G41" i="7"/>
  <c r="F40" i="7"/>
  <c r="F42" i="7"/>
  <c r="P15" i="7"/>
  <c r="I41" i="7"/>
  <c r="G40" i="7"/>
  <c r="I36" i="7"/>
  <c r="I18" i="7"/>
  <c r="I19" i="7"/>
  <c r="I40" i="7"/>
  <c r="H40" i="7"/>
  <c r="S42" i="7"/>
  <c r="AC42" i="7" s="1"/>
  <c r="AM42" i="7" s="1"/>
  <c r="I22" i="17" s="1"/>
  <c r="I42" i="7"/>
  <c r="R42" i="7"/>
  <c r="AB42" i="7" s="1"/>
  <c r="AL42" i="7" s="1"/>
  <c r="H22" i="17" s="1"/>
  <c r="H42" i="7"/>
  <c r="H49" i="7"/>
  <c r="I49" i="7"/>
  <c r="N44" i="7" l="1"/>
  <c r="N48" i="7" s="1"/>
  <c r="AI40" i="16"/>
  <c r="S57" i="16"/>
  <c r="S66" i="16"/>
  <c r="S67" i="16" s="1"/>
  <c r="S68" i="16" s="1"/>
  <c r="AC50" i="16" s="1"/>
  <c r="AA56" i="16"/>
  <c r="AK56" i="16" s="1"/>
  <c r="Q66" i="16"/>
  <c r="AA66" i="16" s="1"/>
  <c r="AK66" i="16" s="1"/>
  <c r="AA14" i="16"/>
  <c r="AK14" i="16" s="1"/>
  <c r="Q15" i="16"/>
  <c r="AC14" i="16"/>
  <c r="AM14" i="16" s="1"/>
  <c r="S15" i="16"/>
  <c r="Y15" i="16"/>
  <c r="AJ8" i="16"/>
  <c r="Y20" i="16"/>
  <c r="AI41" i="16"/>
  <c r="D13" i="17"/>
  <c r="O48" i="7"/>
  <c r="Y9" i="7"/>
  <c r="Y10" i="7" s="1"/>
  <c r="AI18" i="7"/>
  <c r="D12" i="17"/>
  <c r="AC56" i="16"/>
  <c r="AM56" i="16" s="1"/>
  <c r="N21" i="7"/>
  <c r="X21" i="7" s="1"/>
  <c r="AH21" i="7" s="1"/>
  <c r="X18" i="7"/>
  <c r="X19" i="7"/>
  <c r="AH19" i="7" s="1"/>
  <c r="AI48" i="16"/>
  <c r="AI47" i="16"/>
  <c r="AI49" i="16"/>
  <c r="Z25" i="16"/>
  <c r="AJ25" i="16" s="1"/>
  <c r="AB25" i="16"/>
  <c r="AL25" i="16" s="1"/>
  <c r="AC25" i="16"/>
  <c r="AM25" i="16" s="1"/>
  <c r="AA25" i="16"/>
  <c r="AK25" i="16" s="1"/>
  <c r="P42" i="7"/>
  <c r="Z42" i="7" s="1"/>
  <c r="AJ42" i="7" s="1"/>
  <c r="Z15" i="7"/>
  <c r="AJ15" i="7" s="1"/>
  <c r="AA42" i="7"/>
  <c r="AA15" i="7"/>
  <c r="AK15" i="7" s="1"/>
  <c r="I35" i="7"/>
  <c r="I21" i="7"/>
  <c r="H35" i="7"/>
  <c r="I34" i="7"/>
  <c r="H34" i="7"/>
  <c r="S9" i="7"/>
  <c r="S10" i="7" s="1"/>
  <c r="R9" i="7"/>
  <c r="R10" i="7" s="1"/>
  <c r="R13" i="7" s="1"/>
  <c r="AI57" i="16" l="1"/>
  <c r="E24" i="17" s="1"/>
  <c r="AI77" i="16"/>
  <c r="AI74" i="16"/>
  <c r="AK42" i="7"/>
  <c r="G22" i="17" s="1"/>
  <c r="F22" i="17"/>
  <c r="AC46" i="16"/>
  <c r="AC44" i="16"/>
  <c r="AC37" i="16"/>
  <c r="AC48" i="16"/>
  <c r="AC49" i="16"/>
  <c r="AC38" i="16"/>
  <c r="AC39" i="16"/>
  <c r="AC45" i="16"/>
  <c r="AC40" i="16"/>
  <c r="AC42" i="16"/>
  <c r="AC43" i="16"/>
  <c r="AC47" i="16"/>
  <c r="AC41" i="16"/>
  <c r="AC36" i="16"/>
  <c r="AI45" i="16"/>
  <c r="AI62" i="16" s="1"/>
  <c r="E25" i="17" s="1"/>
  <c r="Y67" i="16"/>
  <c r="Y68" i="16" s="1"/>
  <c r="AC66" i="16"/>
  <c r="AM66" i="16" s="1"/>
  <c r="Q57" i="16"/>
  <c r="Q67" i="16"/>
  <c r="Q68" i="16" s="1"/>
  <c r="AA50" i="16" s="1"/>
  <c r="Y57" i="16"/>
  <c r="Y62" i="16"/>
  <c r="AI46" i="16"/>
  <c r="AI92" i="16" s="1"/>
  <c r="AI9" i="7"/>
  <c r="AI10" i="7" s="1"/>
  <c r="AI95" i="16"/>
  <c r="AI94" i="16"/>
  <c r="AI93" i="16"/>
  <c r="G14" i="17"/>
  <c r="F14" i="17"/>
  <c r="R20" i="7"/>
  <c r="AB20" i="7" s="1"/>
  <c r="AL20" i="7" s="1"/>
  <c r="R14" i="7"/>
  <c r="AB14" i="7" s="1"/>
  <c r="AL14" i="7" s="1"/>
  <c r="S13" i="7"/>
  <c r="S14" i="7"/>
  <c r="S20" i="7"/>
  <c r="AC20" i="7" s="1"/>
  <c r="AM20" i="7" s="1"/>
  <c r="Y48" i="7"/>
  <c r="AI48" i="7" s="1"/>
  <c r="O49" i="7"/>
  <c r="AI15" i="16"/>
  <c r="E31" i="17"/>
  <c r="X48" i="7"/>
  <c r="AH48" i="7" s="1"/>
  <c r="AH18" i="7"/>
  <c r="X9" i="7"/>
  <c r="X10" i="7" s="1"/>
  <c r="AA23" i="16"/>
  <c r="AK23" i="16" s="1"/>
  <c r="AA26" i="16"/>
  <c r="AK26" i="16" s="1"/>
  <c r="AA24" i="16"/>
  <c r="AK24" i="16" s="1"/>
  <c r="AB26" i="16"/>
  <c r="AL26" i="16" s="1"/>
  <c r="AB23" i="16"/>
  <c r="AL23" i="16" s="1"/>
  <c r="Z26" i="16"/>
  <c r="AJ26" i="16" s="1"/>
  <c r="Z23" i="16"/>
  <c r="AJ23" i="16" s="1"/>
  <c r="AB24" i="16"/>
  <c r="AL24" i="16" s="1"/>
  <c r="Z24" i="16"/>
  <c r="AJ24" i="16" s="1"/>
  <c r="AC24" i="16"/>
  <c r="AM24" i="16" s="1"/>
  <c r="AC26" i="16"/>
  <c r="AM26" i="16" s="1"/>
  <c r="AC23" i="16"/>
  <c r="AM23" i="16" s="1"/>
  <c r="I43" i="7"/>
  <c r="H43" i="7"/>
  <c r="E32" i="17" l="1"/>
  <c r="AA40" i="16"/>
  <c r="AA49" i="16"/>
  <c r="AA41" i="16"/>
  <c r="AA43" i="16"/>
  <c r="AK43" i="16" s="1"/>
  <c r="AA48" i="16"/>
  <c r="AA39" i="16"/>
  <c r="AA46" i="16"/>
  <c r="AA38" i="16"/>
  <c r="AA47" i="16"/>
  <c r="AA37" i="16"/>
  <c r="AA45" i="16"/>
  <c r="AA44" i="16"/>
  <c r="AK44" i="16" s="1"/>
  <c r="AA36" i="16"/>
  <c r="AA42" i="16"/>
  <c r="AK42" i="16" s="1"/>
  <c r="AI71" i="16"/>
  <c r="E15" i="17"/>
  <c r="AI20" i="16"/>
  <c r="AI50" i="16"/>
  <c r="AI80" i="16" s="1"/>
  <c r="AH9" i="7"/>
  <c r="AH10" i="7" s="1"/>
  <c r="AI96" i="16"/>
  <c r="E74" i="17" s="1"/>
  <c r="AM42" i="16"/>
  <c r="AM44" i="16"/>
  <c r="AM43" i="16"/>
  <c r="AI84" i="16"/>
  <c r="E58" i="17" s="1"/>
  <c r="AI83" i="16"/>
  <c r="E57" i="17" s="1"/>
  <c r="H13" i="17"/>
  <c r="O50" i="7"/>
  <c r="Y49" i="7"/>
  <c r="AI88" i="16"/>
  <c r="AI89" i="16"/>
  <c r="E68" i="17" s="1"/>
  <c r="N49" i="7"/>
  <c r="R41" i="7"/>
  <c r="AB41" i="7" s="1"/>
  <c r="AL41" i="7" s="1"/>
  <c r="H21" i="17" s="1"/>
  <c r="R40" i="7"/>
  <c r="AB13" i="7"/>
  <c r="AL13" i="7" s="1"/>
  <c r="S41" i="7"/>
  <c r="AC41" i="7" s="1"/>
  <c r="AM41" i="7" s="1"/>
  <c r="I21" i="17" s="1"/>
  <c r="AC14" i="7"/>
  <c r="AM14" i="7" s="1"/>
  <c r="S40" i="7"/>
  <c r="AC40" i="7" s="1"/>
  <c r="AC13" i="7"/>
  <c r="AM13" i="7" s="1"/>
  <c r="R36" i="7"/>
  <c r="R18" i="7"/>
  <c r="R19" i="7"/>
  <c r="S36" i="7"/>
  <c r="S19" i="7"/>
  <c r="S18" i="7"/>
  <c r="G47" i="7"/>
  <c r="Q47" i="7" s="1"/>
  <c r="AA47" i="7" s="1"/>
  <c r="AK47" i="7" s="1"/>
  <c r="F47" i="7"/>
  <c r="P47" i="7" s="1"/>
  <c r="Z47" i="7" s="1"/>
  <c r="AJ47" i="7" s="1"/>
  <c r="G48" i="7"/>
  <c r="F48" i="7"/>
  <c r="AI90" i="16" l="1"/>
  <c r="E69" i="17" s="1"/>
  <c r="AB40" i="7"/>
  <c r="AL40" i="7" s="1"/>
  <c r="H20" i="17" s="1"/>
  <c r="E33" i="17"/>
  <c r="E51" i="17"/>
  <c r="AI85" i="16"/>
  <c r="E59" i="17" s="1"/>
  <c r="AI72" i="16"/>
  <c r="AI73" i="16" s="1"/>
  <c r="E38" i="17" s="1"/>
  <c r="AI76" i="16"/>
  <c r="E43" i="17" s="1"/>
  <c r="AI67" i="16"/>
  <c r="E26" i="17" s="1"/>
  <c r="N50" i="7"/>
  <c r="X34" i="7" s="1"/>
  <c r="X49" i="7"/>
  <c r="AH49" i="7" s="1"/>
  <c r="AH50" i="7" s="1"/>
  <c r="AI79" i="16"/>
  <c r="E47" i="17" s="1"/>
  <c r="E67" i="17"/>
  <c r="E77" i="17" s="1"/>
  <c r="I13" i="17"/>
  <c r="I12" i="17"/>
  <c r="H12" i="17"/>
  <c r="Y36" i="7"/>
  <c r="Y34" i="7"/>
  <c r="Y35" i="7"/>
  <c r="Y50" i="7"/>
  <c r="AI49" i="7"/>
  <c r="AI50" i="7" s="1"/>
  <c r="AM39" i="16"/>
  <c r="AK39" i="16"/>
  <c r="AC20" i="16"/>
  <c r="AM41" i="16"/>
  <c r="AK41" i="16"/>
  <c r="AA20" i="16"/>
  <c r="AC15" i="16"/>
  <c r="AM36" i="16"/>
  <c r="AM37" i="16"/>
  <c r="AK37" i="16"/>
  <c r="AK36" i="16"/>
  <c r="AA15" i="16"/>
  <c r="AM38" i="16"/>
  <c r="AK38" i="16"/>
  <c r="AM40" i="7"/>
  <c r="I20" i="17" s="1"/>
  <c r="K20" i="17" s="1"/>
  <c r="S35" i="7"/>
  <c r="AC19" i="7"/>
  <c r="AM19" i="7" s="1"/>
  <c r="S34" i="7"/>
  <c r="AC18" i="7"/>
  <c r="R34" i="7"/>
  <c r="AB18" i="7"/>
  <c r="R35" i="7"/>
  <c r="AB19" i="7"/>
  <c r="AL19" i="7" s="1"/>
  <c r="S21" i="7"/>
  <c r="AC21" i="7" s="1"/>
  <c r="AM21" i="7" s="1"/>
  <c r="R21" i="7"/>
  <c r="AB21" i="7" s="1"/>
  <c r="AL21" i="7" s="1"/>
  <c r="F49" i="7"/>
  <c r="G49" i="7"/>
  <c r="AI91" i="16" l="1"/>
  <c r="R43" i="7"/>
  <c r="E36" i="17"/>
  <c r="AI68" i="16"/>
  <c r="X35" i="7"/>
  <c r="AH35" i="7" s="1"/>
  <c r="X36" i="7"/>
  <c r="AH36" i="7" s="1"/>
  <c r="Y37" i="7"/>
  <c r="Y44" i="7" s="1"/>
  <c r="AI36" i="7"/>
  <c r="AI82" i="7" s="1"/>
  <c r="AI34" i="7"/>
  <c r="AI35" i="7"/>
  <c r="X50" i="7"/>
  <c r="AC62" i="16"/>
  <c r="AA62" i="16"/>
  <c r="AC57" i="16"/>
  <c r="AK45" i="16"/>
  <c r="AK62" i="16" s="1"/>
  <c r="G25" i="17" s="1"/>
  <c r="AM45" i="16"/>
  <c r="AA57" i="16"/>
  <c r="AH34" i="7"/>
  <c r="AK47" i="16"/>
  <c r="AM40" i="16"/>
  <c r="AM46" i="16"/>
  <c r="AK49" i="16"/>
  <c r="AK48" i="16"/>
  <c r="AA67" i="16"/>
  <c r="AA68" i="16" s="1"/>
  <c r="AC67" i="16"/>
  <c r="AC68" i="16" s="1"/>
  <c r="AM48" i="16"/>
  <c r="AK40" i="16"/>
  <c r="AK46" i="16"/>
  <c r="AM47" i="16"/>
  <c r="AM49" i="16"/>
  <c r="AM18" i="7"/>
  <c r="AC9" i="7"/>
  <c r="AC10" i="7" s="1"/>
  <c r="AB9" i="7"/>
  <c r="AB10" i="7" s="1"/>
  <c r="AL18" i="7"/>
  <c r="S43" i="7"/>
  <c r="AM57" i="16" l="1"/>
  <c r="I24" i="17" s="1"/>
  <c r="AM74" i="16"/>
  <c r="AM77" i="16"/>
  <c r="AK15" i="16"/>
  <c r="AK71" i="16" s="1"/>
  <c r="AK77" i="16"/>
  <c r="AK74" i="16"/>
  <c r="R44" i="7"/>
  <c r="R48" i="7" s="1"/>
  <c r="AH57" i="7"/>
  <c r="AH61" i="7"/>
  <c r="AI58" i="7"/>
  <c r="AI62" i="7"/>
  <c r="AH58" i="7"/>
  <c r="AH62" i="7"/>
  <c r="AI57" i="7"/>
  <c r="AI61" i="7"/>
  <c r="S44" i="7"/>
  <c r="S48" i="7" s="1"/>
  <c r="AC48" i="7" s="1"/>
  <c r="AM48" i="7" s="1"/>
  <c r="AH55" i="7"/>
  <c r="AH82" i="7"/>
  <c r="AH85" i="7" s="1"/>
  <c r="D66" i="17" s="1"/>
  <c r="AH78" i="7"/>
  <c r="X37" i="7"/>
  <c r="AH53" i="7"/>
  <c r="AH54" i="7"/>
  <c r="AM9" i="7"/>
  <c r="AM10" i="7" s="1"/>
  <c r="AL9" i="7"/>
  <c r="AL10" i="7" s="1"/>
  <c r="AM95" i="16"/>
  <c r="AM94" i="16"/>
  <c r="AK95" i="16"/>
  <c r="AM93" i="16"/>
  <c r="AK94" i="16"/>
  <c r="AK93" i="16"/>
  <c r="AH71" i="7"/>
  <c r="AH72" i="7"/>
  <c r="AH75" i="7" s="1"/>
  <c r="D56" i="17" s="1"/>
  <c r="AI72" i="7"/>
  <c r="AI75" i="7" s="1"/>
  <c r="E56" i="17" s="1"/>
  <c r="E62" i="17" s="1"/>
  <c r="AI55" i="7"/>
  <c r="AI71" i="7"/>
  <c r="AI54" i="7"/>
  <c r="AI70" i="7"/>
  <c r="AH69" i="7"/>
  <c r="AH68" i="7"/>
  <c r="AH70" i="7"/>
  <c r="AI69" i="7"/>
  <c r="AI68" i="7"/>
  <c r="AI53" i="7"/>
  <c r="E27" i="17"/>
  <c r="AI80" i="7"/>
  <c r="AI37" i="7"/>
  <c r="AI86" i="7"/>
  <c r="AI78" i="7"/>
  <c r="AI85" i="7"/>
  <c r="E66" i="17" s="1"/>
  <c r="E72" i="17" s="1"/>
  <c r="E29" i="17"/>
  <c r="AI88" i="7"/>
  <c r="E28" i="17"/>
  <c r="AI81" i="7"/>
  <c r="AI87" i="7"/>
  <c r="AI79" i="7"/>
  <c r="AM20" i="16"/>
  <c r="AM90" i="16" s="1"/>
  <c r="I32" i="17"/>
  <c r="AK92" i="16"/>
  <c r="AM15" i="16"/>
  <c r="I31" i="17"/>
  <c r="AH87" i="7"/>
  <c r="D28" i="17"/>
  <c r="AM62" i="16"/>
  <c r="I25" i="17" s="1"/>
  <c r="AK20" i="16"/>
  <c r="AK90" i="16" s="1"/>
  <c r="G32" i="17"/>
  <c r="AH86" i="7"/>
  <c r="D27" i="17"/>
  <c r="G31" i="17"/>
  <c r="AM92" i="16"/>
  <c r="AH88" i="7"/>
  <c r="D29" i="17"/>
  <c r="AK57" i="16"/>
  <c r="G24" i="17" s="1"/>
  <c r="AH80" i="7"/>
  <c r="AH37" i="7"/>
  <c r="AH65" i="7" s="1"/>
  <c r="AH81" i="7"/>
  <c r="AH79" i="7"/>
  <c r="AM50" i="16"/>
  <c r="AM80" i="16" s="1"/>
  <c r="AK50" i="16"/>
  <c r="AK80" i="16" s="1"/>
  <c r="G20" i="7"/>
  <c r="AH83" i="7" l="1"/>
  <c r="AH60" i="7"/>
  <c r="D42" i="17" s="1"/>
  <c r="G33" i="17"/>
  <c r="G51" i="17"/>
  <c r="I33" i="17"/>
  <c r="I36" i="17" s="1"/>
  <c r="I51" i="17"/>
  <c r="AI60" i="7"/>
  <c r="E42" i="17" s="1"/>
  <c r="E44" i="17" s="1"/>
  <c r="E45" i="17" s="1"/>
  <c r="AH64" i="7"/>
  <c r="D46" i="17" s="1"/>
  <c r="D23" i="17"/>
  <c r="D50" i="17"/>
  <c r="E30" i="17"/>
  <c r="AI65" i="7"/>
  <c r="E50" i="17" s="1"/>
  <c r="E52" i="17" s="1"/>
  <c r="E53" i="17" s="1"/>
  <c r="AI64" i="7"/>
  <c r="E46" i="17" s="1"/>
  <c r="E48" i="17" s="1"/>
  <c r="E49" i="17" s="1"/>
  <c r="AK72" i="16"/>
  <c r="AK73" i="16" s="1"/>
  <c r="G38" i="17" s="1"/>
  <c r="AM72" i="16"/>
  <c r="AM71" i="16"/>
  <c r="AM96" i="16"/>
  <c r="I74" i="17" s="1"/>
  <c r="AK96" i="16"/>
  <c r="G74" i="17" s="1"/>
  <c r="I15" i="17"/>
  <c r="AM84" i="16"/>
  <c r="I58" i="17" s="1"/>
  <c r="AM83" i="16"/>
  <c r="I57" i="17" s="1"/>
  <c r="G15" i="17"/>
  <c r="AK84" i="16"/>
  <c r="G58" i="17" s="1"/>
  <c r="AK83" i="16"/>
  <c r="G57" i="17" s="1"/>
  <c r="AI83" i="7"/>
  <c r="AI56" i="7"/>
  <c r="E37" i="17" s="1"/>
  <c r="E40" i="17" s="1"/>
  <c r="E41" i="17" s="1"/>
  <c r="AI73" i="7"/>
  <c r="E54" i="17" s="1"/>
  <c r="E60" i="17" s="1"/>
  <c r="AI74" i="7"/>
  <c r="E55" i="17" s="1"/>
  <c r="E61" i="17" s="1"/>
  <c r="AI89" i="7"/>
  <c r="E73" i="17" s="1"/>
  <c r="E75" i="17" s="1"/>
  <c r="AI84" i="7"/>
  <c r="E65" i="17" s="1"/>
  <c r="AM88" i="16"/>
  <c r="AM89" i="16"/>
  <c r="I68" i="17" s="1"/>
  <c r="AK67" i="16"/>
  <c r="AK68" i="16" s="1"/>
  <c r="AK88" i="16"/>
  <c r="AM85" i="16"/>
  <c r="I59" i="17" s="1"/>
  <c r="I69" i="17"/>
  <c r="AM67" i="16"/>
  <c r="AM68" i="16" s="1"/>
  <c r="D30" i="17"/>
  <c r="AK89" i="16"/>
  <c r="G68" i="17" s="1"/>
  <c r="AH89" i="7"/>
  <c r="D73" i="17" s="1"/>
  <c r="AK85" i="16"/>
  <c r="G59" i="17" s="1"/>
  <c r="G69" i="17"/>
  <c r="AH84" i="7"/>
  <c r="D65" i="17" s="1"/>
  <c r="D64" i="17"/>
  <c r="AH74" i="7"/>
  <c r="D55" i="17" s="1"/>
  <c r="AH56" i="7"/>
  <c r="D37" i="17" s="1"/>
  <c r="AH73" i="7"/>
  <c r="D54" i="17" s="1"/>
  <c r="S49" i="7"/>
  <c r="S50" i="7" s="1"/>
  <c r="R49" i="7"/>
  <c r="AB48" i="7"/>
  <c r="AL48" i="7" s="1"/>
  <c r="G18" i="7"/>
  <c r="G19" i="7"/>
  <c r="G36" i="7"/>
  <c r="F20" i="7"/>
  <c r="E63" i="17" l="1"/>
  <c r="F18" i="7"/>
  <c r="G36" i="17"/>
  <c r="AB49" i="7"/>
  <c r="AB50" i="7" s="1"/>
  <c r="R50" i="7"/>
  <c r="E23" i="17"/>
  <c r="AI44" i="7"/>
  <c r="E34" i="17"/>
  <c r="E64" i="17"/>
  <c r="E70" i="17" s="1"/>
  <c r="D76" i="17"/>
  <c r="AM79" i="16"/>
  <c r="I47" i="17" s="1"/>
  <c r="E35" i="17"/>
  <c r="AH44" i="7"/>
  <c r="AK79" i="16"/>
  <c r="G47" i="17" s="1"/>
  <c r="AK76" i="16"/>
  <c r="G43" i="17" s="1"/>
  <c r="AM76" i="16"/>
  <c r="I43" i="17" s="1"/>
  <c r="G67" i="17"/>
  <c r="G77" i="17" s="1"/>
  <c r="AK91" i="16"/>
  <c r="I67" i="17"/>
  <c r="I77" i="17" s="1"/>
  <c r="AM91" i="16"/>
  <c r="E71" i="17"/>
  <c r="I26" i="17"/>
  <c r="D35" i="17"/>
  <c r="G26" i="17"/>
  <c r="AM73" i="16"/>
  <c r="I38" i="17" s="1"/>
  <c r="AC49" i="7"/>
  <c r="AC50" i="7" s="1"/>
  <c r="G35" i="7"/>
  <c r="F19" i="7"/>
  <c r="F36" i="7"/>
  <c r="G21" i="7"/>
  <c r="Q9" i="7"/>
  <c r="Q10" i="7" s="1"/>
  <c r="G34" i="7"/>
  <c r="F21" i="7" l="1"/>
  <c r="AL49" i="7"/>
  <c r="AL50" i="7" s="1"/>
  <c r="E76" i="17"/>
  <c r="E78" i="17" s="1"/>
  <c r="P9" i="7"/>
  <c r="AB36" i="7"/>
  <c r="AB34" i="7"/>
  <c r="AB35" i="7"/>
  <c r="AL35" i="7" s="1"/>
  <c r="AC36" i="7"/>
  <c r="AC34" i="7"/>
  <c r="AC35" i="7"/>
  <c r="Q13" i="7"/>
  <c r="AA13" i="7" s="1"/>
  <c r="AK13" i="7" s="1"/>
  <c r="Q14" i="7"/>
  <c r="Q20" i="7"/>
  <c r="AM49" i="7"/>
  <c r="AM50" i="7" s="1"/>
  <c r="F34" i="7"/>
  <c r="F35" i="7"/>
  <c r="G43" i="7"/>
  <c r="P10" i="7" l="1"/>
  <c r="P20" i="7" s="1"/>
  <c r="P19" i="7" s="1"/>
  <c r="AL58" i="7"/>
  <c r="AL62" i="7"/>
  <c r="F43" i="7"/>
  <c r="AA20" i="7"/>
  <c r="AK20" i="7" s="1"/>
  <c r="Q18" i="7"/>
  <c r="Q34" i="7" s="1"/>
  <c r="AL54" i="7"/>
  <c r="AL71" i="7"/>
  <c r="AL69" i="7"/>
  <c r="G12" i="17"/>
  <c r="AB37" i="7"/>
  <c r="AB43" i="7" s="1"/>
  <c r="AB44" i="7" s="1"/>
  <c r="H28" i="17"/>
  <c r="AL87" i="7"/>
  <c r="AL79" i="7"/>
  <c r="AL81" i="7"/>
  <c r="AL34" i="7"/>
  <c r="AL61" i="7" s="1"/>
  <c r="AL36" i="7"/>
  <c r="AL82" i="7" s="1"/>
  <c r="Q41" i="7"/>
  <c r="AA41" i="7" s="1"/>
  <c r="AK41" i="7" s="1"/>
  <c r="G21" i="17" s="1"/>
  <c r="AA14" i="7"/>
  <c r="AK14" i="7" s="1"/>
  <c r="AM35" i="7"/>
  <c r="Q40" i="7"/>
  <c r="AM36" i="7"/>
  <c r="AM82" i="7" s="1"/>
  <c r="AM34" i="7"/>
  <c r="AM61" i="7" s="1"/>
  <c r="AC37" i="7"/>
  <c r="AC43" i="7" s="1"/>
  <c r="AC44" i="7" s="1"/>
  <c r="Q36" i="7"/>
  <c r="Q19" i="7"/>
  <c r="P13" i="7" l="1"/>
  <c r="Z13" i="7" s="1"/>
  <c r="AJ13" i="7" s="1"/>
  <c r="F12" i="17" s="1"/>
  <c r="P14" i="7"/>
  <c r="AM58" i="7"/>
  <c r="AM62" i="7"/>
  <c r="AL37" i="7"/>
  <c r="AL65" i="7" s="1"/>
  <c r="AA40" i="7"/>
  <c r="AK40" i="7" s="1"/>
  <c r="G20" i="17" s="1"/>
  <c r="AM57" i="7"/>
  <c r="AL57" i="7"/>
  <c r="AL60" i="7" s="1"/>
  <c r="P18" i="7"/>
  <c r="P34" i="7" s="1"/>
  <c r="Z20" i="7"/>
  <c r="AJ20" i="7" s="1"/>
  <c r="P36" i="7"/>
  <c r="AL64" i="7"/>
  <c r="AL53" i="7"/>
  <c r="AM53" i="7"/>
  <c r="AM55" i="7"/>
  <c r="AL55" i="7"/>
  <c r="AM54" i="7"/>
  <c r="AM71" i="7"/>
  <c r="AM69" i="7"/>
  <c r="AM68" i="7"/>
  <c r="AM70" i="7"/>
  <c r="AL68" i="7"/>
  <c r="AL73" i="7" s="1"/>
  <c r="H54" i="17" s="1"/>
  <c r="AL70" i="7"/>
  <c r="AL74" i="7" s="1"/>
  <c r="H55" i="17" s="1"/>
  <c r="G13" i="17"/>
  <c r="AL85" i="7"/>
  <c r="H66" i="17" s="1"/>
  <c r="AL88" i="7"/>
  <c r="H29" i="17"/>
  <c r="I28" i="17"/>
  <c r="AM87" i="7"/>
  <c r="AL86" i="7"/>
  <c r="H27" i="17"/>
  <c r="AM86" i="7"/>
  <c r="I27" i="17"/>
  <c r="AM85" i="7"/>
  <c r="I66" i="17" s="1"/>
  <c r="I72" i="17" s="1"/>
  <c r="AM88" i="7"/>
  <c r="I29" i="17"/>
  <c r="AM78" i="7"/>
  <c r="AM80" i="7"/>
  <c r="AM81" i="7"/>
  <c r="AM79" i="7"/>
  <c r="AL78" i="7"/>
  <c r="AL83" i="7" s="1"/>
  <c r="H64" i="17" s="1"/>
  <c r="AL80" i="7"/>
  <c r="AL84" i="7" s="1"/>
  <c r="H65" i="17" s="1"/>
  <c r="AL72" i="7"/>
  <c r="AL75" i="7" s="1"/>
  <c r="H56" i="17" s="1"/>
  <c r="AM72" i="7"/>
  <c r="AM75" i="7" s="1"/>
  <c r="I56" i="17" s="1"/>
  <c r="AM37" i="7"/>
  <c r="AM65" i="7" s="1"/>
  <c r="AA18" i="7"/>
  <c r="Q35" i="7"/>
  <c r="Q43" i="7" s="1"/>
  <c r="Q44" i="7" s="1"/>
  <c r="AA19" i="7"/>
  <c r="AK19" i="7" s="1"/>
  <c r="P35" i="7"/>
  <c r="Z19" i="7"/>
  <c r="AJ19" i="7" s="1"/>
  <c r="Q21" i="7"/>
  <c r="AA21" i="7" s="1"/>
  <c r="AK21" i="7" s="1"/>
  <c r="P40" i="7" l="1"/>
  <c r="Z40" i="7" s="1"/>
  <c r="P41" i="7"/>
  <c r="Z41" i="7" s="1"/>
  <c r="AJ41" i="7" s="1"/>
  <c r="F21" i="17" s="1"/>
  <c r="Z14" i="7"/>
  <c r="AJ14" i="7" s="1"/>
  <c r="F13" i="17" s="1"/>
  <c r="I62" i="17"/>
  <c r="AM43" i="7"/>
  <c r="AM44" i="7" s="1"/>
  <c r="AL43" i="7"/>
  <c r="AL44" i="7" s="1"/>
  <c r="Z18" i="7"/>
  <c r="AJ18" i="7" s="1"/>
  <c r="AJ9" i="7" s="1"/>
  <c r="AJ10" i="7" s="1"/>
  <c r="P21" i="7"/>
  <c r="Z21" i="7" s="1"/>
  <c r="AJ21" i="7" s="1"/>
  <c r="AM64" i="7"/>
  <c r="I46" i="17" s="1"/>
  <c r="I48" i="17" s="1"/>
  <c r="I49" i="17" s="1"/>
  <c r="AM60" i="7"/>
  <c r="I42" i="17" s="1"/>
  <c r="I44" i="17" s="1"/>
  <c r="I45" i="17" s="1"/>
  <c r="H46" i="17"/>
  <c r="I50" i="17"/>
  <c r="I52" i="17" s="1"/>
  <c r="I53" i="17" s="1"/>
  <c r="AL56" i="7"/>
  <c r="H37" i="17" s="1"/>
  <c r="H50" i="17"/>
  <c r="H42" i="17"/>
  <c r="AL89" i="7"/>
  <c r="H73" i="17" s="1"/>
  <c r="I30" i="17"/>
  <c r="I34" i="17" s="1"/>
  <c r="AM89" i="7"/>
  <c r="I73" i="17" s="1"/>
  <c r="I75" i="17" s="1"/>
  <c r="H30" i="17"/>
  <c r="AM84" i="7"/>
  <c r="I65" i="17" s="1"/>
  <c r="I71" i="17" s="1"/>
  <c r="AM83" i="7"/>
  <c r="I64" i="17" s="1"/>
  <c r="AM73" i="7"/>
  <c r="I54" i="17" s="1"/>
  <c r="AM74" i="7"/>
  <c r="I55" i="17" s="1"/>
  <c r="AM56" i="7"/>
  <c r="I37" i="17" s="1"/>
  <c r="I40" i="17" s="1"/>
  <c r="I41" i="17" s="1"/>
  <c r="AA9" i="7"/>
  <c r="AA10" i="7" s="1"/>
  <c r="AK18" i="7"/>
  <c r="Z9" i="7" l="1"/>
  <c r="Z10" i="7" s="1"/>
  <c r="P43" i="7"/>
  <c r="P44" i="7" s="1"/>
  <c r="P48" i="7" s="1"/>
  <c r="P49" i="7" s="1"/>
  <c r="P50" i="7" s="1"/>
  <c r="Z34" i="7" s="1"/>
  <c r="AJ34" i="7" s="1"/>
  <c r="I61" i="17"/>
  <c r="I60" i="17"/>
  <c r="AJ40" i="7"/>
  <c r="F20" i="17" s="1"/>
  <c r="H76" i="17"/>
  <c r="AK9" i="7"/>
  <c r="AK10" i="7" s="1"/>
  <c r="Q48" i="7"/>
  <c r="Q49" i="7" s="1"/>
  <c r="Q50" i="7" s="1"/>
  <c r="H35" i="17"/>
  <c r="H23" i="17"/>
  <c r="I76" i="17"/>
  <c r="I78" i="17" s="1"/>
  <c r="I70" i="17"/>
  <c r="I35" i="17"/>
  <c r="I23" i="17"/>
  <c r="I63" i="17" l="1"/>
  <c r="AJ61" i="7"/>
  <c r="AJ57" i="7"/>
  <c r="AA49" i="7"/>
  <c r="AA50" i="7" s="1"/>
  <c r="AA48" i="7"/>
  <c r="AK48" i="7" s="1"/>
  <c r="Z48" i="7"/>
  <c r="AJ48" i="7" s="1"/>
  <c r="AK49" i="7" l="1"/>
  <c r="AK50" i="7" s="1"/>
  <c r="AA36" i="7"/>
  <c r="AK36" i="7" s="1"/>
  <c r="AK82" i="7" s="1"/>
  <c r="AA34" i="7"/>
  <c r="AA35" i="7"/>
  <c r="AK35" i="7" s="1"/>
  <c r="F27" i="17"/>
  <c r="Z49" i="7"/>
  <c r="Z50" i="7" s="1"/>
  <c r="AK58" i="7" l="1"/>
  <c r="AK62" i="7"/>
  <c r="G29" i="17"/>
  <c r="AK55" i="7"/>
  <c r="AK54" i="7"/>
  <c r="AK71" i="7"/>
  <c r="AK69" i="7"/>
  <c r="AK87" i="7"/>
  <c r="AK81" i="7"/>
  <c r="G28" i="17"/>
  <c r="AK79" i="7"/>
  <c r="AA37" i="7"/>
  <c r="AA43" i="7" s="1"/>
  <c r="AA44" i="7" s="1"/>
  <c r="Z36" i="7"/>
  <c r="Z35" i="7"/>
  <c r="AK85" i="7"/>
  <c r="G66" i="17" s="1"/>
  <c r="G72" i="17" s="1"/>
  <c r="AK88" i="7"/>
  <c r="AK72" i="7"/>
  <c r="AK75" i="7" s="1"/>
  <c r="G56" i="17" s="1"/>
  <c r="AK34" i="7"/>
  <c r="AK61" i="7" s="1"/>
  <c r="AJ49" i="7"/>
  <c r="AJ50" i="7" s="1"/>
  <c r="G62" i="17" l="1"/>
  <c r="AK57" i="7"/>
  <c r="AK60" i="7" s="1"/>
  <c r="G42" i="17" s="1"/>
  <c r="G44" i="17" s="1"/>
  <c r="G45" i="17" s="1"/>
  <c r="Z37" i="7"/>
  <c r="Z43" i="7" s="1"/>
  <c r="Z44" i="7" s="1"/>
  <c r="AK64" i="7"/>
  <c r="G46" i="17" s="1"/>
  <c r="G48" i="17" s="1"/>
  <c r="G49" i="17" s="1"/>
  <c r="AK53" i="7"/>
  <c r="AK56" i="7" s="1"/>
  <c r="G37" i="17" s="1"/>
  <c r="AK70" i="7"/>
  <c r="AK74" i="7" s="1"/>
  <c r="G55" i="17" s="1"/>
  <c r="AK68" i="7"/>
  <c r="AK73" i="7" s="1"/>
  <c r="G54" i="17" s="1"/>
  <c r="AK86" i="7"/>
  <c r="AK89" i="7" s="1"/>
  <c r="G73" i="17" s="1"/>
  <c r="G75" i="17" s="1"/>
  <c r="AK80" i="7"/>
  <c r="AK84" i="7" s="1"/>
  <c r="G65" i="17" s="1"/>
  <c r="G71" i="17" s="1"/>
  <c r="G27" i="17"/>
  <c r="AK78" i="7"/>
  <c r="AK83" i="7" s="1"/>
  <c r="G64" i="17" s="1"/>
  <c r="G70" i="17" s="1"/>
  <c r="AK37" i="7"/>
  <c r="AK43" i="7" s="1"/>
  <c r="AK44" i="7" s="1"/>
  <c r="AJ35" i="7"/>
  <c r="AJ62" i="7" s="1"/>
  <c r="AJ36" i="7"/>
  <c r="AJ82" i="7" s="1"/>
  <c r="AJ85" i="7" s="1"/>
  <c r="F66" i="17" s="1"/>
  <c r="G40" i="17" l="1"/>
  <c r="G41" i="17" s="1"/>
  <c r="G60" i="17"/>
  <c r="G61" i="17"/>
  <c r="AJ58" i="7"/>
  <c r="AJ37" i="7"/>
  <c r="AJ43" i="7" s="1"/>
  <c r="AJ44" i="7" s="1"/>
  <c r="G30" i="17"/>
  <c r="G34" i="17" s="1"/>
  <c r="AK65" i="7"/>
  <c r="G50" i="17" s="1"/>
  <c r="G52" i="17" s="1"/>
  <c r="G53" i="17" s="1"/>
  <c r="AJ53" i="7"/>
  <c r="AJ55" i="7"/>
  <c r="AJ54" i="7"/>
  <c r="AJ70" i="7"/>
  <c r="AJ68" i="7"/>
  <c r="AJ69" i="7"/>
  <c r="AJ71" i="7"/>
  <c r="G76" i="17"/>
  <c r="G78" i="17" s="1"/>
  <c r="AJ88" i="7"/>
  <c r="F29" i="17"/>
  <c r="AJ86" i="7"/>
  <c r="AJ87" i="7"/>
  <c r="F28" i="17"/>
  <c r="AJ81" i="7"/>
  <c r="AJ79" i="7"/>
  <c r="AJ80" i="7"/>
  <c r="AJ78" i="7"/>
  <c r="AJ72" i="7"/>
  <c r="AJ75" i="7" s="1"/>
  <c r="F56" i="17" s="1"/>
  <c r="G63" i="17" l="1"/>
  <c r="AJ65" i="7"/>
  <c r="F50" i="17" s="1"/>
  <c r="F30" i="17"/>
  <c r="G35" i="17"/>
  <c r="AJ64" i="7"/>
  <c r="F46" i="17" s="1"/>
  <c r="AJ60" i="7"/>
  <c r="F42" i="17" s="1"/>
  <c r="G23" i="17"/>
  <c r="AJ89" i="7"/>
  <c r="F73" i="17" s="1"/>
  <c r="AJ84" i="7"/>
  <c r="F65" i="17" s="1"/>
  <c r="AJ73" i="7"/>
  <c r="F54" i="17" s="1"/>
  <c r="AJ83" i="7"/>
  <c r="F64" i="17" s="1"/>
  <c r="AJ74" i="7"/>
  <c r="F55" i="17" s="1"/>
  <c r="AJ56" i="7"/>
  <c r="F37" i="17" s="1"/>
  <c r="F76" i="17" l="1"/>
  <c r="F35" i="17"/>
  <c r="F23" i="17"/>
  <c r="E46" i="14" l="1"/>
  <c r="I46" i="14" s="1"/>
  <c r="H11" i="16" s="1"/>
  <c r="H53" i="16" l="1"/>
  <c r="H57" i="16" s="1"/>
  <c r="H63" i="16"/>
  <c r="H67" i="16" s="1"/>
  <c r="H15" i="16"/>
  <c r="R11" i="16"/>
  <c r="D11" i="16"/>
  <c r="G46" i="14"/>
  <c r="F11" i="16" s="1"/>
  <c r="D63" i="16" l="1"/>
  <c r="D67" i="16" s="1"/>
  <c r="D15" i="16"/>
  <c r="N11" i="16"/>
  <c r="D53" i="16"/>
  <c r="D57" i="16" s="1"/>
  <c r="F63" i="16"/>
  <c r="F67" i="16" s="1"/>
  <c r="F15" i="16"/>
  <c r="P11" i="16"/>
  <c r="F53" i="16"/>
  <c r="F57" i="16" s="1"/>
  <c r="AB11" i="16"/>
  <c r="AL11" i="16" s="1"/>
  <c r="R53" i="16"/>
  <c r="R63" i="16"/>
  <c r="R14" i="16"/>
  <c r="AB63" i="16" l="1"/>
  <c r="AL63" i="16" s="1"/>
  <c r="N53" i="16"/>
  <c r="N63" i="16"/>
  <c r="X11" i="16"/>
  <c r="AH11" i="16" s="1"/>
  <c r="N14" i="16"/>
  <c r="N15" i="16" s="1"/>
  <c r="P15" i="16"/>
  <c r="P63" i="16"/>
  <c r="P53" i="16"/>
  <c r="P14" i="16"/>
  <c r="Z11" i="16"/>
  <c r="AJ11" i="16" s="1"/>
  <c r="AB14" i="16"/>
  <c r="AL14" i="16" s="1"/>
  <c r="R66" i="16"/>
  <c r="AB66" i="16" s="1"/>
  <c r="AL66" i="16" s="1"/>
  <c r="R56" i="16"/>
  <c r="AB56" i="16" s="1"/>
  <c r="AL56" i="16" s="1"/>
  <c r="R57" i="16"/>
  <c r="AB53" i="16"/>
  <c r="AL53" i="16" s="1"/>
  <c r="R15" i="16"/>
  <c r="X53" i="16" l="1"/>
  <c r="AH53" i="16" s="1"/>
  <c r="Z53" i="16"/>
  <c r="AJ53" i="16" s="1"/>
  <c r="N56" i="16"/>
  <c r="X56" i="16" s="1"/>
  <c r="AH56" i="16" s="1"/>
  <c r="X14" i="16"/>
  <c r="AH14" i="16" s="1"/>
  <c r="N66" i="16"/>
  <c r="X66" i="16" s="1"/>
  <c r="AH66" i="16" s="1"/>
  <c r="N67" i="16"/>
  <c r="N68" i="16" s="1"/>
  <c r="X50" i="16" s="1"/>
  <c r="X63" i="16"/>
  <c r="AH63" i="16" s="1"/>
  <c r="P56" i="16"/>
  <c r="Z56" i="16" s="1"/>
  <c r="AJ56" i="16" s="1"/>
  <c r="P66" i="16"/>
  <c r="Z66" i="16" s="1"/>
  <c r="AJ66" i="16" s="1"/>
  <c r="Z14" i="16"/>
  <c r="AJ14" i="16" s="1"/>
  <c r="Z63" i="16"/>
  <c r="AJ63" i="16" s="1"/>
  <c r="P67" i="16"/>
  <c r="P68" i="16" s="1"/>
  <c r="Z50" i="16" s="1"/>
  <c r="R67" i="16"/>
  <c r="R68" i="16" s="1"/>
  <c r="AB50" i="16" s="1"/>
  <c r="AB37" i="16" l="1"/>
  <c r="AL37" i="16" s="1"/>
  <c r="AB38" i="16"/>
  <c r="AL38" i="16" s="1"/>
  <c r="AB45" i="16"/>
  <c r="AB36" i="16"/>
  <c r="AB49" i="16"/>
  <c r="AB44" i="16"/>
  <c r="AL44" i="16" s="1"/>
  <c r="AB41" i="16"/>
  <c r="AB48" i="16"/>
  <c r="AB40" i="16"/>
  <c r="AB39" i="16"/>
  <c r="AL39" i="16" s="1"/>
  <c r="AB43" i="16"/>
  <c r="AL43" i="16" s="1"/>
  <c r="AB42" i="16"/>
  <c r="AL42" i="16" s="1"/>
  <c r="AB46" i="16"/>
  <c r="AB47" i="16"/>
  <c r="Z38" i="16"/>
  <c r="AJ38" i="16" s="1"/>
  <c r="AJ48" i="16" s="1"/>
  <c r="AJ94" i="16" s="1"/>
  <c r="Z46" i="16"/>
  <c r="Z67" i="16" s="1"/>
  <c r="Z68" i="16" s="1"/>
  <c r="Z48" i="16"/>
  <c r="Z40" i="16"/>
  <c r="Z37" i="16"/>
  <c r="AJ37" i="16" s="1"/>
  <c r="Z44" i="16"/>
  <c r="AJ44" i="16" s="1"/>
  <c r="Z49" i="16"/>
  <c r="Z36" i="16"/>
  <c r="Z39" i="16"/>
  <c r="AJ39" i="16" s="1"/>
  <c r="AJ49" i="16" s="1"/>
  <c r="AJ95" i="16" s="1"/>
  <c r="Z45" i="16"/>
  <c r="Z41" i="16"/>
  <c r="Z43" i="16"/>
  <c r="AJ43" i="16" s="1"/>
  <c r="Z42" i="16"/>
  <c r="AJ42" i="16" s="1"/>
  <c r="Z47" i="16"/>
  <c r="X43" i="16"/>
  <c r="AH43" i="16" s="1"/>
  <c r="X44" i="16"/>
  <c r="AH44" i="16" s="1"/>
  <c r="X46" i="16"/>
  <c r="X45" i="16"/>
  <c r="X39" i="16"/>
  <c r="AH39" i="16" s="1"/>
  <c r="X41" i="16"/>
  <c r="X36" i="16"/>
  <c r="X42" i="16"/>
  <c r="AH42" i="16" s="1"/>
  <c r="X48" i="16"/>
  <c r="X47" i="16"/>
  <c r="X40" i="16"/>
  <c r="X37" i="16"/>
  <c r="AH37" i="16" s="1"/>
  <c r="AH47" i="16" s="1"/>
  <c r="AH93" i="16" s="1"/>
  <c r="X38" i="16"/>
  <c r="AH38" i="16" s="1"/>
  <c r="X49" i="16"/>
  <c r="P57" i="16"/>
  <c r="N57" i="16"/>
  <c r="X67" i="16" l="1"/>
  <c r="X68" i="16" s="1"/>
  <c r="AJ47" i="16"/>
  <c r="AJ93" i="16" s="1"/>
  <c r="AB20" i="16"/>
  <c r="AL41" i="16"/>
  <c r="AB62" i="16"/>
  <c r="AB67" i="16"/>
  <c r="AB68" i="16" s="1"/>
  <c r="AL49" i="16"/>
  <c r="AL95" i="16" s="1"/>
  <c r="AL48" i="16"/>
  <c r="AL94" i="16" s="1"/>
  <c r="Z57" i="16"/>
  <c r="Z15" i="16"/>
  <c r="AJ36" i="16"/>
  <c r="AB57" i="16"/>
  <c r="AL36" i="16"/>
  <c r="AB15" i="16"/>
  <c r="X15" i="16"/>
  <c r="AH36" i="16"/>
  <c r="X57" i="16"/>
  <c r="AH41" i="16"/>
  <c r="X62" i="16"/>
  <c r="X20" i="16"/>
  <c r="AH48" i="16"/>
  <c r="AH94" i="16" s="1"/>
  <c r="AH49" i="16"/>
  <c r="AH95" i="16" s="1"/>
  <c r="Z62" i="16"/>
  <c r="Z20" i="16"/>
  <c r="AJ41" i="16"/>
  <c r="AL47" i="16"/>
  <c r="AL93" i="16" s="1"/>
  <c r="AH45" i="16" l="1"/>
  <c r="D32" i="17" s="1"/>
  <c r="AH62" i="16"/>
  <c r="D25" i="17" s="1"/>
  <c r="AH20" i="16"/>
  <c r="AJ45" i="16"/>
  <c r="F32" i="17" s="1"/>
  <c r="AJ62" i="16"/>
  <c r="F25" i="17" s="1"/>
  <c r="AH46" i="16"/>
  <c r="AH40" i="16"/>
  <c r="AH15" i="16" s="1"/>
  <c r="AL46" i="16"/>
  <c r="AL40" i="16"/>
  <c r="AL15" i="16"/>
  <c r="AL45" i="16"/>
  <c r="H32" i="17" s="1"/>
  <c r="AL62" i="16"/>
  <c r="H25" i="17" s="1"/>
  <c r="AJ46" i="16"/>
  <c r="AJ40" i="16"/>
  <c r="AH57" i="16" l="1"/>
  <c r="D24" i="17" s="1"/>
  <c r="AH92" i="16"/>
  <c r="AH96" i="16" s="1"/>
  <c r="D74" i="17" s="1"/>
  <c r="D75" i="17" s="1"/>
  <c r="AH50" i="16"/>
  <c r="AH67" i="16" s="1"/>
  <c r="AJ77" i="16"/>
  <c r="AJ79" i="16" s="1"/>
  <c r="F47" i="17" s="1"/>
  <c r="F48" i="17" s="1"/>
  <c r="F49" i="17" s="1"/>
  <c r="F31" i="17"/>
  <c r="AJ74" i="16"/>
  <c r="AJ76" i="16" s="1"/>
  <c r="F43" i="17" s="1"/>
  <c r="F44" i="17" s="1"/>
  <c r="F45" i="17" s="1"/>
  <c r="AL83" i="16"/>
  <c r="H57" i="17" s="1"/>
  <c r="H60" i="17" s="1"/>
  <c r="AL84" i="16"/>
  <c r="H58" i="17" s="1"/>
  <c r="H61" i="17" s="1"/>
  <c r="AL88" i="16"/>
  <c r="H15" i="17"/>
  <c r="AL89" i="16"/>
  <c r="H68" i="17" s="1"/>
  <c r="H71" i="17" s="1"/>
  <c r="AL71" i="16"/>
  <c r="AL74" i="16"/>
  <c r="AL76" i="16" s="1"/>
  <c r="H43" i="17" s="1"/>
  <c r="H44" i="17" s="1"/>
  <c r="H45" i="17" s="1"/>
  <c r="AL77" i="16"/>
  <c r="AL79" i="16" s="1"/>
  <c r="H47" i="17" s="1"/>
  <c r="H48" i="17" s="1"/>
  <c r="H49" i="17" s="1"/>
  <c r="H31" i="17"/>
  <c r="AJ50" i="16"/>
  <c r="AJ67" i="16" s="1"/>
  <c r="AJ92" i="16"/>
  <c r="AJ96" i="16" s="1"/>
  <c r="F74" i="17" s="1"/>
  <c r="F75" i="17" s="1"/>
  <c r="AH72" i="16"/>
  <c r="AH85" i="16"/>
  <c r="D59" i="17" s="1"/>
  <c r="D62" i="17" s="1"/>
  <c r="AH90" i="16"/>
  <c r="D69" i="17" s="1"/>
  <c r="D72" i="17" s="1"/>
  <c r="AJ20" i="16"/>
  <c r="AJ57" i="16"/>
  <c r="F24" i="17" s="1"/>
  <c r="AL57" i="16"/>
  <c r="H24" i="17" s="1"/>
  <c r="AJ15" i="16"/>
  <c r="AL92" i="16"/>
  <c r="AL96" i="16" s="1"/>
  <c r="H74" i="17" s="1"/>
  <c r="H75" i="17" s="1"/>
  <c r="AL50" i="16"/>
  <c r="AL67" i="16"/>
  <c r="D15" i="17"/>
  <c r="AH71" i="16"/>
  <c r="AH73" i="16" s="1"/>
  <c r="D38" i="17" s="1"/>
  <c r="D40" i="17" s="1"/>
  <c r="D41" i="17" s="1"/>
  <c r="AH88" i="16"/>
  <c r="AH89" i="16"/>
  <c r="D68" i="17" s="1"/>
  <c r="D71" i="17" s="1"/>
  <c r="AH84" i="16"/>
  <c r="D58" i="17" s="1"/>
  <c r="D61" i="17" s="1"/>
  <c r="AH83" i="16"/>
  <c r="D57" i="17" s="1"/>
  <c r="D60" i="17" s="1"/>
  <c r="AL20" i="16"/>
  <c r="AH74" i="16"/>
  <c r="AH76" i="16" s="1"/>
  <c r="D43" i="17" s="1"/>
  <c r="D44" i="17" s="1"/>
  <c r="D45" i="17" s="1"/>
  <c r="D31" i="17"/>
  <c r="AH77" i="16"/>
  <c r="AH79" i="16" s="1"/>
  <c r="D47" i="17" s="1"/>
  <c r="D48" i="17" s="1"/>
  <c r="D49" i="17" s="1"/>
  <c r="AJ85" i="16" l="1"/>
  <c r="F59" i="17" s="1"/>
  <c r="F62" i="17" s="1"/>
  <c r="AJ72" i="16"/>
  <c r="AJ90" i="16"/>
  <c r="F69" i="17" s="1"/>
  <c r="F72" i="17" s="1"/>
  <c r="AL68" i="16"/>
  <c r="H26" i="17"/>
  <c r="AL80" i="16"/>
  <c r="H51" i="17" s="1"/>
  <c r="H52" i="17" s="1"/>
  <c r="H53" i="17" s="1"/>
  <c r="H33" i="17"/>
  <c r="D63" i="17"/>
  <c r="AJ83" i="16"/>
  <c r="F57" i="17" s="1"/>
  <c r="F60" i="17" s="1"/>
  <c r="AJ89" i="16"/>
  <c r="F68" i="17" s="1"/>
  <c r="F71" i="17" s="1"/>
  <c r="AJ71" i="16"/>
  <c r="AJ73" i="16" s="1"/>
  <c r="F38" i="17" s="1"/>
  <c r="F40" i="17" s="1"/>
  <c r="F41" i="17" s="1"/>
  <c r="AJ84" i="16"/>
  <c r="F58" i="17" s="1"/>
  <c r="F61" i="17" s="1"/>
  <c r="F15" i="17"/>
  <c r="AJ88" i="16"/>
  <c r="D26" i="17"/>
  <c r="AH68" i="16"/>
  <c r="AJ68" i="16"/>
  <c r="F26" i="17"/>
  <c r="H67" i="17"/>
  <c r="D33" i="17"/>
  <c r="AH80" i="16"/>
  <c r="D51" i="17" s="1"/>
  <c r="D52" i="17" s="1"/>
  <c r="D53" i="17" s="1"/>
  <c r="AL90" i="16"/>
  <c r="H69" i="17" s="1"/>
  <c r="H72" i="17" s="1"/>
  <c r="AL85" i="16"/>
  <c r="H59" i="17" s="1"/>
  <c r="H62" i="17" s="1"/>
  <c r="H63" i="17" s="1"/>
  <c r="AL72" i="16"/>
  <c r="AL73" i="16" s="1"/>
  <c r="H38" i="17" s="1"/>
  <c r="H40" i="17" s="1"/>
  <c r="H41" i="17" s="1"/>
  <c r="AH91" i="16"/>
  <c r="D67" i="17"/>
  <c r="AJ80" i="16"/>
  <c r="F51" i="17" s="1"/>
  <c r="F52" i="17" s="1"/>
  <c r="F53" i="17" s="1"/>
  <c r="F33" i="17"/>
  <c r="AL91" i="16" l="1"/>
  <c r="F34" i="17"/>
  <c r="F36" i="17"/>
  <c r="H34" i="17"/>
  <c r="H36" i="17"/>
  <c r="D34" i="17"/>
  <c r="D36" i="17"/>
  <c r="AJ91" i="16"/>
  <c r="F67" i="17"/>
  <c r="F63" i="17"/>
  <c r="D70" i="17"/>
  <c r="D77" i="17"/>
  <c r="D78" i="17" s="1"/>
  <c r="H70" i="17"/>
  <c r="H77" i="17"/>
  <c r="H78" i="17" s="1"/>
  <c r="F77" i="17" l="1"/>
  <c r="F78" i="17" s="1"/>
  <c r="F7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Samuelsson, Sandra</author>
  </authors>
  <commentList>
    <comment ref="E5" authorId="0" shapeId="0" xr:uid="{00000000-0006-0000-0100-000001000000}">
      <text>
        <r>
          <rPr>
            <b/>
            <sz val="9"/>
            <color indexed="81"/>
            <rFont val="Tahoma"/>
            <family val="2"/>
          </rPr>
          <t>Samuelsson, Sandra:</t>
        </r>
        <r>
          <rPr>
            <sz val="9"/>
            <color indexed="81"/>
            <rFont val="Tahoma"/>
            <family val="2"/>
          </rPr>
          <t xml:space="preserve">
Ska vi ha 2017 med också?</t>
        </r>
      </text>
    </comment>
    <comment ref="I5" authorId="0" shapeId="0" xr:uid="{00000000-0006-0000-0100-000002000000}">
      <text>
        <r>
          <rPr>
            <b/>
            <sz val="9"/>
            <color indexed="81"/>
            <rFont val="Tahoma"/>
            <family val="2"/>
          </rPr>
          <t>Samuelsson, Sandra:</t>
        </r>
        <r>
          <rPr>
            <sz val="9"/>
            <color indexed="81"/>
            <rFont val="Tahoma"/>
            <family val="2"/>
          </rPr>
          <t xml:space="preserve">
Hur många scenarion vill vi ha?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Lindblom Helen, PLkvm</author>
  </authors>
  <commentList>
    <comment ref="A64" authorId="0" shapeId="0" xr:uid="{00000000-0006-0000-0200-000001000000}">
      <text>
        <r>
          <rPr>
            <b/>
            <sz val="9"/>
            <color indexed="81"/>
            <rFont val="Tahoma"/>
            <family val="2"/>
          </rPr>
          <t>Lindblom Helen, PLkvm:</t>
        </r>
        <r>
          <rPr>
            <sz val="9"/>
            <color indexed="81"/>
            <rFont val="Tahoma"/>
            <family val="2"/>
          </rPr>
          <t xml:space="preserve">
Exkluderar eventuella intäkter från drivmedelsskatter för bussar </t>
        </r>
      </text>
    </comment>
    <comment ref="A73" authorId="0" shapeId="0" xr:uid="{00000000-0006-0000-0200-000002000000}">
      <text>
        <r>
          <rPr>
            <b/>
            <sz val="9"/>
            <color indexed="81"/>
            <rFont val="Tahoma"/>
            <family val="2"/>
          </rPr>
          <t>Lindblom Helen, PLkvm:</t>
        </r>
        <r>
          <rPr>
            <sz val="9"/>
            <color indexed="81"/>
            <rFont val="Tahoma"/>
            <family val="2"/>
          </rPr>
          <t xml:space="preserve">
Exkluderar bussar</t>
        </r>
      </text>
    </comment>
    <comment ref="A76" authorId="0" shapeId="0" xr:uid="{00000000-0006-0000-0200-000003000000}">
      <text>
        <r>
          <rPr>
            <b/>
            <sz val="9"/>
            <color indexed="81"/>
            <rFont val="Tahoma"/>
            <family val="2"/>
          </rPr>
          <t>Lindblom Helen, PLkvm:</t>
        </r>
        <r>
          <rPr>
            <sz val="9"/>
            <color indexed="81"/>
            <rFont val="Tahoma"/>
            <family val="2"/>
          </rPr>
          <t xml:space="preserve">
Exkluderar bussar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Samuelsson, Sandra</author>
    <author>Lindblom Helen, PLkvm</author>
    <author>Selin Markus, PLkvm</author>
  </authors>
  <commentList>
    <comment ref="A7" authorId="0" shapeId="0" xr:uid="{00000000-0006-0000-0500-000001000000}">
      <text>
        <r>
          <rPr>
            <b/>
            <sz val="9"/>
            <color indexed="81"/>
            <rFont val="Tahoma"/>
            <family val="2"/>
          </rPr>
          <t>Samuelsson, Sandra:</t>
        </r>
        <r>
          <rPr>
            <sz val="9"/>
            <color indexed="81"/>
            <rFont val="Tahoma"/>
            <family val="2"/>
          </rPr>
          <t xml:space="preserve">
inkl. etanol och gas</t>
        </r>
      </text>
    </comment>
    <comment ref="F7" authorId="0" shapeId="0" xr:uid="{00000000-0006-0000-0500-000002000000}">
      <text>
        <r>
          <rPr>
            <b/>
            <sz val="9"/>
            <color indexed="81"/>
            <rFont val="Tahoma"/>
            <family val="2"/>
          </rPr>
          <t>Samuelsson, Sandra:</t>
        </r>
        <r>
          <rPr>
            <sz val="9"/>
            <color indexed="81"/>
            <rFont val="Tahoma"/>
            <family val="2"/>
          </rPr>
          <t xml:space="preserve">
inkl. etanol och gas</t>
        </r>
      </text>
    </comment>
    <comment ref="A12" authorId="1" shapeId="0" xr:uid="{00000000-0006-0000-0500-000003000000}">
      <text>
        <r>
          <rPr>
            <b/>
            <sz val="9"/>
            <color indexed="81"/>
            <rFont val="Tahoma"/>
            <family val="2"/>
          </rPr>
          <t>Lindblom Helen, PLkvm:</t>
        </r>
        <r>
          <rPr>
            <sz val="9"/>
            <color indexed="81"/>
            <rFont val="Tahoma"/>
            <family val="2"/>
          </rPr>
          <t xml:space="preserve">
Trafikarbetet motsvarar utvecklingstakten i Basprognos 2018 men utifrånTrafikanalys offifiella trafikarbetsstatistik för år 2017. Eftersom befolkningsutvecklingen skrivits upp betydligt sedan BP2018 har även en justering gjorts för att ta höjd för förändringen med +2,5 % år 2030 samt + 5 % år 2040. </t>
        </r>
      </text>
    </comment>
    <comment ref="F15" authorId="0" shapeId="0" xr:uid="{00000000-0006-0000-0500-000005000000}">
      <text>
        <r>
          <rPr>
            <b/>
            <sz val="9"/>
            <color indexed="81"/>
            <rFont val="Tahoma"/>
            <family val="2"/>
          </rPr>
          <t>Samuelsson, Sandra:</t>
        </r>
        <r>
          <rPr>
            <sz val="9"/>
            <color indexed="81"/>
            <rFont val="Tahoma"/>
            <family val="2"/>
          </rPr>
          <t xml:space="preserve">
Från HBEFA juni 2019 fram till 2030 (och 2035) sedan utvecklingstakt från Scenario Transporteffektivt 20190529</t>
        </r>
      </text>
    </comment>
    <comment ref="A16" authorId="2" shapeId="0" xr:uid="{F0B0DD54-BAEA-4C3A-9D7E-264E4D76E3B7}">
      <text>
        <r>
          <rPr>
            <b/>
            <sz val="9"/>
            <color indexed="81"/>
            <rFont val="Tahoma"/>
            <charset val="1"/>
          </rPr>
          <t>Selin Markus, PLkvm:</t>
        </r>
        <r>
          <rPr>
            <sz val="9"/>
            <color indexed="81"/>
            <rFont val="Tahoma"/>
            <charset val="1"/>
          </rPr>
          <t xml:space="preserve">
Bensin=Otto</t>
        </r>
      </text>
    </comment>
    <comment ref="F16" authorId="0" shapeId="0" xr:uid="{00000000-0006-0000-0500-000007000000}">
      <text>
        <r>
          <rPr>
            <b/>
            <sz val="9"/>
            <color indexed="81"/>
            <rFont val="Tahoma"/>
            <family val="2"/>
          </rPr>
          <t>Samuelsson, Sandra:</t>
        </r>
        <r>
          <rPr>
            <sz val="9"/>
            <color indexed="81"/>
            <rFont val="Tahoma"/>
            <family val="2"/>
          </rPr>
          <t xml:space="preserve">
Bensin=Otto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Samuelsson, Sandra</author>
  </authors>
  <commentList>
    <comment ref="V9" authorId="0" shapeId="0" xr:uid="{00000000-0006-0000-0800-000001000000}">
      <text>
        <r>
          <rPr>
            <b/>
            <sz val="9"/>
            <color indexed="81"/>
            <rFont val="Tahoma"/>
            <family val="2"/>
          </rPr>
          <t>Samuelsson, Sandra:</t>
        </r>
        <r>
          <rPr>
            <sz val="9"/>
            <color indexed="81"/>
            <rFont val="Tahoma"/>
            <family val="2"/>
          </rPr>
          <t xml:space="preserve">
Ev. liten justering beroende på vilken drivmedelsfördelning som använts i förebearbetning</t>
        </r>
      </text>
    </comment>
  </commentList>
</comments>
</file>

<file path=xl/sharedStrings.xml><?xml version="1.0" encoding="utf-8"?>
<sst xmlns="http://schemas.openxmlformats.org/spreadsheetml/2006/main" count="1697" uniqueCount="389">
  <si>
    <t>Drivmedelspris</t>
  </si>
  <si>
    <t>Reduktionsplikt</t>
  </si>
  <si>
    <t>Produktpris sammansatt produkt</t>
  </si>
  <si>
    <t>Summa drivmedelsskatter</t>
  </si>
  <si>
    <t>Moms på produktpris</t>
  </si>
  <si>
    <t>Moms på skatt</t>
  </si>
  <si>
    <t>Summa moms</t>
  </si>
  <si>
    <t>El</t>
  </si>
  <si>
    <t>Bensin</t>
  </si>
  <si>
    <t>Diesel</t>
  </si>
  <si>
    <t>volymprocent</t>
  </si>
  <si>
    <t>Bensin - etanol</t>
  </si>
  <si>
    <t>Bensin - biobensin (HVO)</t>
  </si>
  <si>
    <t>Diesel - FAME</t>
  </si>
  <si>
    <t>Enhet</t>
  </si>
  <si>
    <t>Kommentar</t>
  </si>
  <si>
    <t>Totalt</t>
  </si>
  <si>
    <t>Trafikarbete</t>
  </si>
  <si>
    <t>Kategori</t>
  </si>
  <si>
    <t>andel i procent</t>
  </si>
  <si>
    <t>Sammanvägd bensin+diesel</t>
  </si>
  <si>
    <t>Kilometerskatt</t>
  </si>
  <si>
    <t>Ytterligare energieffektiv användning av fordon</t>
  </si>
  <si>
    <t>Transporteffektiv samhällsplanering</t>
  </si>
  <si>
    <t>kr/km</t>
  </si>
  <si>
    <t>procent</t>
  </si>
  <si>
    <t>Styrmedel</t>
  </si>
  <si>
    <t>Socioekonomi</t>
  </si>
  <si>
    <t>Befolkning</t>
  </si>
  <si>
    <t>Bilinnehav</t>
  </si>
  <si>
    <t>bil/person</t>
  </si>
  <si>
    <t>antal personer (nattbefolkning)</t>
  </si>
  <si>
    <t xml:space="preserve">Befolkning </t>
  </si>
  <si>
    <t>personer (nattbefolkning)</t>
  </si>
  <si>
    <t>Antal bilar</t>
  </si>
  <si>
    <t>personbil och lätt lastbil</t>
  </si>
  <si>
    <t>miljarder fordonskilometer per år</t>
  </si>
  <si>
    <t>Diesel - biodiesel (HVO)</t>
  </si>
  <si>
    <t>Drivmedelsförbrukning</t>
  </si>
  <si>
    <t>liter/mil</t>
  </si>
  <si>
    <t>kWh/mil</t>
  </si>
  <si>
    <t xml:space="preserve">Förändring av drivmedelsskatter </t>
  </si>
  <si>
    <t xml:space="preserve">procent per år </t>
  </si>
  <si>
    <t>procent per år</t>
  </si>
  <si>
    <t xml:space="preserve">Bensin - bränslepris vid pump </t>
  </si>
  <si>
    <t>Diesel för personbilar - bränslepris vid pump</t>
  </si>
  <si>
    <t>Reduktionsplikt - FAME</t>
  </si>
  <si>
    <t>Reduktionsplikt - biobensin (HVO)</t>
  </si>
  <si>
    <t>Diesel för lastbilar - bulk</t>
  </si>
  <si>
    <t>El för hushåll (personbilar)</t>
  </si>
  <si>
    <t>El, försäljningspris vid pump, kr/kWh</t>
  </si>
  <si>
    <t>El för företag (lastbilar, bussar)</t>
  </si>
  <si>
    <t>EU-krav/Bonus-Malus</t>
  </si>
  <si>
    <t>Indata till scenarioverktyget</t>
  </si>
  <si>
    <t>Övriga åtgärder</t>
  </si>
  <si>
    <t>Indata som kan justeras</t>
  </si>
  <si>
    <t>1. Beslutad politik</t>
  </si>
  <si>
    <t>Hämtas från HBEFA (utan hänsyn till förändring av drivmedelspriser)</t>
  </si>
  <si>
    <t>Lista för rullista</t>
  </si>
  <si>
    <t>Scenario 1</t>
  </si>
  <si>
    <t>Scenario 2</t>
  </si>
  <si>
    <t>Beskrivning</t>
  </si>
  <si>
    <t>Energieffektiviseringselasticitet (lätt trafik, bensin och diesel) map drivmedelspris</t>
  </si>
  <si>
    <t>Elasticitet från Sampers</t>
  </si>
  <si>
    <t>Viss effektivisering antas (expertbedömning)</t>
  </si>
  <si>
    <t>Antar att ingen ytterligare effektivisering är möjlig (expertbedömning)</t>
  </si>
  <si>
    <t>Eventuell manuell justering av trafikarbetet</t>
  </si>
  <si>
    <t>2-valsalternativ</t>
  </si>
  <si>
    <t>kr/mil</t>
  </si>
  <si>
    <t>Övrig körkostnad</t>
  </si>
  <si>
    <t>Sammanvägd alla</t>
  </si>
  <si>
    <t>Total körkostnad</t>
  </si>
  <si>
    <t>-</t>
  </si>
  <si>
    <t>UTGÅNGLÄGE 1a. DRIVMEDELSPRISER</t>
  </si>
  <si>
    <t>UTGÅNGLÄGE 2a. DRIVMEDELSFÖRBRUKNING</t>
  </si>
  <si>
    <t>UTGÅNGLÄGE 4a. KILOMETERSKATT</t>
  </si>
  <si>
    <t>UTGÅNGLÄGE 5a. ÖVRIG KÖRKOSTNAD</t>
  </si>
  <si>
    <t>UTGÅNGLÄGE 3a. DRIVMEDELSFÖRDELNING (inkl. manuell justering)</t>
  </si>
  <si>
    <t>UTGÅNGLÄGE 6a. TRAFIKARBETE PER FORDONSLAG (inkl. manuell justering)</t>
  </si>
  <si>
    <t>UTGÅNGLÄGE 7a. TOTAL KÖRKOSTNAD</t>
  </si>
  <si>
    <t>UTGÅNGLÄGE 8a. BILINNEHAV</t>
  </si>
  <si>
    <t>MODELL 5c.  ÖVRIG KÖRKOSTNAD  (ingen justering)</t>
  </si>
  <si>
    <t>MODELL 7c. TOTAL KÖRKOSTNAD (ingen justering)</t>
  </si>
  <si>
    <t>MODELL 1c. DRIVMEDELSPRISER (ingen justering)</t>
  </si>
  <si>
    <t>MODELL 2c. DRIVMEDELSFÖRBRUKNING (ingen justering)</t>
  </si>
  <si>
    <t>MODELL 3c. DRIVMEDELSFÖRDELNING (ingen justering)</t>
  </si>
  <si>
    <t>MODELL 4c.  KILOMETERSKATT (ingen justering)</t>
  </si>
  <si>
    <t>MODELL 8c. BILINNEHAV (ingen justering)</t>
  </si>
  <si>
    <t>kg/liter</t>
  </si>
  <si>
    <t>Energiinnehåll</t>
  </si>
  <si>
    <t>Fossil bensin</t>
  </si>
  <si>
    <t>Fossil diesel</t>
  </si>
  <si>
    <t>Biobensin</t>
  </si>
  <si>
    <t>kWh/liter</t>
  </si>
  <si>
    <t>Biodiesel (HVO)</t>
  </si>
  <si>
    <t>Lätta fordon - Bensin</t>
  </si>
  <si>
    <t>Lätta fordon - Diesel</t>
  </si>
  <si>
    <t>Lätta fordon - El</t>
  </si>
  <si>
    <t>Lätta fordon - Totalt</t>
  </si>
  <si>
    <t>Tunga fordon - Totalt</t>
  </si>
  <si>
    <t xml:space="preserve">Tunga fordon - MGV16 </t>
  </si>
  <si>
    <t xml:space="preserve">Tunga fordon - MGV24 </t>
  </si>
  <si>
    <t xml:space="preserve">Tunga fordon - HGV40 </t>
  </si>
  <si>
    <t xml:space="preserve">Tunga fordon - HGV60 </t>
  </si>
  <si>
    <t>Utgångsläge - Lätta fordon</t>
  </si>
  <si>
    <t>Tunga fordon - Diesel (MGV16)</t>
  </si>
  <si>
    <t>Tunga fordon - Diesel (MGV24)</t>
  </si>
  <si>
    <t>Tunga fordon - Diesel (MGV40)</t>
  </si>
  <si>
    <t>Tunga fordon - Diesel (MGV60)</t>
  </si>
  <si>
    <t>MGV16</t>
  </si>
  <si>
    <t>MGV24</t>
  </si>
  <si>
    <t>MGV40</t>
  </si>
  <si>
    <t>MGV60</t>
  </si>
  <si>
    <t>Totalt tunga fordon</t>
  </si>
  <si>
    <t>Tunga fordon</t>
  </si>
  <si>
    <t>Tunga fordon - El (MGV16)</t>
  </si>
  <si>
    <t>Tunga fordon - El (MGV24)</t>
  </si>
  <si>
    <t>Tunga fordon - El (MGV40)</t>
  </si>
  <si>
    <t>Tunga fordon - El (MGV60)</t>
  </si>
  <si>
    <t>Bränsleförbrukning (liter/mil eller kWh/mil)</t>
  </si>
  <si>
    <t>Trafikandelar (%) - Lätta fordon</t>
  </si>
  <si>
    <t>miljoner ton per år</t>
  </si>
  <si>
    <t>TWh per år</t>
  </si>
  <si>
    <t>Energianvändning</t>
  </si>
  <si>
    <t>Totalt fossil</t>
  </si>
  <si>
    <t>Totalt bio</t>
  </si>
  <si>
    <t>Totalt el</t>
  </si>
  <si>
    <t>Etanol</t>
  </si>
  <si>
    <t>FAME</t>
  </si>
  <si>
    <t>miljarder kronor per år</t>
  </si>
  <si>
    <t xml:space="preserve">Diesel - MGV16 </t>
  </si>
  <si>
    <t xml:space="preserve">Diesel - MGV24 </t>
  </si>
  <si>
    <t xml:space="preserve">Diesel - HGV40 </t>
  </si>
  <si>
    <t xml:space="preserve">Diesel - HGV60 </t>
  </si>
  <si>
    <t>Diesel - Genomsnitt</t>
  </si>
  <si>
    <t xml:space="preserve">El - MGV16 </t>
  </si>
  <si>
    <t xml:space="preserve">El - MGV24 </t>
  </si>
  <si>
    <t xml:space="preserve">El - HGV40 </t>
  </si>
  <si>
    <t xml:space="preserve">El - HGV60 </t>
  </si>
  <si>
    <t>El - Genomsnitt</t>
  </si>
  <si>
    <t>andel el i procent</t>
  </si>
  <si>
    <t>UTGÅNGLÄGE 3a. ANDEL ELFORDON av trafikarbetet (inkl. manuell justering)</t>
  </si>
  <si>
    <t>Andel elfordon</t>
  </si>
  <si>
    <t>Andel av trafikarbetet</t>
  </si>
  <si>
    <t>FÖRBEARBETNING 3b. ANDEL ELFORDON av trafikarbetet (ingen justering)</t>
  </si>
  <si>
    <t>MODELL 3c. ANDEL ELFORDON av trafikarbetet (ingen justering)</t>
  </si>
  <si>
    <t>EFTERBEARBETNING 1d. DRIVMEDELSPRISER (ingen justering)</t>
  </si>
  <si>
    <t>EFTERBEARBETNING 2d. DRIVMEDELSFÖRBRUKNING (ingen justering)</t>
  </si>
  <si>
    <t>EFTERBEARBETNING 3d. DRIVMEDELSFÖRDELNING (ingen justering)</t>
  </si>
  <si>
    <t>EFTERBEARBETNING 4d.  KILOMETERSKATT (ingen justering)</t>
  </si>
  <si>
    <t>EFTERBEARBETNING 5d.  ÖVRIG KÖRKOSTNAD  (ingen justering)</t>
  </si>
  <si>
    <t>EFTERBEARBETNING 7d. TOTAL KÖRKOSTNAD (ingen justering)</t>
  </si>
  <si>
    <t>EFTERBEARBETNING 8d. BILINNEHAV (ingen justering)</t>
  </si>
  <si>
    <t>FÖRBEARBETNING 4b.  KILOMETERSKATT  (ingen justering)</t>
  </si>
  <si>
    <t>FÖRBEARBETNING 5b.  ÖVRIG KÖRKOSTNAD  (ingen justering)</t>
  </si>
  <si>
    <t>FÖRBEARBETNING 6b. TRAFIKARBETE PER FORDONSLAG (ingen justering)</t>
  </si>
  <si>
    <t>Diesel - Totalt</t>
  </si>
  <si>
    <t>El - Totalt</t>
  </si>
  <si>
    <t xml:space="preserve">Totalt - MGV16 </t>
  </si>
  <si>
    <t xml:space="preserve">Totalt - MGV24 </t>
  </si>
  <si>
    <t xml:space="preserve">Totalt - HGV40 </t>
  </si>
  <si>
    <t xml:space="preserve">Totalt - HGV60 </t>
  </si>
  <si>
    <t>Totalt - Totalt</t>
  </si>
  <si>
    <t>Energiskatt</t>
  </si>
  <si>
    <t>Koldioxidskatt</t>
  </si>
  <si>
    <t>Uppräkning av drivmedelsskatter</t>
  </si>
  <si>
    <t>Energieffektivisering av bensin- och dieselbilar (lätta fordon) map drivmedelspris</t>
  </si>
  <si>
    <t>Energieffektivisering av diesellastbilar (tunga fordon) map drivmedelspris</t>
  </si>
  <si>
    <t>Förändrat bilinnehav map körkostnad</t>
  </si>
  <si>
    <t>Förändrat trafikarbete för lätta fordon map körkostnad (exkl. effekt av bilinnehav)</t>
  </si>
  <si>
    <t>Förändrat trafikarbete för tunga fordon map körkostnad</t>
  </si>
  <si>
    <t>Resultat</t>
  </si>
  <si>
    <t>Indata</t>
  </si>
  <si>
    <t>Utdata</t>
  </si>
  <si>
    <t>Lätta fordon - Sammanvägd</t>
  </si>
  <si>
    <t>Tunga fordon - Diesel</t>
  </si>
  <si>
    <t>Tunga fordon - El</t>
  </si>
  <si>
    <t>kr/kWh inkl. moms</t>
  </si>
  <si>
    <t>Lätta fordon</t>
  </si>
  <si>
    <t>Diesel - Sammanvägd</t>
  </si>
  <si>
    <t>El - Sammanvägd</t>
  </si>
  <si>
    <t>Totalt - Sammanvägd</t>
  </si>
  <si>
    <t>miljoner ton CO2 per år</t>
  </si>
  <si>
    <t>Buss</t>
  </si>
  <si>
    <t>Tung lastbil</t>
  </si>
  <si>
    <t>Motorcykel och moped</t>
  </si>
  <si>
    <t>Övrigt</t>
  </si>
  <si>
    <t>Lätta fordon - Fossil</t>
  </si>
  <si>
    <t>Lätta fordon - Bio</t>
  </si>
  <si>
    <t>Totalt - Fossil</t>
  </si>
  <si>
    <t>Totalt - Bio</t>
  </si>
  <si>
    <t>Totalt - El</t>
  </si>
  <si>
    <t>Skatteintäkter - Kilometerskatt</t>
  </si>
  <si>
    <t>Skatteintäkter- Kilometerskatt</t>
  </si>
  <si>
    <t>Skatteintäkter - 
Kilometerskatt</t>
  </si>
  <si>
    <t>Skatteintäkter - 
Totalt</t>
  </si>
  <si>
    <t>Justering av trafikarbetet</t>
  </si>
  <si>
    <t>Förutbestämd eller automatisk beräknad indata</t>
  </si>
  <si>
    <t>Beskrivning av scenariot</t>
  </si>
  <si>
    <t>Eventuell manuell justering av andel elbilar</t>
  </si>
  <si>
    <t>kr/liter inkl. moms</t>
  </si>
  <si>
    <t>Överflyttning till elbilar för personbilar map drivmedelspris</t>
  </si>
  <si>
    <t>Elasticitet från Sampers, tillämpas på total körkostnad (drivmedelskostnad + service, kapitalkostnad etc.)</t>
  </si>
  <si>
    <t>Beräkning av drivmedelspriser</t>
  </si>
  <si>
    <t>Trafikarbete (miljarder fordonskilometer per år)</t>
  </si>
  <si>
    <t>Bränslepris, inkl. punktskatter, exkl. moms</t>
  </si>
  <si>
    <t>Bensin, försäljningspris vid pump, kr/liter (inkl. inblandning)</t>
  </si>
  <si>
    <t>Diesel, försäljningspris vid pump, kr/liter (inkl. inblandning)</t>
  </si>
  <si>
    <t>Produktpris  exkl. punktskatter och moms, kr/kWh</t>
  </si>
  <si>
    <t>Elpris, inkl. punktskatter, exkl. moms</t>
  </si>
  <si>
    <t>Produktpris  exkl. punktskatter och moms, kr/liter  - bensin med 5% etanol</t>
  </si>
  <si>
    <t>Produktpris  exkl. punktskatter och moms, kr/liter  - fossil bensin</t>
  </si>
  <si>
    <t>Produktpris  exkl. punktskatter och moms, kr/liter - etanol</t>
  </si>
  <si>
    <t>Produktpris  exkl. punktskatter och moms, kr/liter - biobensin (HVO)</t>
  </si>
  <si>
    <t>Produktpris  exkl. punktskatter och moms, kr/liter  - diesel med 5% FAME och 18% HVO</t>
  </si>
  <si>
    <t>Produktpris  exkl. punktskatter och moms, kr/liter  - fossil diesel</t>
  </si>
  <si>
    <t>Produktpris  exkl. punktskatter och moms, kr/liter - FAME</t>
  </si>
  <si>
    <t>UTGÅNGSLÄGE: Startvärden inkl. manuella justeringar</t>
  </si>
  <si>
    <t>MODELL: Beräkning av trafikarbetet baserat på uppdaterad körkostnad och bilinnehav</t>
  </si>
  <si>
    <t>FÖRBEARBETNING 2b. JUSTERAR DRIVMEDELSFÖRBRUKNING m.h.t. DRIVMEDELSPRIS och YTTERLIGARE ENERGIEFFEKTIV ANVÄNDNING</t>
  </si>
  <si>
    <t>FÖRBEARBETNING 3b. JUSTERAR ANDELEN ELBILAR I FLOTTAN m.h.t. DRIVMEDELSPRIS</t>
  </si>
  <si>
    <t>FÖRBEARBETNING 6b. JUSTERAR TRAFIKARBETE PER FORDONSLAG m.h.t. NY DRIVMEDELSFÖRDELNING</t>
  </si>
  <si>
    <t>MODELL 6c. JUSTERAR TRAFIKARBETE PER FORDONSLAG m.h.t. NYTT BILINNEHAV och TOTAL KÖRKOSTNAD</t>
  </si>
  <si>
    <t>EFTERBEARBETNING 6d. JUSTERAR TRAFIKARBETE PER FORDONSLAG m.h.t. TRANSPORTEFFEKTIV SAMHÄLLE</t>
  </si>
  <si>
    <t>FÖRBEARBETNING 7b. JUSTERAR TOTAL KÖRKOSTNAD m.h.t. NYA DRIVMEDELSPRISER och  NY DRIVMEDELSFÖRBRUKNING</t>
  </si>
  <si>
    <t>Förändring jmf med utgångsläge</t>
  </si>
  <si>
    <t>FÖRBEARBETNING 8b. JUSTERAR BILINNEHAV m.h.t. KÖRKOSTNADSFÖRÄNDRING</t>
  </si>
  <si>
    <t>Skatteintäkter - Drivmedelsskatt</t>
  </si>
  <si>
    <t>FÖRBEARBETNING: Beräkning av körkostnad och bilinnehav baserat på uppdaterat drivmedelspris, drivmedelsförburkning och drivmedelsfördelning</t>
  </si>
  <si>
    <t>EFTERBEARBETNING: Beräkning av trafikarbetet baserat på transporteffektiv samhälle samt beräkning av utsläpp, energianvändning och skatteintäkter</t>
  </si>
  <si>
    <t>FÖRBEARBETNING 1b. JUSTERAR DRIVMEDELSPRISER m.h.t. DRIVMEDELSSKATTER och REDUKTIONSPLIKT</t>
  </si>
  <si>
    <t>FÖRBEARBETNING: Beräkning av körkostnad baserat på uppdaterat drivmedelspris, drivmedelsförburkning och drivmedelsfördelning</t>
  </si>
  <si>
    <t>MODELL: Beräkning av trafikarbetet baserat på uppdaterad körkostnad</t>
  </si>
  <si>
    <t>MODELL 6c. JUSTERAR TRAFIKARBETE PER FORDONSLAG m.h.t. NY TOTAL KÖRKOSTNAD</t>
  </si>
  <si>
    <t>Skatteintäkter -Drivmedelsskatt</t>
  </si>
  <si>
    <t>Förändring jmf med utgångsläge(diesel)</t>
  </si>
  <si>
    <t>Skatteintäkter -Drivmedelsskatter</t>
  </si>
  <si>
    <t>Modell - Drivmedelpriser</t>
  </si>
  <si>
    <t>Modell - Lätta fordon</t>
  </si>
  <si>
    <t>Modell - Tunga fordon</t>
  </si>
  <si>
    <t>Flik</t>
  </si>
  <si>
    <t>Modellberäkningar för lätta fordon (personbilar och lätta lastbilar)</t>
  </si>
  <si>
    <t>Modellberäkningar för tunga fordon (tunga lastbilar)</t>
  </si>
  <si>
    <t>Sammanställning av resultat</t>
  </si>
  <si>
    <t>Modellberäkningar för lätta fordon</t>
  </si>
  <si>
    <t>Modellberäkningar för tunga fordon</t>
  </si>
  <si>
    <t>Procentuell minskning av trafikarbete (plustecken)</t>
  </si>
  <si>
    <t>Procentuell minskning av drivmedelsförbrukningen (plustecken)</t>
  </si>
  <si>
    <t>Tunga fordon exkl. buss</t>
  </si>
  <si>
    <t>Information</t>
  </si>
  <si>
    <t>kr/liter exkl. moms</t>
  </si>
  <si>
    <t>kr/kWh exkl. moms</t>
  </si>
  <si>
    <t>Effektsamband och faktorer</t>
  </si>
  <si>
    <t>Utsläpp  - Koldioxid</t>
  </si>
  <si>
    <t>Utsläpp  - NOx</t>
  </si>
  <si>
    <t>EFTERBEARBETNING 9d. BERÄKNAR UTSLÄPP</t>
  </si>
  <si>
    <t>EFTERBEARBETNING 10d. BERÄKNAR ENERGIANVÄNDNING</t>
  </si>
  <si>
    <t>Utsläpp - Koldioxid</t>
  </si>
  <si>
    <t>Utsläpp - Partiklar (avgas)</t>
  </si>
  <si>
    <t>Utsläpp - Partiklar (slitage)</t>
  </si>
  <si>
    <t>Utsläpp  - Partiklar (avgas)</t>
  </si>
  <si>
    <t>Utsläpp  - Partiklar (slitage)</t>
  </si>
  <si>
    <t>kg/kWh</t>
  </si>
  <si>
    <t>EFTERBEARBETNING 11d. BERÄKNAR SKATTINTÄKTER</t>
  </si>
  <si>
    <t>Utsläpp - Kväveoxider</t>
  </si>
  <si>
    <t>Andel elfordon (%) - Tunga fordon</t>
  </si>
  <si>
    <t>Totalt - Lätta och tunga fordon</t>
  </si>
  <si>
    <t>Utsläpp - Kolidoxid</t>
  </si>
  <si>
    <t>Effektsamband, emissionsfaktorer och energiinnehåll</t>
  </si>
  <si>
    <t>Justerbar indata samt sammanställning av all indata</t>
  </si>
  <si>
    <t>Indata - Effektsamband-Faktorer</t>
  </si>
  <si>
    <t>g/fkm</t>
  </si>
  <si>
    <t>Bensin - lätta fordon</t>
  </si>
  <si>
    <t>Diesel - lätta fordon</t>
  </si>
  <si>
    <t>Diesel - tunga fordon</t>
  </si>
  <si>
    <t>Energimyndigheten</t>
  </si>
  <si>
    <t xml:space="preserve"> tusen ton per år</t>
  </si>
  <si>
    <t>Andel el av trafikarbetet</t>
  </si>
  <si>
    <t>Avser direkta utsläpp för fossil bensin, ej LCA</t>
  </si>
  <si>
    <t>Avser direkta utsläpp för fossil diesel, ej LCA</t>
  </si>
  <si>
    <t>Avser direkta utsläpp, ej LCA</t>
  </si>
  <si>
    <t>Elasticiteter</t>
  </si>
  <si>
    <t xml:space="preserve">Lätta fordon (oavsett drivmedel) </t>
  </si>
  <si>
    <t>Tunga fordon (oavsett drivmedel)</t>
  </si>
  <si>
    <t>Indata fordonsflotta och trafikarbete</t>
  </si>
  <si>
    <t xml:space="preserve">Etanol (volymandel) </t>
  </si>
  <si>
    <t>Biobensin/HVO (volymandel)</t>
  </si>
  <si>
    <t>Produktpris  exkl. punktskatter och moms, kr/liter - biodiesel (HVO)</t>
  </si>
  <si>
    <t>FAME (volymandel)</t>
  </si>
  <si>
    <t>HVO (volymandel)</t>
  </si>
  <si>
    <t>Bussars energianvändning</t>
  </si>
  <si>
    <t xml:space="preserve">Bussar </t>
  </si>
  <si>
    <t>Utgångsläge - Lastbilar</t>
  </si>
  <si>
    <t>Utgångsläge - Bussar</t>
  </si>
  <si>
    <t>Biodrivmedel</t>
  </si>
  <si>
    <t>FÖRUTSÄTTNINGAR Bussar Biodrivmedel</t>
  </si>
  <si>
    <t>TWh</t>
  </si>
  <si>
    <t xml:space="preserve">Beslutad politik </t>
  </si>
  <si>
    <t>Bussar beslutad politik</t>
  </si>
  <si>
    <t>Total energianvändning</t>
  </si>
  <si>
    <t>3-valsalternativ</t>
  </si>
  <si>
    <t>Utrycks i reella termer och appliceras från och med 2021</t>
  </si>
  <si>
    <t>Övriga vägtransporter (buss, motorcykel och moped)</t>
  </si>
  <si>
    <t>Inga beräkningar sker, denna post är både indata och utdata</t>
  </si>
  <si>
    <t>Tung fordon (lastbil+buss) - Fossil</t>
  </si>
  <si>
    <t>Tung fordon (lastbil + buss) - Biodrivmedel</t>
  </si>
  <si>
    <t>Tung fordon  (lastbil + buss)- El</t>
  </si>
  <si>
    <t>Lätta fordon - Biodrivmedel</t>
  </si>
  <si>
    <t>Tunga lastbilar - Bio</t>
  </si>
  <si>
    <t>Tunga lastbilar - Fossil</t>
  </si>
  <si>
    <t>Tunga lastbilar - El</t>
  </si>
  <si>
    <t>Tunga lastbilar</t>
  </si>
  <si>
    <t>tusen ton per år</t>
  </si>
  <si>
    <t>Elasticitet från Samgods, tillämpas på körkostnad för drivmedel och ev. km-skatt</t>
  </si>
  <si>
    <t>Baseras på körning med Bilparksmodellen. Ska läsas som "andel av bränslebilarna som flyttas över till el i HELA fordonsparken, dvs inte bara nybilsförsäljningen"</t>
  </si>
  <si>
    <t>Bestämmer vilken drivmedelsfördelning (andel elfordon) som ska användas i utgångsläget</t>
  </si>
  <si>
    <t xml:space="preserve">Bestämmer totala energimängden för bussar samt fördelningen mellan el och biodrivmedel </t>
  </si>
  <si>
    <t>Nivå 2</t>
  </si>
  <si>
    <t>Nivå1</t>
  </si>
  <si>
    <t>Nivå 1</t>
  </si>
  <si>
    <t>Beslutad politik</t>
  </si>
  <si>
    <t>2. Mer ambitös politik</t>
  </si>
  <si>
    <t>Totalt - Lätta fordon och lastbilar</t>
  </si>
  <si>
    <t xml:space="preserve">Personbil </t>
  </si>
  <si>
    <t xml:space="preserve">Lätt lastbil </t>
  </si>
  <si>
    <r>
      <rPr>
        <b/>
        <sz val="9"/>
        <color theme="1"/>
        <rFont val="Arial"/>
        <family val="2"/>
      </rPr>
      <t>Källa</t>
    </r>
    <r>
      <rPr>
        <sz val="9"/>
        <color theme="1"/>
        <rFont val="Arial"/>
        <family val="2"/>
      </rPr>
      <t>: Naturvårdsverket (http://www.naturvardsverket.se/Sa-mar-miljon/Statistik-A-O/Vaxthusgaser-utslapp-fran-inrikes-transporter/)</t>
    </r>
  </si>
  <si>
    <r>
      <rPr>
        <b/>
        <sz val="9"/>
        <color theme="1"/>
        <rFont val="Arial"/>
        <family val="2"/>
      </rPr>
      <t>Enhet</t>
    </r>
    <r>
      <rPr>
        <sz val="9"/>
        <color theme="1"/>
        <rFont val="Arial"/>
        <family val="2"/>
      </rPr>
      <t>: tusen ton CO2ekv per år</t>
    </r>
  </si>
  <si>
    <t>Totalt (miljoner ton)</t>
  </si>
  <si>
    <t>Totalt (tusen ton)</t>
  </si>
  <si>
    <t>Indata - Fordon och Trafik</t>
  </si>
  <si>
    <t>Indata kring fordonsflottan och trafikutvecklingen</t>
  </si>
  <si>
    <t xml:space="preserve">Kort instruktion: </t>
  </si>
  <si>
    <t>De enda flikar som ska användas är "Indata" och "Resultat". I de gråmarkerade cellerna</t>
  </si>
  <si>
    <t xml:space="preserve">i "Indata"-fliken kan värden justeras av användaren. I "Resultat"-fliken ser man resultatet </t>
  </si>
  <si>
    <t xml:space="preserve">av de förutsättningar som valts i indatafliken. Observera att värden som ligger i indatafliken </t>
  </si>
  <si>
    <t xml:space="preserve">under de gråmarkerade fälten är indata som går in i modellen och ska inte </t>
  </si>
  <si>
    <t xml:space="preserve">förväxlas med resultatet som framgår i resultatfliken. </t>
  </si>
  <si>
    <t>Pmavgas</t>
  </si>
  <si>
    <t>NOx</t>
  </si>
  <si>
    <t>Tunga lastbilar - Diesel</t>
  </si>
  <si>
    <t>Tunga lastbilar - Sammanvägd</t>
  </si>
  <si>
    <t>Tunga lastbillar - Diesel</t>
  </si>
  <si>
    <t>Tunga lastbilar - Totalt</t>
  </si>
  <si>
    <t>Förändring jmf mot år 2010</t>
  </si>
  <si>
    <t>Andel inblandning som volymprocent</t>
  </si>
  <si>
    <t>Total energianvändnign</t>
  </si>
  <si>
    <t>Partiklar från vägslitage (CRF 1A3b)</t>
  </si>
  <si>
    <t>Partiklar från däck och bromsar (CRF 1A3b)</t>
  </si>
  <si>
    <t>PM10, Vägtrafik totalt</t>
  </si>
  <si>
    <t>CO2</t>
  </si>
  <si>
    <t>Övriga emissioner</t>
  </si>
  <si>
    <t>PMslitage</t>
  </si>
  <si>
    <r>
      <rPr>
        <b/>
        <sz val="9"/>
        <color theme="1"/>
        <rFont val="Arial"/>
        <family val="2"/>
      </rPr>
      <t>Enhet</t>
    </r>
    <r>
      <rPr>
        <sz val="9"/>
        <color theme="1"/>
        <rFont val="Arial"/>
        <family val="2"/>
      </rPr>
      <t xml:space="preserve">: tusen ton </t>
    </r>
  </si>
  <si>
    <r>
      <rPr>
        <b/>
        <sz val="9"/>
        <color theme="1"/>
        <rFont val="Arial"/>
        <family val="2"/>
      </rPr>
      <t>Källa</t>
    </r>
    <r>
      <rPr>
        <sz val="9"/>
        <color theme="1"/>
        <rFont val="Arial"/>
        <family val="2"/>
      </rPr>
      <t>: SCB (http://www.statistikdatabasen.scb.se/pxweb/sv/ssd/?rxid=5f5d2d49-2c01-4d75-98e6-dce2ddf03238)</t>
    </r>
  </si>
  <si>
    <t xml:space="preserve">Indata - Utsläpp </t>
  </si>
  <si>
    <t>Indata gällande utsläpp av koldioxidekvivalenter, NOx, PM</t>
  </si>
  <si>
    <t>Önskad andel elbilar som indata</t>
  </si>
  <si>
    <t>Enligt SAMS-databasen (basprognos 2018) med uppjustering 2,5 % år 2030 och 5 % år 2040</t>
  </si>
  <si>
    <t xml:space="preserve">Antaganden </t>
  </si>
  <si>
    <t>Lätta fordon och tunga lastbilar</t>
  </si>
  <si>
    <t>Förbrukning ellastbilar</t>
  </si>
  <si>
    <t>Förbrukning diesellastbilar</t>
  </si>
  <si>
    <t>Här kan användaren beskriva sitt scenario, t.ex. "Biodrivmedelsscenario"</t>
  </si>
  <si>
    <t>Indata - Utsläpp av växthusgaser och luftföroreningar</t>
  </si>
  <si>
    <t>Basprognos</t>
  </si>
  <si>
    <t>PMavgas</t>
  </si>
  <si>
    <t>Beskrivning av scenarioverktyget v.2.0.</t>
  </si>
  <si>
    <t>Effektsambanden beskrivs i rapporten Beskrivning av Scenarioverktyget, 2024MMDD.</t>
  </si>
  <si>
    <t>Källa: HBEFA/Trafikverkets antaganden. Beskrivs i rapporten Beskrivning av Scenarioverktyget, 2024MMDD.</t>
  </si>
  <si>
    <t>Värden hämtade från ASEK 8</t>
  </si>
  <si>
    <t>Basprognos 2024</t>
  </si>
  <si>
    <t>Alla värden uttryckta i 2019-års penningvärde.</t>
  </si>
  <si>
    <t>A-traktorer</t>
  </si>
  <si>
    <t>ASEK 8</t>
  </si>
  <si>
    <t>Handboken för vägtrafikens luftföroreningar</t>
  </si>
  <si>
    <t>Hämtas från HBEFA</t>
  </si>
  <si>
    <t>HBEFA 4.2, bearbetning till Samgodssegment</t>
  </si>
  <si>
    <t>Enligt basprognos 2024 (ASEK 8), prisnivå 2019</t>
  </si>
  <si>
    <t>Beräknas med hänsyn till reduktionsplikten i respektive scenario, prisnivå 2019</t>
  </si>
  <si>
    <t>Enligt basprognos 2024 (ASEK 8), prisnivå 2019 (antas vara konstant). Övrig kostnad avser service, kapitalkostnad, etc.</t>
  </si>
  <si>
    <t>Hämtas från HBEFA 4.2</t>
  </si>
  <si>
    <t>Enligt Basprognos 2024 antagande om konstant bilinnehav per person</t>
  </si>
  <si>
    <t>Prisnivå 2019</t>
  </si>
  <si>
    <t>Alla kostnader är uttryckta i 2019-års penningvärde</t>
  </si>
  <si>
    <r>
      <t>Scenarioverktyget är ett excelbaserat verktyg för att analysera ekonomiska styrmedelseffekter på bland annat trafikarbete, energianvändning och förnybar energi. Scenarioverktyget kan användas för att göra scenarier för år 2030 och/eller 2045. Verktyget kan användas i huvudsak på två sätt:
        -   för att uppskatta vilka förutsättningar som krävs i en Sampers/Samgodskörning för att transportsektorn ska nå en viss CO2-reduktion 2030 resp. 2045
        -   för att göra känslighetsanalyser (t.ex. hur ett förändrad antagande om andel elbilar påverkar resultatet)
Scenarioverktyget är framförallt utformat för att analysera effekter av styrmedel som påverkar körkostnad:
       -    Drivmedelsskatt (energi/CO2)
       -    Reduktionsplikt (andel förnybar energi i bensin och diesel)
       -    Km-skatt
       -    EU-krav
Det finns även möjlighet att studera effekter av åtgärder:
       -    Energieffektivare användning av fordon (t.ex. sparsam körning)
       -    Transporteffektivare samhälle (samhällsplanering, parkeringspolicy etc.)
Fokus i verktyget är lätta fordon (personbilar och lätta lastbilar) samt tunga lastb</t>
    </r>
    <r>
      <rPr>
        <sz val="10"/>
        <rFont val="Arial"/>
        <family val="2"/>
      </rPr>
      <t>ilar. Bussar inkluderas delvis</t>
    </r>
    <r>
      <rPr>
        <sz val="10"/>
        <color theme="1"/>
        <rFont val="Arial"/>
        <family val="2"/>
      </rPr>
      <t xml:space="preserve"> (energianvändning och utsläpp ingår). Övriga trafikslag är inte med. Anledningen till detta är att övriga trafikslags påverkan på de nationella utsläppen inom ramen för klimatmålet till 2030 är mycket liten (särskilt då inrikes flyg ej inkluderas i målet). Sjöfart kan eventuellt komma att inkluderas i kommande versioner.
</t>
    </r>
    <r>
      <rPr>
        <sz val="10"/>
        <rFont val="Arial"/>
        <family val="2"/>
      </rPr>
      <t xml:space="preserve">Scenarioverktyget utgår från Trafikverkets basprognos 2024, sedan kan olika förutsättningar justeras i verktyget för att analysera hur det påverkar trafikarbete, energianvändning och CO2-utsläpp. 
Alla kostnader är uttryckta i 2019-års penningvärde. Drivmedelspriserna och övriga körkostnad är hämtade från ASEK 8. Drivmedelsförburkning och fördelning är hämtade från HBEFA.
Mer utförlig beskrivning av scenarioverktyget ses i rapporten "Beskrivning av Scenarioverktyget, 2024MMDD". </t>
    </r>
  </si>
  <si>
    <t>1. Basprognos 2024</t>
  </si>
  <si>
    <t>FÖRUTSÄTTNINGAR för Basprognos 2024</t>
  </si>
  <si>
    <t>2. Alternativscenario</t>
  </si>
  <si>
    <t>FÖRUTSÄTTNINGAR alternativscenario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</si>
</sst>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
    <numFmt numFmtId="167" formatCode="_-* #,##0.00\ _k_r_-;\-* #,##0.00\ _k_r_-;_-* &quot;-&quot;??\ _k_r_-;_-@_-"/>
    <numFmt numFmtId="168" formatCode="#,##0.0"/>
  </numFmts>
  <fonts count="46" x14ac:knownFonts="1">
    <font>
      <sz val="11"/>
      <color theme="1"/>
      <name val="Calibri"/>
      <family val="2"/>
      <scheme val="minor"/>
    </font>
    <font>
      <sz val="11"/>
      <color theme="1"/>
      <name val="Calibri"/>
      <family val="2"/>
      <scheme val="minor"/>
    </font>
    <font>
      <sz val="11"/>
      <color rgb="FF3F3F76"/>
      <name val="Calibri"/>
      <family val="2"/>
      <scheme val="minor"/>
    </font>
    <font>
      <sz val="11"/>
      <color rgb="FFFF0000"/>
      <name val="Calibri"/>
      <family val="2"/>
      <scheme val="minor"/>
    </font>
    <font>
      <sz val="10"/>
      <color theme="1"/>
      <name val="Calibri"/>
      <family val="2"/>
      <scheme val="minor"/>
    </font>
    <font>
      <b/>
      <sz val="9"/>
      <color indexed="81"/>
      <name val="Tahoma"/>
      <family val="2"/>
    </font>
    <font>
      <sz val="9"/>
      <color indexed="81"/>
      <name val="Tahoma"/>
      <family val="2"/>
    </font>
    <font>
      <sz val="10"/>
      <color indexed="8"/>
      <name val="Arial"/>
      <family val="2"/>
    </font>
    <font>
      <sz val="10"/>
      <color theme="1"/>
      <name val="Arial"/>
      <family val="2"/>
    </font>
    <font>
      <sz val="10"/>
      <name val="Arial"/>
      <family val="2"/>
    </font>
    <font>
      <sz val="9"/>
      <color theme="1"/>
      <name val="Arial"/>
      <family val="2"/>
    </font>
    <font>
      <sz val="11"/>
      <color theme="1"/>
      <name val="Arial"/>
      <family val="2"/>
    </font>
    <font>
      <b/>
      <sz val="9"/>
      <color theme="1"/>
      <name val="Arial"/>
      <family val="2"/>
    </font>
    <font>
      <b/>
      <i/>
      <sz val="9"/>
      <color theme="1"/>
      <name val="Arial"/>
      <family val="2"/>
    </font>
    <font>
      <sz val="11"/>
      <color theme="1"/>
      <name val="Calibri Light"/>
      <family val="2"/>
      <scheme val="major"/>
    </font>
    <font>
      <sz val="9"/>
      <color rgb="FFFF0000"/>
      <name val="Arial"/>
      <family val="2"/>
    </font>
    <font>
      <b/>
      <sz val="11"/>
      <color rgb="FFFA7D00"/>
      <name val="Calibri"/>
      <family val="2"/>
      <scheme val="minor"/>
    </font>
    <font>
      <i/>
      <sz val="9"/>
      <color theme="1"/>
      <name val="Arial"/>
      <family val="2"/>
    </font>
    <font>
      <b/>
      <sz val="12"/>
      <color theme="1"/>
      <name val="Arial"/>
      <family val="2"/>
    </font>
    <font>
      <b/>
      <sz val="9"/>
      <name val="Arial"/>
      <family val="2"/>
    </font>
    <font>
      <sz val="9"/>
      <name val="Arial"/>
      <family val="2"/>
    </font>
    <font>
      <b/>
      <sz val="11"/>
      <color theme="1"/>
      <name val="Calibri"/>
      <family val="2"/>
      <scheme val="minor"/>
    </font>
    <font>
      <b/>
      <sz val="9"/>
      <color theme="0"/>
      <name val="Arial"/>
      <family val="2"/>
    </font>
    <font>
      <b/>
      <sz val="10"/>
      <color theme="0"/>
      <name val="Arial"/>
      <family val="2"/>
    </font>
    <font>
      <b/>
      <sz val="14"/>
      <color rgb="FFD70000"/>
      <name val="Arial"/>
      <family val="2"/>
    </font>
    <font>
      <sz val="12"/>
      <color theme="1"/>
      <name val="Arial"/>
      <family val="2"/>
    </font>
    <font>
      <b/>
      <sz val="12"/>
      <color theme="0"/>
      <name val="Arial"/>
      <family val="2"/>
    </font>
    <font>
      <sz val="12"/>
      <color theme="1"/>
      <name val="Calibri"/>
      <family val="2"/>
      <scheme val="minor"/>
    </font>
    <font>
      <sz val="9"/>
      <color theme="0"/>
      <name val="Arial"/>
      <family val="2"/>
    </font>
    <font>
      <i/>
      <sz val="9"/>
      <color theme="0"/>
      <name val="Arial"/>
      <family val="2"/>
    </font>
    <font>
      <sz val="11"/>
      <name val="Calibri"/>
      <family val="2"/>
      <scheme val="minor"/>
    </font>
    <font>
      <i/>
      <sz val="9"/>
      <name val="Arial"/>
      <family val="2"/>
    </font>
    <font>
      <sz val="10"/>
      <color theme="0"/>
      <name val="Arial"/>
      <family val="2"/>
    </font>
    <font>
      <sz val="14"/>
      <color theme="3"/>
      <name val="Calibri"/>
      <family val="2"/>
      <scheme val="minor"/>
    </font>
    <font>
      <sz val="10"/>
      <color rgb="FF9C6500"/>
      <name val="Arial"/>
      <family val="2"/>
    </font>
    <font>
      <sz val="10"/>
      <color rgb="FF3F3F76"/>
      <name val="Arial"/>
      <family val="2"/>
    </font>
    <font>
      <b/>
      <sz val="10"/>
      <color rgb="FFFA7D00"/>
      <name val="Arial"/>
      <family val="2"/>
    </font>
    <font>
      <i/>
      <sz val="10"/>
      <color rgb="FF7F7F7F"/>
      <name val="Arial"/>
      <family val="2"/>
    </font>
    <font>
      <b/>
      <sz val="11"/>
      <name val="Calibri"/>
      <family val="2"/>
      <scheme val="minor"/>
    </font>
    <font>
      <sz val="10"/>
      <name val="Times New Roman"/>
      <family val="1"/>
    </font>
    <font>
      <sz val="9"/>
      <name val="Helvetica"/>
    </font>
    <font>
      <sz val="9"/>
      <name val="Helvetica"/>
      <family val="2"/>
    </font>
    <font>
      <sz val="11"/>
      <color rgb="FFFF0000"/>
      <name val="Arial"/>
      <family val="2"/>
    </font>
    <font>
      <u/>
      <sz val="11"/>
      <color theme="10"/>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2F2F2"/>
      </patternFill>
    </fill>
    <fill>
      <patternFill patternType="solid">
        <fgColor rgb="FFD2D2D2"/>
        <bgColor indexed="64"/>
      </patternFill>
    </fill>
    <fill>
      <patternFill patternType="solid">
        <fgColor rgb="FFD70000"/>
        <bgColor indexed="64"/>
      </patternFill>
    </fill>
    <fill>
      <patternFill patternType="solid">
        <fgColor rgb="FFFFEB9C"/>
      </patternFill>
    </fill>
    <fill>
      <patternFill patternType="solid">
        <fgColor theme="2" tint="-9.9978637043366805E-2"/>
        <bgColor indexed="64"/>
      </patternFill>
    </fill>
  </fills>
  <borders count="7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rgb="FF7F7F7F"/>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rgb="FF7F7F7F"/>
      </left>
      <right style="medium">
        <color indexed="64"/>
      </right>
      <top style="medium">
        <color indexed="64"/>
      </top>
      <bottom style="medium">
        <color indexed="64"/>
      </bottom>
      <diagonal/>
    </border>
    <border>
      <left style="thin">
        <color rgb="FF7F7F7F"/>
      </left>
      <right style="medium">
        <color indexed="64"/>
      </right>
      <top style="medium">
        <color indexed="64"/>
      </top>
      <bottom style="thin">
        <color rgb="FF7F7F7F"/>
      </bottom>
      <diagonal/>
    </border>
    <border>
      <left style="thin">
        <color rgb="FF7F7F7F"/>
      </left>
      <right style="medium">
        <color indexed="64"/>
      </right>
      <top style="thin">
        <color rgb="FF7F7F7F"/>
      </top>
      <bottom style="thin">
        <color rgb="FF7F7F7F"/>
      </bottom>
      <diagonal/>
    </border>
    <border>
      <left style="thin">
        <color rgb="FF7F7F7F"/>
      </left>
      <right style="medium">
        <color indexed="64"/>
      </right>
      <top style="thin">
        <color rgb="FF7F7F7F"/>
      </top>
      <bottom/>
      <diagonal/>
    </border>
    <border>
      <left style="medium">
        <color indexed="64"/>
      </left>
      <right style="thin">
        <color rgb="FF7F7F7F"/>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style="thin">
        <color rgb="FF7F7F7F"/>
      </right>
      <top style="thin">
        <color rgb="FF7F7F7F"/>
      </top>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bottom style="thin">
        <color rgb="FF7F7F7F"/>
      </bottom>
      <diagonal/>
    </border>
    <border>
      <left/>
      <right style="thin">
        <color rgb="FF7F7F7F"/>
      </right>
      <top/>
      <bottom style="thin">
        <color rgb="FF7F7F7F"/>
      </bottom>
      <diagonal/>
    </border>
    <border>
      <left/>
      <right style="thin">
        <color rgb="FF7F7F7F"/>
      </right>
      <top style="thin">
        <color rgb="FF7F7F7F"/>
      </top>
      <bottom style="medium">
        <color indexed="64"/>
      </bottom>
      <diagonal/>
    </border>
    <border>
      <left style="medium">
        <color indexed="64"/>
      </left>
      <right style="thin">
        <color rgb="FF7F7F7F"/>
      </right>
      <top style="thin">
        <color rgb="FF7F7F7F"/>
      </top>
      <bottom style="medium">
        <color indexed="64"/>
      </bottom>
      <diagonal/>
    </border>
    <border>
      <left/>
      <right style="thin">
        <color rgb="FF7F7F7F"/>
      </right>
      <top style="medium">
        <color indexed="64"/>
      </top>
      <bottom style="thin">
        <color rgb="FF7F7F7F"/>
      </bottom>
      <diagonal/>
    </border>
    <border>
      <left/>
      <right style="thin">
        <color rgb="FF7F7F7F"/>
      </right>
      <top/>
      <bottom/>
      <diagonal/>
    </border>
    <border>
      <left style="thin">
        <color rgb="FF7F7F7F"/>
      </left>
      <right/>
      <top style="medium">
        <color indexed="64"/>
      </top>
      <bottom style="thin">
        <color rgb="FF7F7F7F"/>
      </bottom>
      <diagonal/>
    </border>
    <border>
      <left style="thin">
        <color rgb="FF7F7F7F"/>
      </left>
      <right/>
      <top style="thin">
        <color rgb="FF7F7F7F"/>
      </top>
      <bottom style="medium">
        <color indexed="64"/>
      </bottom>
      <diagonal/>
    </border>
    <border>
      <left style="medium">
        <color indexed="64"/>
      </left>
      <right style="thin">
        <color rgb="FF7F7F7F"/>
      </right>
      <top/>
      <bottom/>
      <diagonal/>
    </border>
    <border>
      <left style="thin">
        <color rgb="FF7F7F7F"/>
      </left>
      <right style="medium">
        <color indexed="64"/>
      </right>
      <top/>
      <bottom/>
      <diagonal/>
    </border>
    <border>
      <left style="medium">
        <color indexed="64"/>
      </left>
      <right style="thin">
        <color rgb="FF7F7F7F"/>
      </right>
      <top/>
      <bottom style="medium">
        <color indexed="64"/>
      </bottom>
      <diagonal/>
    </border>
    <border>
      <left style="thin">
        <color rgb="FF7F7F7F"/>
      </left>
      <right style="medium">
        <color indexed="64"/>
      </right>
      <top/>
      <bottom style="medium">
        <color indexed="64"/>
      </bottom>
      <diagonal/>
    </border>
    <border>
      <left/>
      <right style="thin">
        <color rgb="FF7F7F7F"/>
      </right>
      <top style="thin">
        <color rgb="FF7F7F7F"/>
      </top>
      <bottom style="thin">
        <color rgb="FF7F7F7F"/>
      </bottom>
      <diagonal/>
    </border>
    <border>
      <left style="medium">
        <color indexed="64"/>
      </left>
      <right style="thin">
        <color rgb="FF7F7F7F"/>
      </right>
      <top/>
      <bottom style="thin">
        <color rgb="FF7F7F7F"/>
      </bottom>
      <diagonal/>
    </border>
    <border>
      <left/>
      <right style="thin">
        <color rgb="FF7F7F7F"/>
      </right>
      <top/>
      <bottom style="medium">
        <color indexed="64"/>
      </bottom>
      <diagonal/>
    </border>
    <border>
      <left style="thin">
        <color indexed="64"/>
      </left>
      <right style="medium">
        <color indexed="64"/>
      </right>
      <top style="medium">
        <color indexed="64"/>
      </top>
      <bottom style="thin">
        <color rgb="FF7F7F7F"/>
      </bottom>
      <diagonal/>
    </border>
    <border>
      <left style="thin">
        <color indexed="64"/>
      </left>
      <right style="medium">
        <color indexed="64"/>
      </right>
      <top style="thin">
        <color rgb="FF7F7F7F"/>
      </top>
      <bottom style="medium">
        <color indexed="64"/>
      </bottom>
      <diagonal/>
    </border>
    <border>
      <left style="thin">
        <color indexed="64"/>
      </left>
      <right/>
      <top style="medium">
        <color indexed="64"/>
      </top>
      <bottom style="thin">
        <color rgb="FF7F7F7F"/>
      </bottom>
      <diagonal/>
    </border>
    <border>
      <left style="thin">
        <color indexed="64"/>
      </left>
      <right/>
      <top style="thin">
        <color rgb="FF7F7F7F"/>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top/>
      <bottom style="thin">
        <color rgb="FF7F7F7F"/>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rgb="FF7F7F7F"/>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rgb="FF7F7F7F"/>
      </left>
      <right/>
      <top style="thin">
        <color rgb="FF7F7F7F"/>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28">
    <xf numFmtId="0" fontId="0" fillId="0" borderId="0"/>
    <xf numFmtId="9" fontId="1" fillId="0" borderId="0" applyFont="0" applyFill="0" applyBorder="0" applyAlignment="0" applyProtection="0"/>
    <xf numFmtId="0" fontId="2" fillId="2" borderId="1" applyNumberFormat="0" applyAlignment="0" applyProtection="0"/>
    <xf numFmtId="0" fontId="7" fillId="0" borderId="0" applyFill="0" applyProtection="0"/>
    <xf numFmtId="0" fontId="1" fillId="0" borderId="0"/>
    <xf numFmtId="9" fontId="9" fillId="0" borderId="0" applyFont="0" applyFill="0" applyBorder="0" applyAlignment="0" applyProtection="0"/>
    <xf numFmtId="0" fontId="14" fillId="0" borderId="0"/>
    <xf numFmtId="0" fontId="16" fillId="4" borderId="1" applyNumberFormat="0" applyAlignment="0" applyProtection="0"/>
    <xf numFmtId="0" fontId="33" fillId="0" borderId="0" applyNumberFormat="0"/>
    <xf numFmtId="0" fontId="1" fillId="0" borderId="0"/>
    <xf numFmtId="0" fontId="21" fillId="0" borderId="0">
      <alignment horizontal="center"/>
    </xf>
    <xf numFmtId="0" fontId="34" fillId="7" borderId="0" applyNumberFormat="0" applyBorder="0" applyAlignment="0" applyProtection="0"/>
    <xf numFmtId="0" fontId="35" fillId="2" borderId="1" applyNumberFormat="0" applyAlignment="0" applyProtection="0"/>
    <xf numFmtId="0" fontId="36" fillId="4" borderId="1" applyNumberFormat="0" applyAlignment="0" applyProtection="0"/>
    <xf numFmtId="0" fontId="37" fillId="0" borderId="0" applyNumberFormat="0" applyFill="0" applyBorder="0" applyAlignment="0" applyProtection="0"/>
    <xf numFmtId="9" fontId="1" fillId="0" borderId="0" applyFont="0" applyFill="0" applyBorder="0" applyAlignment="0" applyProtection="0"/>
    <xf numFmtId="0" fontId="9" fillId="0" borderId="0"/>
    <xf numFmtId="0" fontId="9" fillId="0" borderId="0"/>
    <xf numFmtId="9" fontId="1" fillId="0" borderId="0" applyFont="0" applyFill="0" applyBorder="0" applyAlignment="0" applyProtection="0"/>
    <xf numFmtId="0" fontId="9" fillId="0" borderId="0"/>
    <xf numFmtId="0" fontId="9" fillId="0" borderId="0"/>
    <xf numFmtId="0" fontId="39" fillId="0" borderId="0"/>
    <xf numFmtId="0" fontId="39" fillId="0" borderId="0"/>
    <xf numFmtId="0" fontId="9" fillId="0" borderId="0"/>
    <xf numFmtId="0" fontId="40" fillId="0" borderId="0"/>
    <xf numFmtId="9" fontId="41" fillId="0" borderId="0" applyFont="0" applyFill="0" applyBorder="0" applyAlignment="0" applyProtection="0"/>
    <xf numFmtId="167" fontId="1" fillId="0" borderId="0" applyFont="0" applyFill="0" applyBorder="0" applyAlignment="0" applyProtection="0"/>
    <xf numFmtId="0" fontId="43" fillId="0" borderId="0" applyNumberFormat="0" applyFill="0" applyBorder="0" applyAlignment="0" applyProtection="0"/>
  </cellStyleXfs>
  <cellXfs count="631">
    <xf numFmtId="0" fontId="0" fillId="0" borderId="0" xfId="0"/>
    <xf numFmtId="165" fontId="10" fillId="3" borderId="5" xfId="1" applyNumberFormat="1" applyFont="1" applyFill="1" applyBorder="1"/>
    <xf numFmtId="165" fontId="10" fillId="3" borderId="6" xfId="1" applyNumberFormat="1" applyFont="1" applyFill="1" applyBorder="1"/>
    <xf numFmtId="165" fontId="10" fillId="3" borderId="0" xfId="1" applyNumberFormat="1" applyFont="1" applyFill="1" applyBorder="1"/>
    <xf numFmtId="2" fontId="10" fillId="3" borderId="2" xfId="3" applyNumberFormat="1" applyFont="1" applyFill="1" applyBorder="1"/>
    <xf numFmtId="2" fontId="12" fillId="3" borderId="2" xfId="3" applyNumberFormat="1" applyFont="1" applyFill="1" applyBorder="1"/>
    <xf numFmtId="2" fontId="12" fillId="3" borderId="4" xfId="3" applyNumberFormat="1" applyFont="1" applyFill="1" applyBorder="1"/>
    <xf numFmtId="2" fontId="10" fillId="3" borderId="5" xfId="3" applyNumberFormat="1" applyFont="1" applyFill="1" applyBorder="1"/>
    <xf numFmtId="2" fontId="10" fillId="3" borderId="6" xfId="3" applyNumberFormat="1" applyFont="1" applyFill="1" applyBorder="1"/>
    <xf numFmtId="2" fontId="10" fillId="3" borderId="11" xfId="3" applyNumberFormat="1" applyFont="1" applyFill="1" applyBorder="1"/>
    <xf numFmtId="2" fontId="10" fillId="3" borderId="8" xfId="3" applyNumberFormat="1" applyFont="1" applyFill="1" applyBorder="1"/>
    <xf numFmtId="2" fontId="10" fillId="3" borderId="10" xfId="3" applyNumberFormat="1" applyFont="1" applyFill="1" applyBorder="1"/>
    <xf numFmtId="2" fontId="10" fillId="3" borderId="7" xfId="3" applyNumberFormat="1" applyFont="1" applyFill="1" applyBorder="1"/>
    <xf numFmtId="2" fontId="10" fillId="3" borderId="0" xfId="3" applyNumberFormat="1" applyFont="1" applyFill="1" applyBorder="1"/>
    <xf numFmtId="0" fontId="0" fillId="3" borderId="0" xfId="0" applyFill="1"/>
    <xf numFmtId="0" fontId="0" fillId="3" borderId="0" xfId="0" applyFill="1" applyBorder="1"/>
    <xf numFmtId="2" fontId="12" fillId="3" borderId="3" xfId="3" applyNumberFormat="1" applyFont="1" applyFill="1" applyBorder="1"/>
    <xf numFmtId="0" fontId="10" fillId="3" borderId="10" xfId="0" applyFont="1" applyFill="1" applyBorder="1"/>
    <xf numFmtId="0" fontId="10" fillId="3" borderId="7" xfId="0" applyFont="1" applyFill="1" applyBorder="1"/>
    <xf numFmtId="0" fontId="10" fillId="3" borderId="2" xfId="0" applyFont="1" applyFill="1" applyBorder="1"/>
    <xf numFmtId="0" fontId="10" fillId="3" borderId="5" xfId="0" applyFont="1" applyFill="1" applyBorder="1"/>
    <xf numFmtId="0" fontId="12" fillId="3" borderId="2" xfId="0" applyFont="1" applyFill="1" applyBorder="1"/>
    <xf numFmtId="0" fontId="13" fillId="3" borderId="2" xfId="0" applyFont="1" applyFill="1" applyBorder="1"/>
    <xf numFmtId="0" fontId="10" fillId="3" borderId="19" xfId="0" applyFont="1" applyFill="1" applyBorder="1"/>
    <xf numFmtId="0" fontId="11" fillId="3" borderId="0" xfId="0" applyFont="1" applyFill="1"/>
    <xf numFmtId="0" fontId="12" fillId="3" borderId="3" xfId="0" applyFont="1" applyFill="1" applyBorder="1"/>
    <xf numFmtId="0" fontId="12" fillId="3" borderId="4" xfId="0" applyFont="1" applyFill="1" applyBorder="1"/>
    <xf numFmtId="0" fontId="18" fillId="3" borderId="0" xfId="0" applyFont="1" applyFill="1"/>
    <xf numFmtId="0" fontId="10" fillId="3" borderId="0" xfId="0" applyFont="1" applyFill="1"/>
    <xf numFmtId="0" fontId="4" fillId="3" borderId="0" xfId="0" applyFont="1" applyFill="1"/>
    <xf numFmtId="0" fontId="12" fillId="3" borderId="0" xfId="0" applyFont="1" applyFill="1"/>
    <xf numFmtId="0" fontId="10" fillId="3" borderId="0" xfId="0" applyFont="1" applyFill="1" applyBorder="1"/>
    <xf numFmtId="0" fontId="10" fillId="3" borderId="0" xfId="0" applyFont="1" applyFill="1" applyAlignment="1">
      <alignment horizontal="center"/>
    </xf>
    <xf numFmtId="165" fontId="10" fillId="3" borderId="28" xfId="2" applyNumberFormat="1" applyFont="1" applyFill="1" applyBorder="1" applyAlignment="1">
      <alignment horizontal="center"/>
    </xf>
    <xf numFmtId="165" fontId="10" fillId="3" borderId="25" xfId="2" applyNumberFormat="1" applyFont="1" applyFill="1" applyBorder="1" applyAlignment="1">
      <alignment horizontal="center"/>
    </xf>
    <xf numFmtId="165" fontId="10" fillId="3" borderId="37" xfId="2" applyNumberFormat="1" applyFont="1" applyFill="1" applyBorder="1" applyAlignment="1">
      <alignment horizontal="center"/>
    </xf>
    <xf numFmtId="165" fontId="10" fillId="3" borderId="29" xfId="2" applyNumberFormat="1" applyFont="1" applyFill="1" applyBorder="1" applyAlignment="1">
      <alignment horizontal="center"/>
    </xf>
    <xf numFmtId="165" fontId="10" fillId="3" borderId="26" xfId="2" applyNumberFormat="1" applyFont="1" applyFill="1" applyBorder="1" applyAlignment="1">
      <alignment horizontal="center"/>
    </xf>
    <xf numFmtId="165" fontId="10" fillId="3" borderId="45" xfId="2" applyNumberFormat="1" applyFont="1" applyFill="1" applyBorder="1" applyAlignment="1">
      <alignment horizontal="center"/>
    </xf>
    <xf numFmtId="165" fontId="10" fillId="3" borderId="36" xfId="2" applyNumberFormat="1" applyFont="1" applyFill="1" applyBorder="1" applyAlignment="1">
      <alignment horizontal="center"/>
    </xf>
    <xf numFmtId="165" fontId="10" fillId="3" borderId="32" xfId="2" applyNumberFormat="1" applyFont="1" applyFill="1" applyBorder="1" applyAlignment="1">
      <alignment horizontal="center"/>
    </xf>
    <xf numFmtId="165" fontId="10" fillId="3" borderId="35" xfId="2" applyNumberFormat="1" applyFont="1" applyFill="1" applyBorder="1" applyAlignment="1">
      <alignment horizontal="center"/>
    </xf>
    <xf numFmtId="2" fontId="10" fillId="3" borderId="28" xfId="2" applyNumberFormat="1" applyFont="1" applyFill="1" applyBorder="1" applyAlignment="1">
      <alignment horizontal="center"/>
    </xf>
    <xf numFmtId="2" fontId="10" fillId="3" borderId="25" xfId="2" applyNumberFormat="1" applyFont="1" applyFill="1" applyBorder="1" applyAlignment="1">
      <alignment horizontal="center"/>
    </xf>
    <xf numFmtId="2" fontId="10" fillId="3" borderId="29" xfId="2" applyNumberFormat="1" applyFont="1" applyFill="1" applyBorder="1" applyAlignment="1">
      <alignment horizontal="center"/>
    </xf>
    <xf numFmtId="2" fontId="10" fillId="3" borderId="26" xfId="2" applyNumberFormat="1" applyFont="1" applyFill="1" applyBorder="1" applyAlignment="1">
      <alignment horizontal="center"/>
    </xf>
    <xf numFmtId="2" fontId="10" fillId="3" borderId="36" xfId="2" applyNumberFormat="1" applyFont="1" applyFill="1" applyBorder="1" applyAlignment="1">
      <alignment horizontal="center"/>
    </xf>
    <xf numFmtId="2" fontId="10" fillId="3" borderId="32" xfId="2" applyNumberFormat="1" applyFont="1" applyFill="1" applyBorder="1" applyAlignment="1">
      <alignment horizontal="center"/>
    </xf>
    <xf numFmtId="0" fontId="17" fillId="3" borderId="23" xfId="0" applyFont="1" applyFill="1" applyBorder="1" applyAlignment="1"/>
    <xf numFmtId="0" fontId="17" fillId="3" borderId="16" xfId="0" applyFont="1" applyFill="1" applyBorder="1" applyAlignment="1"/>
    <xf numFmtId="0" fontId="12" fillId="3" borderId="19" xfId="0" applyFont="1" applyFill="1" applyBorder="1"/>
    <xf numFmtId="0" fontId="12" fillId="3" borderId="0" xfId="0" applyFont="1" applyFill="1" applyAlignment="1">
      <alignment vertical="center"/>
    </xf>
    <xf numFmtId="0" fontId="10" fillId="3" borderId="0" xfId="0" applyFont="1" applyFill="1" applyAlignment="1">
      <alignment vertical="center"/>
    </xf>
    <xf numFmtId="0" fontId="0" fillId="3" borderId="0" xfId="0" applyFill="1" applyAlignment="1">
      <alignment vertical="center"/>
    </xf>
    <xf numFmtId="165" fontId="10" fillId="3" borderId="30" xfId="2" applyNumberFormat="1" applyFont="1" applyFill="1" applyBorder="1" applyAlignment="1">
      <alignment horizontal="center"/>
    </xf>
    <xf numFmtId="165" fontId="10" fillId="3" borderId="27" xfId="2" applyNumberFormat="1" applyFont="1" applyFill="1" applyBorder="1" applyAlignment="1">
      <alignment horizontal="center"/>
    </xf>
    <xf numFmtId="2" fontId="10" fillId="3" borderId="31" xfId="2" applyNumberFormat="1" applyFont="1" applyFill="1" applyBorder="1" applyAlignment="1">
      <alignment horizontal="center"/>
    </xf>
    <xf numFmtId="2" fontId="10" fillId="3" borderId="24" xfId="2" applyNumberFormat="1" applyFont="1" applyFill="1" applyBorder="1" applyAlignment="1">
      <alignment horizontal="center"/>
    </xf>
    <xf numFmtId="165" fontId="10" fillId="3" borderId="41" xfId="2" applyNumberFormat="1" applyFont="1" applyFill="1" applyBorder="1" applyAlignment="1">
      <alignment horizontal="center"/>
    </xf>
    <xf numFmtId="165" fontId="10" fillId="3" borderId="21" xfId="2" applyNumberFormat="1" applyFont="1" applyFill="1" applyBorder="1" applyAlignment="1">
      <alignment horizontal="center"/>
    </xf>
    <xf numFmtId="0" fontId="15" fillId="3" borderId="0" xfId="0" applyFont="1" applyFill="1"/>
    <xf numFmtId="0" fontId="12" fillId="3" borderId="2" xfId="0" applyFont="1" applyFill="1" applyBorder="1" applyAlignment="1">
      <alignment horizontal="center" vertical="center"/>
    </xf>
    <xf numFmtId="0" fontId="10" fillId="3" borderId="0" xfId="0" applyFont="1" applyFill="1" applyAlignment="1">
      <alignment horizontal="center" vertical="center"/>
    </xf>
    <xf numFmtId="0" fontId="12" fillId="3" borderId="0" xfId="0" applyFont="1" applyFill="1" applyAlignment="1">
      <alignment horizontal="center" vertical="center"/>
    </xf>
    <xf numFmtId="0" fontId="20" fillId="3" borderId="0" xfId="0" applyFont="1" applyFill="1"/>
    <xf numFmtId="165" fontId="10" fillId="3" borderId="31" xfId="1" applyNumberFormat="1" applyFont="1" applyFill="1" applyBorder="1" applyAlignment="1">
      <alignment horizontal="center"/>
    </xf>
    <xf numFmtId="165" fontId="10" fillId="3" borderId="3" xfId="1" applyNumberFormat="1" applyFont="1" applyFill="1" applyBorder="1" applyAlignment="1">
      <alignment horizontal="center"/>
    </xf>
    <xf numFmtId="0" fontId="17" fillId="3" borderId="0" xfId="0" applyFont="1" applyFill="1" applyAlignment="1">
      <alignment horizontal="center"/>
    </xf>
    <xf numFmtId="2" fontId="10" fillId="0" borderId="36" xfId="2" applyNumberFormat="1" applyFont="1" applyFill="1" applyBorder="1" applyAlignment="1">
      <alignment horizontal="center"/>
    </xf>
    <xf numFmtId="165" fontId="10" fillId="3" borderId="10" xfId="3" applyNumberFormat="1" applyFont="1" applyFill="1" applyBorder="1"/>
    <xf numFmtId="165" fontId="10" fillId="3" borderId="5" xfId="3" applyNumberFormat="1" applyFont="1" applyFill="1" applyBorder="1"/>
    <xf numFmtId="2" fontId="10" fillId="0" borderId="51" xfId="2" applyNumberFormat="1" applyFont="1" applyFill="1" applyBorder="1" applyAlignment="1">
      <alignment horizontal="center"/>
    </xf>
    <xf numFmtId="3" fontId="10" fillId="0" borderId="48" xfId="2" applyNumberFormat="1" applyFont="1" applyFill="1" applyBorder="1" applyAlignment="1">
      <alignment horizontal="center"/>
    </xf>
    <xf numFmtId="2" fontId="10" fillId="0" borderId="49" xfId="2" applyNumberFormat="1" applyFont="1" applyFill="1" applyBorder="1" applyAlignment="1">
      <alignment horizontal="center"/>
    </xf>
    <xf numFmtId="165" fontId="10" fillId="3" borderId="39" xfId="2" applyNumberFormat="1" applyFont="1" applyFill="1" applyBorder="1" applyAlignment="1">
      <alignment horizontal="center"/>
    </xf>
    <xf numFmtId="165" fontId="10" fillId="3" borderId="40" xfId="2" applyNumberFormat="1" applyFont="1" applyFill="1" applyBorder="1" applyAlignment="1">
      <alignment horizontal="center"/>
    </xf>
    <xf numFmtId="165" fontId="10" fillId="3" borderId="34" xfId="2" applyNumberFormat="1" applyFont="1" applyFill="1" applyBorder="1" applyAlignment="1">
      <alignment horizontal="center"/>
    </xf>
    <xf numFmtId="165" fontId="10" fillId="3" borderId="55" xfId="2" applyNumberFormat="1" applyFont="1" applyFill="1" applyBorder="1" applyAlignment="1">
      <alignment horizontal="center"/>
    </xf>
    <xf numFmtId="0" fontId="0" fillId="3" borderId="0" xfId="0" applyFill="1" applyAlignment="1">
      <alignment horizontal="center"/>
    </xf>
    <xf numFmtId="0" fontId="12" fillId="3" borderId="0" xfId="0" applyFont="1" applyFill="1" applyAlignment="1">
      <alignment horizontal="center"/>
    </xf>
    <xf numFmtId="9" fontId="10" fillId="3" borderId="36" xfId="1" applyNumberFormat="1" applyFont="1" applyFill="1" applyBorder="1" applyAlignment="1">
      <alignment horizontal="center"/>
    </xf>
    <xf numFmtId="9" fontId="10" fillId="3" borderId="32" xfId="1" applyNumberFormat="1" applyFont="1" applyFill="1" applyBorder="1" applyAlignment="1">
      <alignment horizontal="center"/>
    </xf>
    <xf numFmtId="9" fontId="10" fillId="3" borderId="35" xfId="1" applyNumberFormat="1" applyFont="1" applyFill="1" applyBorder="1" applyAlignment="1">
      <alignment horizontal="center"/>
    </xf>
    <xf numFmtId="9" fontId="10" fillId="3" borderId="46" xfId="1" applyNumberFormat="1" applyFont="1" applyFill="1" applyBorder="1" applyAlignment="1">
      <alignment horizontal="center"/>
    </xf>
    <xf numFmtId="9" fontId="10" fillId="3" borderId="55" xfId="1" applyNumberFormat="1" applyFont="1" applyFill="1" applyBorder="1" applyAlignment="1">
      <alignment horizontal="center"/>
    </xf>
    <xf numFmtId="9" fontId="10" fillId="3" borderId="33" xfId="1" applyNumberFormat="1" applyFont="1" applyFill="1" applyBorder="1" applyAlignment="1">
      <alignment horizontal="center"/>
    </xf>
    <xf numFmtId="9" fontId="10" fillId="3" borderId="34" xfId="1" applyNumberFormat="1" applyFont="1" applyFill="1" applyBorder="1" applyAlignment="1">
      <alignment horizontal="center"/>
    </xf>
    <xf numFmtId="0" fontId="0" fillId="3" borderId="0" xfId="0" applyFill="1" applyBorder="1" applyAlignment="1">
      <alignment horizontal="center"/>
    </xf>
    <xf numFmtId="0" fontId="10" fillId="3" borderId="11" xfId="0" applyFont="1" applyFill="1" applyBorder="1"/>
    <xf numFmtId="0" fontId="10" fillId="3" borderId="8" xfId="0" applyFont="1" applyFill="1" applyBorder="1"/>
    <xf numFmtId="0" fontId="10" fillId="3" borderId="3" xfId="0" applyFont="1" applyFill="1" applyBorder="1"/>
    <xf numFmtId="0" fontId="22" fillId="6" borderId="2" xfId="0" applyFont="1" applyFill="1" applyBorder="1"/>
    <xf numFmtId="0" fontId="23" fillId="6" borderId="2" xfId="0" applyFont="1" applyFill="1" applyBorder="1"/>
    <xf numFmtId="0" fontId="23" fillId="6" borderId="3" xfId="0" applyFont="1" applyFill="1" applyBorder="1"/>
    <xf numFmtId="165" fontId="10" fillId="5" borderId="28" xfId="2" applyNumberFormat="1" applyFont="1" applyFill="1" applyBorder="1" applyAlignment="1">
      <alignment horizontal="center"/>
    </xf>
    <xf numFmtId="165" fontId="10" fillId="5" borderId="25" xfId="2" applyNumberFormat="1" applyFont="1" applyFill="1" applyBorder="1" applyAlignment="1">
      <alignment horizontal="center"/>
    </xf>
    <xf numFmtId="165" fontId="10" fillId="5" borderId="29" xfId="2" applyNumberFormat="1" applyFont="1" applyFill="1" applyBorder="1" applyAlignment="1">
      <alignment horizontal="center"/>
    </xf>
    <xf numFmtId="165" fontId="10" fillId="5" borderId="26" xfId="2" applyNumberFormat="1" applyFont="1" applyFill="1" applyBorder="1" applyAlignment="1">
      <alignment horizontal="center"/>
    </xf>
    <xf numFmtId="165" fontId="10" fillId="5" borderId="30" xfId="2" applyNumberFormat="1" applyFont="1" applyFill="1" applyBorder="1" applyAlignment="1">
      <alignment horizontal="center"/>
    </xf>
    <xf numFmtId="165" fontId="10" fillId="5" borderId="27" xfId="2" applyNumberFormat="1" applyFont="1" applyFill="1" applyBorder="1" applyAlignment="1">
      <alignment horizontal="center"/>
    </xf>
    <xf numFmtId="165" fontId="10" fillId="5" borderId="36" xfId="2" applyNumberFormat="1" applyFont="1" applyFill="1" applyBorder="1" applyAlignment="1">
      <alignment horizontal="center"/>
    </xf>
    <xf numFmtId="165" fontId="10" fillId="5" borderId="32" xfId="2" applyNumberFormat="1" applyFont="1" applyFill="1" applyBorder="1" applyAlignment="1">
      <alignment horizontal="center"/>
    </xf>
    <xf numFmtId="2" fontId="10" fillId="5" borderId="28" xfId="2" applyNumberFormat="1" applyFont="1" applyFill="1" applyBorder="1" applyAlignment="1">
      <alignment horizontal="center"/>
    </xf>
    <xf numFmtId="2" fontId="10" fillId="5" borderId="25" xfId="2" applyNumberFormat="1" applyFont="1" applyFill="1" applyBorder="1" applyAlignment="1">
      <alignment horizontal="center"/>
    </xf>
    <xf numFmtId="2" fontId="10" fillId="5" borderId="36" xfId="2" applyNumberFormat="1" applyFont="1" applyFill="1" applyBorder="1" applyAlignment="1">
      <alignment horizontal="center"/>
    </xf>
    <xf numFmtId="2" fontId="10" fillId="5" borderId="32" xfId="2" applyNumberFormat="1" applyFont="1" applyFill="1" applyBorder="1" applyAlignment="1">
      <alignment horizontal="center"/>
    </xf>
    <xf numFmtId="2" fontId="10" fillId="5" borderId="31" xfId="2" applyNumberFormat="1" applyFont="1" applyFill="1" applyBorder="1" applyAlignment="1">
      <alignment horizontal="center"/>
    </xf>
    <xf numFmtId="2" fontId="10" fillId="5" borderId="24" xfId="2" applyNumberFormat="1" applyFont="1" applyFill="1" applyBorder="1" applyAlignment="1">
      <alignment horizontal="center"/>
    </xf>
    <xf numFmtId="0" fontId="24" fillId="3" borderId="0" xfId="0" applyFont="1" applyFill="1"/>
    <xf numFmtId="0" fontId="25" fillId="3" borderId="0" xfId="0" applyFont="1" applyFill="1"/>
    <xf numFmtId="0" fontId="27" fillId="3" borderId="0" xfId="0" applyFont="1" applyFill="1"/>
    <xf numFmtId="165" fontId="10" fillId="5" borderId="46" xfId="2" applyNumberFormat="1" applyFont="1" applyFill="1" applyBorder="1" applyAlignment="1">
      <alignment horizontal="center"/>
    </xf>
    <xf numFmtId="165" fontId="10" fillId="5" borderId="33" xfId="2" applyNumberFormat="1" applyFont="1" applyFill="1" applyBorder="1" applyAlignment="1">
      <alignment horizontal="center"/>
    </xf>
    <xf numFmtId="0" fontId="26" fillId="6" borderId="2" xfId="0" applyFont="1" applyFill="1" applyBorder="1"/>
    <xf numFmtId="0" fontId="26" fillId="6" borderId="3" xfId="0" applyFont="1" applyFill="1" applyBorder="1"/>
    <xf numFmtId="0" fontId="26" fillId="6" borderId="2" xfId="0" applyFont="1" applyFill="1" applyBorder="1" applyAlignment="1">
      <alignment horizontal="center"/>
    </xf>
    <xf numFmtId="0" fontId="26" fillId="6" borderId="4" xfId="0" applyFont="1" applyFill="1" applyBorder="1" applyAlignment="1">
      <alignment horizontal="center"/>
    </xf>
    <xf numFmtId="0" fontId="28" fillId="6" borderId="11" xfId="0" applyFont="1" applyFill="1" applyBorder="1"/>
    <xf numFmtId="0" fontId="28" fillId="6" borderId="0" xfId="0" applyFont="1" applyFill="1" applyBorder="1"/>
    <xf numFmtId="0" fontId="28" fillId="6" borderId="8" xfId="0" applyFont="1" applyFill="1" applyBorder="1"/>
    <xf numFmtId="0" fontId="10" fillId="3" borderId="3" xfId="0" applyFont="1" applyFill="1" applyBorder="1" applyAlignment="1">
      <alignment vertical="center"/>
    </xf>
    <xf numFmtId="0" fontId="10" fillId="3" borderId="4" xfId="0" applyFont="1" applyFill="1" applyBorder="1" applyAlignment="1">
      <alignment vertical="center"/>
    </xf>
    <xf numFmtId="0" fontId="12" fillId="3" borderId="2" xfId="0" applyFont="1" applyFill="1" applyBorder="1" applyAlignment="1">
      <alignment horizontal="center" vertical="center" wrapText="1"/>
    </xf>
    <xf numFmtId="0" fontId="10" fillId="3" borderId="12" xfId="0" applyFont="1" applyFill="1" applyBorder="1" applyAlignment="1">
      <alignment horizontal="left"/>
    </xf>
    <xf numFmtId="0" fontId="10" fillId="3" borderId="9" xfId="0" applyFont="1" applyFill="1" applyBorder="1" applyAlignment="1">
      <alignment horizontal="left"/>
    </xf>
    <xf numFmtId="0" fontId="10" fillId="3" borderId="6" xfId="0" applyFont="1" applyFill="1" applyBorder="1"/>
    <xf numFmtId="0" fontId="10" fillId="3" borderId="9" xfId="0" applyFont="1" applyFill="1" applyBorder="1"/>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xf>
    <xf numFmtId="0" fontId="10" fillId="3" borderId="12" xfId="0" applyFont="1" applyFill="1" applyBorder="1"/>
    <xf numFmtId="0" fontId="10" fillId="5" borderId="1" xfId="2" applyFont="1" applyFill="1"/>
    <xf numFmtId="0" fontId="10" fillId="3" borderId="1" xfId="2" applyFont="1" applyFill="1"/>
    <xf numFmtId="2" fontId="10" fillId="5" borderId="10" xfId="3" applyNumberFormat="1" applyFont="1" applyFill="1" applyBorder="1"/>
    <xf numFmtId="2" fontId="10" fillId="5" borderId="5" xfId="3" applyNumberFormat="1" applyFont="1" applyFill="1" applyBorder="1"/>
    <xf numFmtId="2" fontId="10" fillId="5" borderId="12" xfId="3" applyNumberFormat="1" applyFont="1" applyFill="1" applyBorder="1"/>
    <xf numFmtId="2" fontId="10" fillId="5" borderId="6" xfId="3" applyNumberFormat="1" applyFont="1" applyFill="1" applyBorder="1"/>
    <xf numFmtId="2" fontId="13" fillId="3" borderId="2" xfId="3" applyNumberFormat="1" applyFont="1" applyFill="1" applyBorder="1"/>
    <xf numFmtId="0" fontId="22" fillId="6" borderId="4" xfId="0" applyFont="1" applyFill="1" applyBorder="1"/>
    <xf numFmtId="2" fontId="10" fillId="5" borderId="0" xfId="3" applyNumberFormat="1" applyFont="1" applyFill="1" applyBorder="1"/>
    <xf numFmtId="9" fontId="12" fillId="3" borderId="2" xfId="0" applyNumberFormat="1" applyFont="1" applyFill="1" applyBorder="1"/>
    <xf numFmtId="9" fontId="12" fillId="3" borderId="3" xfId="0" applyNumberFormat="1" applyFont="1" applyFill="1" applyBorder="1"/>
    <xf numFmtId="9" fontId="12" fillId="3" borderId="4" xfId="0" applyNumberFormat="1" applyFont="1" applyFill="1" applyBorder="1"/>
    <xf numFmtId="0" fontId="12" fillId="3" borderId="0" xfId="0" applyFont="1" applyFill="1" applyBorder="1"/>
    <xf numFmtId="9" fontId="12" fillId="3" borderId="0" xfId="0" applyNumberFormat="1" applyFont="1" applyFill="1" applyBorder="1"/>
    <xf numFmtId="2" fontId="12" fillId="3" borderId="2" xfId="0" applyNumberFormat="1" applyFont="1" applyFill="1" applyBorder="1"/>
    <xf numFmtId="2" fontId="12" fillId="3" borderId="3" xfId="0" applyNumberFormat="1" applyFont="1" applyFill="1" applyBorder="1"/>
    <xf numFmtId="2" fontId="12" fillId="3" borderId="4" xfId="0" applyNumberFormat="1" applyFont="1" applyFill="1" applyBorder="1"/>
    <xf numFmtId="2" fontId="10" fillId="3" borderId="10" xfId="0" applyNumberFormat="1" applyFont="1" applyFill="1" applyBorder="1"/>
    <xf numFmtId="2" fontId="10" fillId="3" borderId="11" xfId="0" applyNumberFormat="1" applyFont="1" applyFill="1" applyBorder="1"/>
    <xf numFmtId="2" fontId="10" fillId="3" borderId="12" xfId="0" applyNumberFormat="1" applyFont="1" applyFill="1" applyBorder="1"/>
    <xf numFmtId="2" fontId="10" fillId="3" borderId="5" xfId="0" applyNumberFormat="1" applyFont="1" applyFill="1" applyBorder="1"/>
    <xf numFmtId="2" fontId="10" fillId="3" borderId="0" xfId="0" applyNumberFormat="1" applyFont="1" applyFill="1" applyBorder="1"/>
    <xf numFmtId="2" fontId="10" fillId="3" borderId="6" xfId="0" applyNumberFormat="1" applyFont="1" applyFill="1" applyBorder="1"/>
    <xf numFmtId="2" fontId="10" fillId="3" borderId="7" xfId="0" applyNumberFormat="1" applyFont="1" applyFill="1" applyBorder="1"/>
    <xf numFmtId="2" fontId="10" fillId="3" borderId="8" xfId="0" applyNumberFormat="1" applyFont="1" applyFill="1" applyBorder="1"/>
    <xf numFmtId="2" fontId="10" fillId="3" borderId="9" xfId="0" applyNumberFormat="1" applyFont="1" applyFill="1" applyBorder="1"/>
    <xf numFmtId="0" fontId="10" fillId="3" borderId="16" xfId="0" applyFont="1" applyFill="1" applyBorder="1"/>
    <xf numFmtId="0" fontId="11" fillId="3" borderId="0" xfId="0" applyFont="1" applyFill="1" applyAlignment="1">
      <alignment horizontal="center"/>
    </xf>
    <xf numFmtId="0" fontId="8" fillId="3" borderId="0" xfId="0" applyFont="1" applyFill="1" applyAlignment="1">
      <alignment horizontal="center"/>
    </xf>
    <xf numFmtId="0" fontId="3" fillId="3" borderId="0" xfId="0" applyFont="1" applyFill="1" applyAlignment="1">
      <alignment horizontal="center"/>
    </xf>
    <xf numFmtId="0" fontId="15" fillId="3" borderId="0" xfId="0" applyFont="1" applyFill="1" applyAlignment="1">
      <alignment horizontal="center"/>
    </xf>
    <xf numFmtId="0" fontId="0" fillId="3" borderId="3" xfId="0" applyFill="1" applyBorder="1"/>
    <xf numFmtId="0" fontId="22" fillId="6" borderId="0" xfId="0" applyFont="1" applyFill="1" applyBorder="1"/>
    <xf numFmtId="0" fontId="29" fillId="6" borderId="8" xfId="0" applyFont="1" applyFill="1" applyBorder="1"/>
    <xf numFmtId="0" fontId="22" fillId="6" borderId="8" xfId="0" applyFont="1" applyFill="1" applyBorder="1"/>
    <xf numFmtId="0" fontId="28" fillId="6" borderId="12" xfId="0" applyFont="1" applyFill="1" applyBorder="1"/>
    <xf numFmtId="0" fontId="28" fillId="6" borderId="6" xfId="0" applyFont="1" applyFill="1" applyBorder="1"/>
    <xf numFmtId="0" fontId="29" fillId="6" borderId="9" xfId="0" applyFont="1" applyFill="1" applyBorder="1"/>
    <xf numFmtId="0" fontId="28" fillId="6" borderId="9" xfId="0" applyFont="1" applyFill="1" applyBorder="1"/>
    <xf numFmtId="0" fontId="8" fillId="3" borderId="0" xfId="4" applyFont="1" applyFill="1"/>
    <xf numFmtId="0" fontId="23" fillId="6" borderId="4" xfId="0" applyFont="1" applyFill="1" applyBorder="1"/>
    <xf numFmtId="0" fontId="23" fillId="6" borderId="19" xfId="3" applyFont="1" applyFill="1" applyBorder="1" applyAlignment="1" applyProtection="1"/>
    <xf numFmtId="0" fontId="8" fillId="3" borderId="0" xfId="3" applyNumberFormat="1" applyFont="1" applyFill="1" applyBorder="1" applyAlignment="1"/>
    <xf numFmtId="2" fontId="19" fillId="3" borderId="53" xfId="7" applyNumberFormat="1" applyFont="1" applyFill="1" applyBorder="1" applyAlignment="1">
      <alignment horizontal="center" vertical="center"/>
    </xf>
    <xf numFmtId="2" fontId="19" fillId="3" borderId="18" xfId="7" applyNumberFormat="1" applyFont="1" applyFill="1" applyBorder="1" applyAlignment="1">
      <alignment horizontal="center" vertical="center"/>
    </xf>
    <xf numFmtId="2" fontId="19" fillId="3" borderId="17" xfId="7" applyNumberFormat="1" applyFont="1" applyFill="1" applyBorder="1" applyAlignment="1">
      <alignment horizontal="center" vertical="center"/>
    </xf>
    <xf numFmtId="0" fontId="20" fillId="3" borderId="0" xfId="0" applyFont="1" applyFill="1" applyAlignment="1">
      <alignment horizontal="center" vertical="center"/>
    </xf>
    <xf numFmtId="2" fontId="20" fillId="3" borderId="52" xfId="7" applyNumberFormat="1" applyFont="1" applyFill="1" applyBorder="1" applyAlignment="1">
      <alignment horizontal="center" vertical="center"/>
    </xf>
    <xf numFmtId="2" fontId="20" fillId="3" borderId="14" xfId="7" applyNumberFormat="1" applyFont="1" applyFill="1" applyBorder="1" applyAlignment="1">
      <alignment horizontal="center" vertical="center"/>
    </xf>
    <xf numFmtId="2" fontId="20" fillId="3" borderId="13" xfId="7" applyNumberFormat="1" applyFont="1" applyFill="1" applyBorder="1" applyAlignment="1">
      <alignment horizontal="center" vertical="center"/>
    </xf>
    <xf numFmtId="2" fontId="20" fillId="3" borderId="53" xfId="7" applyNumberFormat="1" applyFont="1" applyFill="1" applyBorder="1" applyAlignment="1">
      <alignment horizontal="center" vertical="center"/>
    </xf>
    <xf numFmtId="2" fontId="20" fillId="3" borderId="18" xfId="7" applyNumberFormat="1" applyFont="1" applyFill="1" applyBorder="1" applyAlignment="1">
      <alignment horizontal="center" vertical="center"/>
    </xf>
    <xf numFmtId="2" fontId="20" fillId="3" borderId="17" xfId="7" applyNumberFormat="1" applyFont="1" applyFill="1" applyBorder="1" applyAlignment="1">
      <alignment horizontal="center" vertical="center"/>
    </xf>
    <xf numFmtId="2" fontId="19" fillId="3" borderId="54" xfId="7" applyNumberFormat="1" applyFont="1" applyFill="1" applyBorder="1" applyAlignment="1">
      <alignment horizontal="center" vertical="center"/>
    </xf>
    <xf numFmtId="2" fontId="19" fillId="3" borderId="57" xfId="7" applyNumberFormat="1" applyFont="1" applyFill="1" applyBorder="1" applyAlignment="1">
      <alignment horizontal="center" vertical="center"/>
    </xf>
    <xf numFmtId="2" fontId="19" fillId="3" borderId="15" xfId="7" applyNumberFormat="1" applyFont="1" applyFill="1" applyBorder="1" applyAlignment="1">
      <alignment horizontal="center" vertical="center"/>
    </xf>
    <xf numFmtId="2" fontId="19" fillId="3" borderId="20" xfId="7" applyNumberFormat="1" applyFont="1" applyFill="1" applyBorder="1" applyAlignment="1">
      <alignment horizontal="center" vertical="center"/>
    </xf>
    <xf numFmtId="0" fontId="20" fillId="3" borderId="0" xfId="0" applyFont="1" applyFill="1" applyAlignment="1">
      <alignment vertical="center"/>
    </xf>
    <xf numFmtId="9" fontId="19" fillId="3" borderId="54" xfId="7" applyNumberFormat="1" applyFont="1" applyFill="1" applyBorder="1" applyAlignment="1">
      <alignment horizontal="center" vertical="center"/>
    </xf>
    <xf numFmtId="9" fontId="19" fillId="3" borderId="57" xfId="7" applyNumberFormat="1" applyFont="1" applyFill="1" applyBorder="1" applyAlignment="1">
      <alignment horizontal="center" vertical="center"/>
    </xf>
    <xf numFmtId="9" fontId="19" fillId="3" borderId="15" xfId="7" applyNumberFormat="1" applyFont="1" applyFill="1" applyBorder="1" applyAlignment="1">
      <alignment horizontal="center" vertical="center"/>
    </xf>
    <xf numFmtId="9" fontId="19" fillId="3" borderId="20" xfId="7" applyNumberFormat="1" applyFont="1" applyFill="1" applyBorder="1" applyAlignment="1">
      <alignment horizontal="center" vertical="center"/>
    </xf>
    <xf numFmtId="0" fontId="30" fillId="3" borderId="0" xfId="0" applyFont="1" applyFill="1"/>
    <xf numFmtId="2" fontId="19" fillId="3" borderId="53" xfId="7" applyNumberFormat="1" applyFont="1" applyFill="1" applyBorder="1" applyAlignment="1">
      <alignment horizontal="center"/>
    </xf>
    <xf numFmtId="2" fontId="19" fillId="3" borderId="18" xfId="7" applyNumberFormat="1" applyFont="1" applyFill="1" applyBorder="1" applyAlignment="1">
      <alignment horizontal="center"/>
    </xf>
    <xf numFmtId="2" fontId="19" fillId="3" borderId="17" xfId="7" applyNumberFormat="1" applyFont="1" applyFill="1" applyBorder="1" applyAlignment="1">
      <alignment horizontal="center"/>
    </xf>
    <xf numFmtId="2" fontId="19" fillId="3" borderId="54" xfId="7" applyNumberFormat="1" applyFont="1" applyFill="1" applyBorder="1" applyAlignment="1">
      <alignment horizontal="center"/>
    </xf>
    <xf numFmtId="2" fontId="19" fillId="3" borderId="15" xfId="7" applyNumberFormat="1" applyFont="1" applyFill="1" applyBorder="1" applyAlignment="1">
      <alignment horizontal="center"/>
    </xf>
    <xf numFmtId="2" fontId="19" fillId="3" borderId="20" xfId="7" applyNumberFormat="1" applyFont="1" applyFill="1" applyBorder="1" applyAlignment="1">
      <alignment horizontal="center"/>
    </xf>
    <xf numFmtId="9" fontId="31" fillId="3" borderId="54" xfId="1" applyFont="1" applyFill="1" applyBorder="1" applyAlignment="1">
      <alignment horizontal="center" vertical="center"/>
    </xf>
    <xf numFmtId="9" fontId="31" fillId="3" borderId="15" xfId="1" applyFont="1" applyFill="1" applyBorder="1" applyAlignment="1">
      <alignment horizontal="center" vertical="center"/>
    </xf>
    <xf numFmtId="9" fontId="31" fillId="3" borderId="20" xfId="1" applyFont="1" applyFill="1" applyBorder="1" applyAlignment="1">
      <alignment horizontal="center" vertical="center"/>
    </xf>
    <xf numFmtId="2" fontId="20" fillId="3" borderId="56" xfId="7" applyNumberFormat="1" applyFont="1" applyFill="1" applyBorder="1" applyAlignment="1">
      <alignment horizontal="center" vertical="center"/>
    </xf>
    <xf numFmtId="2" fontId="20" fillId="3" borderId="22" xfId="7" applyNumberFormat="1" applyFont="1" applyFill="1" applyBorder="1" applyAlignment="1">
      <alignment horizontal="center" vertical="center"/>
    </xf>
    <xf numFmtId="2" fontId="20" fillId="3" borderId="54" xfId="7" applyNumberFormat="1" applyFont="1" applyFill="1" applyBorder="1" applyAlignment="1">
      <alignment horizontal="center" vertical="center"/>
    </xf>
    <xf numFmtId="2" fontId="20" fillId="3" borderId="57" xfId="7" applyNumberFormat="1" applyFont="1" applyFill="1" applyBorder="1" applyAlignment="1">
      <alignment horizontal="center" vertical="center"/>
    </xf>
    <xf numFmtId="2" fontId="20" fillId="3" borderId="15" xfId="7" applyNumberFormat="1" applyFont="1" applyFill="1" applyBorder="1" applyAlignment="1">
      <alignment horizontal="center" vertical="center"/>
    </xf>
    <xf numFmtId="2" fontId="20" fillId="3" borderId="20" xfId="7" applyNumberFormat="1" applyFont="1" applyFill="1" applyBorder="1" applyAlignment="1">
      <alignment horizontal="center" vertical="center"/>
    </xf>
    <xf numFmtId="9" fontId="20" fillId="3" borderId="52" xfId="7" applyNumberFormat="1" applyFont="1" applyFill="1" applyBorder="1" applyAlignment="1">
      <alignment horizontal="center" vertical="center"/>
    </xf>
    <xf numFmtId="9" fontId="20" fillId="3" borderId="56" xfId="7" applyNumberFormat="1" applyFont="1" applyFill="1" applyBorder="1" applyAlignment="1">
      <alignment horizontal="center" vertical="center"/>
    </xf>
    <xf numFmtId="9" fontId="20" fillId="3" borderId="14" xfId="7" applyNumberFormat="1" applyFont="1" applyFill="1" applyBorder="1" applyAlignment="1">
      <alignment horizontal="center" vertical="center"/>
    </xf>
    <xf numFmtId="9" fontId="20" fillId="3" borderId="13" xfId="7" applyNumberFormat="1" applyFont="1" applyFill="1" applyBorder="1" applyAlignment="1">
      <alignment horizontal="center" vertical="center"/>
    </xf>
    <xf numFmtId="9" fontId="20" fillId="3" borderId="53" xfId="7" applyNumberFormat="1" applyFont="1" applyFill="1" applyBorder="1" applyAlignment="1">
      <alignment horizontal="center" vertical="center"/>
    </xf>
    <xf numFmtId="9" fontId="20" fillId="3" borderId="22" xfId="7" applyNumberFormat="1" applyFont="1" applyFill="1" applyBorder="1" applyAlignment="1">
      <alignment horizontal="center" vertical="center"/>
    </xf>
    <xf numFmtId="9" fontId="20" fillId="3" borderId="18" xfId="7" applyNumberFormat="1" applyFont="1" applyFill="1" applyBorder="1" applyAlignment="1">
      <alignment horizontal="center" vertical="center"/>
    </xf>
    <xf numFmtId="9" fontId="20" fillId="3" borderId="17" xfId="7" applyNumberFormat="1" applyFont="1" applyFill="1" applyBorder="1" applyAlignment="1">
      <alignment horizontal="center" vertical="center"/>
    </xf>
    <xf numFmtId="9" fontId="20" fillId="3" borderId="54" xfId="7" applyNumberFormat="1" applyFont="1" applyFill="1" applyBorder="1" applyAlignment="1">
      <alignment horizontal="center" vertical="center"/>
    </xf>
    <xf numFmtId="9" fontId="20" fillId="3" borderId="57" xfId="7" applyNumberFormat="1" applyFont="1" applyFill="1" applyBorder="1" applyAlignment="1">
      <alignment horizontal="center" vertical="center"/>
    </xf>
    <xf numFmtId="9" fontId="20" fillId="3" borderId="15" xfId="7" applyNumberFormat="1" applyFont="1" applyFill="1" applyBorder="1" applyAlignment="1">
      <alignment horizontal="center" vertical="center"/>
    </xf>
    <xf numFmtId="9" fontId="20" fillId="3" borderId="20" xfId="7" applyNumberFormat="1" applyFont="1" applyFill="1" applyBorder="1" applyAlignment="1">
      <alignment horizontal="center" vertical="center"/>
    </xf>
    <xf numFmtId="2" fontId="20" fillId="3" borderId="52" xfId="7" applyNumberFormat="1" applyFont="1" applyFill="1" applyBorder="1" applyAlignment="1">
      <alignment horizontal="center"/>
    </xf>
    <xf numFmtId="2" fontId="20" fillId="3" borderId="14" xfId="7" applyNumberFormat="1" applyFont="1" applyFill="1" applyBorder="1" applyAlignment="1">
      <alignment horizontal="center"/>
    </xf>
    <xf numFmtId="2" fontId="20" fillId="3" borderId="13" xfId="7" applyNumberFormat="1" applyFont="1" applyFill="1" applyBorder="1" applyAlignment="1">
      <alignment horizontal="center"/>
    </xf>
    <xf numFmtId="2" fontId="20" fillId="3" borderId="53" xfId="7" applyNumberFormat="1" applyFont="1" applyFill="1" applyBorder="1" applyAlignment="1">
      <alignment horizontal="center"/>
    </xf>
    <xf numFmtId="2" fontId="20" fillId="3" borderId="18" xfId="7" applyNumberFormat="1" applyFont="1" applyFill="1" applyBorder="1" applyAlignment="1">
      <alignment horizontal="center"/>
    </xf>
    <xf numFmtId="2" fontId="20" fillId="3" borderId="17" xfId="7" applyNumberFormat="1" applyFont="1" applyFill="1" applyBorder="1" applyAlignment="1">
      <alignment horizontal="center"/>
    </xf>
    <xf numFmtId="2" fontId="20" fillId="3" borderId="54" xfId="7" applyNumberFormat="1" applyFont="1" applyFill="1" applyBorder="1" applyAlignment="1">
      <alignment horizontal="center"/>
    </xf>
    <xf numFmtId="2" fontId="20" fillId="3" borderId="15" xfId="7" applyNumberFormat="1" applyFont="1" applyFill="1" applyBorder="1" applyAlignment="1">
      <alignment horizontal="center"/>
    </xf>
    <xf numFmtId="2" fontId="20" fillId="3" borderId="20" xfId="7" applyNumberFormat="1" applyFont="1" applyFill="1" applyBorder="1" applyAlignment="1">
      <alignment horizontal="center"/>
    </xf>
    <xf numFmtId="3" fontId="20" fillId="3" borderId="52" xfId="7" applyNumberFormat="1" applyFont="1" applyFill="1" applyBorder="1" applyAlignment="1">
      <alignment horizontal="center"/>
    </xf>
    <xf numFmtId="3" fontId="20" fillId="3" borderId="56" xfId="7" applyNumberFormat="1" applyFont="1" applyFill="1" applyBorder="1" applyAlignment="1">
      <alignment horizontal="center"/>
    </xf>
    <xf numFmtId="3" fontId="20" fillId="3" borderId="14" xfId="7" applyNumberFormat="1" applyFont="1" applyFill="1" applyBorder="1" applyAlignment="1">
      <alignment horizontal="center"/>
    </xf>
    <xf numFmtId="3" fontId="20" fillId="3" borderId="13" xfId="7" applyNumberFormat="1" applyFont="1" applyFill="1" applyBorder="1" applyAlignment="1">
      <alignment horizontal="center"/>
    </xf>
    <xf numFmtId="164" fontId="20" fillId="3" borderId="53" xfId="7" applyNumberFormat="1" applyFont="1" applyFill="1" applyBorder="1" applyAlignment="1">
      <alignment horizontal="center"/>
    </xf>
    <xf numFmtId="164" fontId="20" fillId="3" borderId="22" xfId="7" applyNumberFormat="1" applyFont="1" applyFill="1" applyBorder="1" applyAlignment="1">
      <alignment horizontal="center"/>
    </xf>
    <xf numFmtId="164" fontId="20" fillId="3" borderId="18" xfId="7" applyNumberFormat="1" applyFont="1" applyFill="1" applyBorder="1" applyAlignment="1">
      <alignment horizontal="center"/>
    </xf>
    <xf numFmtId="164" fontId="20" fillId="3" borderId="17" xfId="7" applyNumberFormat="1" applyFont="1" applyFill="1" applyBorder="1" applyAlignment="1">
      <alignment horizontal="center"/>
    </xf>
    <xf numFmtId="3" fontId="20" fillId="3" borderId="53" xfId="7" applyNumberFormat="1" applyFont="1" applyFill="1" applyBorder="1" applyAlignment="1">
      <alignment horizontal="center" vertical="center"/>
    </xf>
    <xf numFmtId="3" fontId="20" fillId="3" borderId="18" xfId="7" applyNumberFormat="1" applyFont="1" applyFill="1" applyBorder="1" applyAlignment="1">
      <alignment horizontal="center" vertical="center"/>
    </xf>
    <xf numFmtId="3" fontId="20" fillId="3" borderId="17" xfId="7" applyNumberFormat="1" applyFont="1" applyFill="1" applyBorder="1" applyAlignment="1">
      <alignment horizontal="center"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3" xfId="0" applyFont="1" applyFill="1" applyBorder="1" applyAlignment="1">
      <alignment horizontal="center" vertical="center"/>
    </xf>
    <xf numFmtId="0" fontId="22" fillId="6" borderId="6" xfId="0" applyFont="1" applyFill="1" applyBorder="1"/>
    <xf numFmtId="0" fontId="22" fillId="6" borderId="9" xfId="0" applyFont="1" applyFill="1" applyBorder="1"/>
    <xf numFmtId="2" fontId="19" fillId="3" borderId="59" xfId="7" applyNumberFormat="1" applyFont="1" applyFill="1" applyBorder="1" applyAlignment="1">
      <alignment horizontal="center"/>
    </xf>
    <xf numFmtId="2" fontId="19" fillId="3" borderId="61" xfId="7" applyNumberFormat="1" applyFont="1" applyFill="1" applyBorder="1" applyAlignment="1">
      <alignment horizontal="center"/>
    </xf>
    <xf numFmtId="2" fontId="19" fillId="3" borderId="62" xfId="7" applyNumberFormat="1" applyFont="1" applyFill="1" applyBorder="1" applyAlignment="1">
      <alignment horizontal="center"/>
    </xf>
    <xf numFmtId="2" fontId="20" fillId="3" borderId="66" xfId="7" applyNumberFormat="1" applyFont="1" applyFill="1" applyBorder="1" applyAlignment="1">
      <alignment horizontal="center"/>
    </xf>
    <xf numFmtId="2" fontId="20" fillId="3" borderId="59" xfId="7" applyNumberFormat="1" applyFont="1" applyFill="1" applyBorder="1" applyAlignment="1">
      <alignment horizontal="center"/>
    </xf>
    <xf numFmtId="2" fontId="20" fillId="3" borderId="61" xfId="7" applyNumberFormat="1" applyFont="1" applyFill="1" applyBorder="1" applyAlignment="1">
      <alignment horizontal="center"/>
    </xf>
    <xf numFmtId="2" fontId="20" fillId="3" borderId="62" xfId="7" applyNumberFormat="1" applyFont="1" applyFill="1" applyBorder="1" applyAlignment="1">
      <alignment horizontal="center"/>
    </xf>
    <xf numFmtId="2" fontId="19" fillId="3" borderId="59" xfId="7" applyNumberFormat="1" applyFont="1" applyFill="1" applyBorder="1" applyAlignment="1">
      <alignment horizontal="center" vertical="center"/>
    </xf>
    <xf numFmtId="2" fontId="19" fillId="3" borderId="60" xfId="7" applyNumberFormat="1" applyFont="1" applyFill="1" applyBorder="1" applyAlignment="1">
      <alignment horizontal="center" vertical="center"/>
    </xf>
    <xf numFmtId="2" fontId="19" fillId="3" borderId="61" xfId="7" applyNumberFormat="1" applyFont="1" applyFill="1" applyBorder="1" applyAlignment="1">
      <alignment horizontal="center" vertical="center"/>
    </xf>
    <xf numFmtId="2" fontId="19" fillId="3" borderId="62" xfId="7" applyNumberFormat="1" applyFont="1" applyFill="1" applyBorder="1" applyAlignment="1">
      <alignment horizontal="center" vertical="center"/>
    </xf>
    <xf numFmtId="2" fontId="20" fillId="3" borderId="59" xfId="7" applyNumberFormat="1" applyFont="1" applyFill="1" applyBorder="1" applyAlignment="1">
      <alignment horizontal="center" vertical="center"/>
    </xf>
    <xf numFmtId="2" fontId="20" fillId="3" borderId="60" xfId="7" applyNumberFormat="1" applyFont="1" applyFill="1" applyBorder="1" applyAlignment="1">
      <alignment horizontal="center" vertical="center"/>
    </xf>
    <xf numFmtId="2" fontId="20" fillId="3" borderId="61" xfId="7" applyNumberFormat="1" applyFont="1" applyFill="1" applyBorder="1" applyAlignment="1">
      <alignment horizontal="center" vertical="center"/>
    </xf>
    <xf numFmtId="2" fontId="20" fillId="3" borderId="62" xfId="7" applyNumberFormat="1" applyFont="1" applyFill="1" applyBorder="1" applyAlignment="1">
      <alignment horizontal="center" vertical="center"/>
    </xf>
    <xf numFmtId="2" fontId="31" fillId="3" borderId="54" xfId="7" applyNumberFormat="1" applyFont="1" applyFill="1" applyBorder="1" applyAlignment="1">
      <alignment horizontal="center" vertical="center"/>
    </xf>
    <xf numFmtId="2" fontId="31" fillId="3" borderId="57" xfId="7" applyNumberFormat="1" applyFont="1" applyFill="1" applyBorder="1" applyAlignment="1">
      <alignment horizontal="center" vertical="center"/>
    </xf>
    <xf numFmtId="2" fontId="31" fillId="3" borderId="15" xfId="7" applyNumberFormat="1" applyFont="1" applyFill="1" applyBorder="1" applyAlignment="1">
      <alignment horizontal="center" vertical="center"/>
    </xf>
    <xf numFmtId="2" fontId="31" fillId="3" borderId="20" xfId="7" applyNumberFormat="1" applyFont="1" applyFill="1" applyBorder="1" applyAlignment="1">
      <alignment horizontal="center" vertical="center"/>
    </xf>
    <xf numFmtId="0" fontId="19" fillId="3" borderId="2" xfId="0" applyFont="1" applyFill="1" applyBorder="1" applyAlignment="1">
      <alignment horizontal="center" vertical="center"/>
    </xf>
    <xf numFmtId="0" fontId="20" fillId="3" borderId="3" xfId="0" applyFont="1" applyFill="1" applyBorder="1" applyAlignment="1">
      <alignment vertical="center"/>
    </xf>
    <xf numFmtId="0" fontId="20" fillId="3" borderId="4" xfId="0" applyFont="1" applyFill="1" applyBorder="1" applyAlignment="1">
      <alignment vertical="center"/>
    </xf>
    <xf numFmtId="0" fontId="20" fillId="3" borderId="11" xfId="0" applyFont="1" applyFill="1" applyBorder="1"/>
    <xf numFmtId="0" fontId="20" fillId="3" borderId="0" xfId="0" applyFont="1" applyFill="1" applyBorder="1"/>
    <xf numFmtId="0" fontId="20" fillId="3" borderId="8" xfId="0" applyFont="1" applyFill="1" applyBorder="1"/>
    <xf numFmtId="0" fontId="20" fillId="3" borderId="12" xfId="0" applyFont="1" applyFill="1" applyBorder="1"/>
    <xf numFmtId="0" fontId="20" fillId="3" borderId="6" xfId="0" applyFont="1" applyFill="1" applyBorder="1"/>
    <xf numFmtId="0" fontId="10" fillId="3" borderId="52" xfId="0" applyFont="1" applyFill="1" applyBorder="1"/>
    <xf numFmtId="0" fontId="10" fillId="3" borderId="14" xfId="0" applyFont="1" applyFill="1" applyBorder="1"/>
    <xf numFmtId="0" fontId="10" fillId="3" borderId="53" xfId="0" applyFont="1" applyFill="1" applyBorder="1"/>
    <xf numFmtId="0" fontId="10" fillId="3" borderId="18" xfId="0" applyFont="1" applyFill="1" applyBorder="1"/>
    <xf numFmtId="0" fontId="10" fillId="3" borderId="54" xfId="0" applyFont="1" applyFill="1" applyBorder="1"/>
    <xf numFmtId="0" fontId="10" fillId="3" borderId="15" xfId="0" applyFont="1" applyFill="1" applyBorder="1"/>
    <xf numFmtId="0" fontId="21" fillId="3" borderId="0" xfId="0" applyFont="1" applyFill="1"/>
    <xf numFmtId="2" fontId="10" fillId="3" borderId="0" xfId="0" applyNumberFormat="1" applyFont="1" applyFill="1"/>
    <xf numFmtId="0" fontId="22" fillId="6" borderId="0" xfId="0" applyFont="1" applyFill="1"/>
    <xf numFmtId="2" fontId="12" fillId="3" borderId="0" xfId="0" applyNumberFormat="1" applyFont="1" applyFill="1"/>
    <xf numFmtId="9" fontId="31" fillId="3" borderId="57" xfId="1" applyFont="1" applyFill="1" applyBorder="1" applyAlignment="1">
      <alignment horizontal="center" vertical="center"/>
    </xf>
    <xf numFmtId="2" fontId="19" fillId="0" borderId="53" xfId="7" applyNumberFormat="1" applyFont="1" applyFill="1" applyBorder="1" applyAlignment="1">
      <alignment horizontal="center" vertical="center"/>
    </xf>
    <xf numFmtId="2" fontId="19" fillId="0" borderId="18" xfId="7" applyNumberFormat="1" applyFont="1" applyFill="1" applyBorder="1" applyAlignment="1">
      <alignment horizontal="center" vertical="center"/>
    </xf>
    <xf numFmtId="2" fontId="19" fillId="0" borderId="17" xfId="7" applyNumberFormat="1" applyFont="1" applyFill="1" applyBorder="1" applyAlignment="1">
      <alignment horizontal="center" vertical="center"/>
    </xf>
    <xf numFmtId="9" fontId="10" fillId="3" borderId="11" xfId="1" applyFont="1" applyFill="1" applyBorder="1"/>
    <xf numFmtId="9" fontId="10" fillId="3" borderId="12" xfId="1" applyFont="1" applyFill="1" applyBorder="1"/>
    <xf numFmtId="9" fontId="10" fillId="3" borderId="0" xfId="1" applyFont="1" applyFill="1" applyBorder="1"/>
    <xf numFmtId="9" fontId="10" fillId="3" borderId="6" xfId="1" applyFont="1" applyFill="1" applyBorder="1"/>
    <xf numFmtId="9" fontId="10" fillId="3" borderId="9" xfId="1" applyFont="1" applyFill="1" applyBorder="1"/>
    <xf numFmtId="9" fontId="12" fillId="3" borderId="3" xfId="1" applyFont="1" applyFill="1" applyBorder="1"/>
    <xf numFmtId="9" fontId="12" fillId="3" borderId="4" xfId="1" applyFont="1" applyFill="1" applyBorder="1"/>
    <xf numFmtId="0" fontId="26" fillId="6" borderId="10" xfId="0" applyFont="1" applyFill="1" applyBorder="1" applyAlignment="1">
      <alignment vertical="center"/>
    </xf>
    <xf numFmtId="0" fontId="26" fillId="6" borderId="11" xfId="0" applyFont="1" applyFill="1" applyBorder="1" applyAlignment="1">
      <alignment vertical="center"/>
    </xf>
    <xf numFmtId="0" fontId="26" fillId="6" borderId="12" xfId="0" applyFont="1" applyFill="1" applyBorder="1" applyAlignment="1">
      <alignment vertical="center"/>
    </xf>
    <xf numFmtId="0" fontId="25" fillId="3" borderId="0" xfId="0" applyFont="1" applyFill="1" applyAlignment="1">
      <alignment vertical="center"/>
    </xf>
    <xf numFmtId="0" fontId="30" fillId="0" borderId="0" xfId="0" applyFont="1" applyFill="1"/>
    <xf numFmtId="0" fontId="10" fillId="0" borderId="6" xfId="0" applyFont="1" applyFill="1" applyBorder="1"/>
    <xf numFmtId="0" fontId="26" fillId="6" borderId="2" xfId="0" applyFont="1" applyFill="1" applyBorder="1" applyAlignment="1"/>
    <xf numFmtId="0" fontId="20" fillId="0" borderId="5" xfId="0" applyFont="1" applyFill="1" applyBorder="1"/>
    <xf numFmtId="166" fontId="12" fillId="3" borderId="2" xfId="0" applyNumberFormat="1" applyFont="1" applyFill="1" applyBorder="1"/>
    <xf numFmtId="166" fontId="12" fillId="3" borderId="3" xfId="0" applyNumberFormat="1" applyFont="1" applyFill="1" applyBorder="1"/>
    <xf numFmtId="166" fontId="12" fillId="3" borderId="4" xfId="0" applyNumberFormat="1" applyFont="1" applyFill="1" applyBorder="1"/>
    <xf numFmtId="0" fontId="12" fillId="3" borderId="10" xfId="0" applyFont="1" applyFill="1" applyBorder="1"/>
    <xf numFmtId="0" fontId="12" fillId="3" borderId="11" xfId="0" applyFont="1" applyFill="1" applyBorder="1"/>
    <xf numFmtId="0" fontId="12" fillId="3" borderId="12" xfId="0" applyFont="1" applyFill="1" applyBorder="1"/>
    <xf numFmtId="2" fontId="12" fillId="3" borderId="7" xfId="0" applyNumberFormat="1" applyFont="1" applyFill="1" applyBorder="1"/>
    <xf numFmtId="166" fontId="10" fillId="3" borderId="11" xfId="0" applyNumberFormat="1" applyFont="1" applyFill="1" applyBorder="1"/>
    <xf numFmtId="166" fontId="10" fillId="3" borderId="0" xfId="0" applyNumberFormat="1" applyFont="1" applyFill="1" applyBorder="1"/>
    <xf numFmtId="166" fontId="10" fillId="3" borderId="8" xfId="0" applyNumberFormat="1" applyFont="1" applyFill="1" applyBorder="1"/>
    <xf numFmtId="166" fontId="10" fillId="3" borderId="12" xfId="0" applyNumberFormat="1" applyFont="1" applyFill="1" applyBorder="1"/>
    <xf numFmtId="166" fontId="10" fillId="3" borderId="6" xfId="0" applyNumberFormat="1" applyFont="1" applyFill="1" applyBorder="1"/>
    <xf numFmtId="166" fontId="10" fillId="3" borderId="9" xfId="0" applyNumberFormat="1" applyFont="1" applyFill="1" applyBorder="1"/>
    <xf numFmtId="0" fontId="12" fillId="0" borderId="7" xfId="0" applyFont="1" applyFill="1" applyBorder="1" applyAlignment="1">
      <alignment horizontal="center" vertical="center" wrapText="1"/>
    </xf>
    <xf numFmtId="166" fontId="10" fillId="0" borderId="43" xfId="2" applyNumberFormat="1" applyFont="1" applyFill="1" applyBorder="1" applyAlignment="1">
      <alignment horizontal="center"/>
    </xf>
    <xf numFmtId="166" fontId="10" fillId="0" borderId="44" xfId="2" applyNumberFormat="1" applyFont="1" applyFill="1" applyBorder="1" applyAlignment="1">
      <alignment horizontal="center"/>
    </xf>
    <xf numFmtId="166" fontId="10" fillId="3" borderId="43" xfId="2" applyNumberFormat="1" applyFont="1" applyFill="1" applyBorder="1" applyAlignment="1">
      <alignment horizontal="center"/>
    </xf>
    <xf numFmtId="166" fontId="10" fillId="3" borderId="44" xfId="2" applyNumberFormat="1" applyFont="1" applyFill="1" applyBorder="1" applyAlignment="1">
      <alignment horizontal="center"/>
    </xf>
    <xf numFmtId="0" fontId="20" fillId="0" borderId="10" xfId="0" applyFont="1" applyFill="1" applyBorder="1"/>
    <xf numFmtId="2" fontId="11" fillId="3" borderId="0" xfId="0" applyNumberFormat="1" applyFont="1" applyFill="1"/>
    <xf numFmtId="2" fontId="0" fillId="3" borderId="0" xfId="0" applyNumberFormat="1" applyFill="1"/>
    <xf numFmtId="0" fontId="12" fillId="3" borderId="7" xfId="0" applyFont="1" applyFill="1" applyBorder="1" applyAlignment="1">
      <alignment horizontal="center" vertical="center" wrapText="1"/>
    </xf>
    <xf numFmtId="0" fontId="23" fillId="6" borderId="0" xfId="0" applyFont="1" applyFill="1" applyAlignment="1">
      <alignment horizontal="center"/>
    </xf>
    <xf numFmtId="0" fontId="22" fillId="6" borderId="0" xfId="0" applyFont="1" applyFill="1" applyAlignment="1">
      <alignment horizontal="center"/>
    </xf>
    <xf numFmtId="2" fontId="12" fillId="3" borderId="7" xfId="3" applyNumberFormat="1" applyFont="1" applyFill="1" applyBorder="1"/>
    <xf numFmtId="2" fontId="12" fillId="3" borderId="9" xfId="3" applyNumberFormat="1" applyFont="1" applyFill="1" applyBorder="1"/>
    <xf numFmtId="2" fontId="10" fillId="5" borderId="11" xfId="3" applyNumberFormat="1" applyFont="1" applyFill="1" applyBorder="1"/>
    <xf numFmtId="165" fontId="10" fillId="3" borderId="10" xfId="1" applyNumberFormat="1" applyFont="1" applyFill="1" applyBorder="1"/>
    <xf numFmtId="165" fontId="10" fillId="3" borderId="12" xfId="1" applyNumberFormat="1" applyFont="1" applyFill="1" applyBorder="1"/>
    <xf numFmtId="0" fontId="23" fillId="6" borderId="0" xfId="0" applyFont="1" applyFill="1" applyAlignment="1">
      <alignment horizontal="left"/>
    </xf>
    <xf numFmtId="0" fontId="17" fillId="3" borderId="67" xfId="0" applyFont="1" applyFill="1" applyBorder="1" applyAlignment="1"/>
    <xf numFmtId="0" fontId="12" fillId="3" borderId="67" xfId="0" applyFont="1" applyFill="1" applyBorder="1"/>
    <xf numFmtId="0" fontId="0" fillId="3" borderId="0" xfId="0" applyFill="1"/>
    <xf numFmtId="0" fontId="38" fillId="3" borderId="0" xfId="0" applyFont="1" applyFill="1"/>
    <xf numFmtId="2" fontId="30" fillId="3" borderId="0" xfId="0" applyNumberFormat="1" applyFont="1" applyFill="1"/>
    <xf numFmtId="0" fontId="19" fillId="3" borderId="10" xfId="0" applyFont="1" applyFill="1" applyBorder="1" applyAlignment="1">
      <alignment horizontal="center" vertical="center"/>
    </xf>
    <xf numFmtId="165" fontId="10" fillId="3" borderId="4" xfId="1" applyNumberFormat="1" applyFont="1" applyFill="1" applyBorder="1" applyAlignment="1">
      <alignment horizontal="center"/>
    </xf>
    <xf numFmtId="0" fontId="22" fillId="6" borderId="10"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31" fillId="3" borderId="8" xfId="0" applyFont="1" applyFill="1" applyBorder="1"/>
    <xf numFmtId="0" fontId="10" fillId="3" borderId="12" xfId="0" applyFont="1" applyFill="1" applyBorder="1" applyAlignment="1">
      <alignment horizontal="center"/>
    </xf>
    <xf numFmtId="0" fontId="19" fillId="3" borderId="0" xfId="0" applyFont="1" applyFill="1" applyBorder="1"/>
    <xf numFmtId="0" fontId="19" fillId="3" borderId="8" xfId="0" applyFont="1" applyFill="1" applyBorder="1"/>
    <xf numFmtId="0" fontId="19" fillId="3" borderId="6" xfId="0" applyFont="1" applyFill="1" applyBorder="1"/>
    <xf numFmtId="0" fontId="19" fillId="3" borderId="9" xfId="0" applyFont="1" applyFill="1" applyBorder="1"/>
    <xf numFmtId="4" fontId="0" fillId="3" borderId="0" xfId="0" applyNumberFormat="1" applyFill="1"/>
    <xf numFmtId="2" fontId="12" fillId="3" borderId="10" xfId="3" applyNumberFormat="1" applyFont="1" applyFill="1" applyBorder="1"/>
    <xf numFmtId="2" fontId="12" fillId="3" borderId="8" xfId="3" applyNumberFormat="1" applyFont="1" applyFill="1" applyBorder="1"/>
    <xf numFmtId="2" fontId="10" fillId="3" borderId="12" xfId="3" applyNumberFormat="1" applyFont="1" applyFill="1" applyBorder="1"/>
    <xf numFmtId="2" fontId="10" fillId="3" borderId="9" xfId="3" applyNumberFormat="1" applyFont="1" applyFill="1" applyBorder="1"/>
    <xf numFmtId="2" fontId="20" fillId="0" borderId="53" xfId="7" applyNumberFormat="1" applyFont="1" applyFill="1" applyBorder="1" applyAlignment="1">
      <alignment horizontal="center"/>
    </xf>
    <xf numFmtId="2" fontId="20" fillId="0" borderId="18" xfId="7" applyNumberFormat="1" applyFont="1" applyFill="1" applyBorder="1" applyAlignment="1">
      <alignment horizontal="center"/>
    </xf>
    <xf numFmtId="0" fontId="12" fillId="0" borderId="0" xfId="0" applyFont="1" applyFill="1"/>
    <xf numFmtId="0" fontId="10" fillId="0" borderId="0" xfId="0" applyFont="1" applyFill="1"/>
    <xf numFmtId="0" fontId="20" fillId="3" borderId="5" xfId="0" applyFont="1" applyFill="1" applyBorder="1"/>
    <xf numFmtId="0" fontId="10" fillId="0" borderId="9" xfId="0" applyFont="1" applyFill="1" applyBorder="1"/>
    <xf numFmtId="0" fontId="20" fillId="0" borderId="0" xfId="0" applyFont="1" applyFill="1"/>
    <xf numFmtId="0" fontId="10" fillId="3" borderId="10" xfId="0" applyFont="1" applyFill="1" applyBorder="1" applyAlignment="1">
      <alignment horizontal="center"/>
    </xf>
    <xf numFmtId="0" fontId="10" fillId="3" borderId="7" xfId="0" applyFont="1" applyFill="1" applyBorder="1" applyAlignment="1">
      <alignment horizontal="center"/>
    </xf>
    <xf numFmtId="166" fontId="12" fillId="3" borderId="46" xfId="2" applyNumberFormat="1" applyFont="1" applyFill="1" applyBorder="1" applyAlignment="1">
      <alignment horizontal="center"/>
    </xf>
    <xf numFmtId="166" fontId="12" fillId="3" borderId="33" xfId="2" applyNumberFormat="1" applyFont="1" applyFill="1" applyBorder="1" applyAlignment="1">
      <alignment horizontal="center"/>
    </xf>
    <xf numFmtId="9" fontId="31" fillId="3" borderId="54" xfId="1" applyNumberFormat="1" applyFont="1" applyFill="1" applyBorder="1" applyAlignment="1">
      <alignment horizontal="center" vertical="center"/>
    </xf>
    <xf numFmtId="164" fontId="20" fillId="3" borderId="52" xfId="7" applyNumberFormat="1" applyFont="1" applyFill="1" applyBorder="1" applyAlignment="1">
      <alignment horizontal="center"/>
    </xf>
    <xf numFmtId="164" fontId="20" fillId="3" borderId="59" xfId="7" applyNumberFormat="1" applyFont="1" applyFill="1" applyBorder="1" applyAlignment="1">
      <alignment horizontal="center"/>
    </xf>
    <xf numFmtId="9" fontId="10" fillId="3" borderId="0" xfId="0" applyNumberFormat="1" applyFont="1" applyFill="1"/>
    <xf numFmtId="4" fontId="10" fillId="3" borderId="0" xfId="0" applyNumberFormat="1" applyFont="1" applyFill="1"/>
    <xf numFmtId="9" fontId="10" fillId="3" borderId="0" xfId="1" applyFont="1" applyFill="1"/>
    <xf numFmtId="3" fontId="12" fillId="3" borderId="35" xfId="2" applyNumberFormat="1" applyFont="1" applyFill="1" applyBorder="1" applyAlignment="1">
      <alignment horizontal="center"/>
    </xf>
    <xf numFmtId="3" fontId="0" fillId="3" borderId="0" xfId="0" applyNumberFormat="1" applyFill="1"/>
    <xf numFmtId="3" fontId="12" fillId="3" borderId="32" xfId="2" applyNumberFormat="1" applyFont="1" applyFill="1" applyBorder="1" applyAlignment="1">
      <alignment horizontal="center"/>
    </xf>
    <xf numFmtId="0" fontId="19" fillId="3" borderId="7" xfId="0" applyFont="1" applyFill="1" applyBorder="1" applyAlignment="1">
      <alignment horizontal="center" vertical="center"/>
    </xf>
    <xf numFmtId="0" fontId="19" fillId="3" borderId="5" xfId="0" applyFont="1" applyFill="1" applyBorder="1" applyAlignment="1">
      <alignment horizontal="center" vertical="center"/>
    </xf>
    <xf numFmtId="0" fontId="12" fillId="3" borderId="7" xfId="0" applyFont="1" applyFill="1" applyBorder="1" applyAlignment="1">
      <alignment horizontal="center" vertical="center" wrapText="1"/>
    </xf>
    <xf numFmtId="0" fontId="26" fillId="6" borderId="10" xfId="0" applyFont="1" applyFill="1" applyBorder="1" applyAlignment="1">
      <alignment horizontal="center"/>
    </xf>
    <xf numFmtId="0" fontId="26" fillId="6" borderId="12" xfId="0" applyFont="1" applyFill="1" applyBorder="1" applyAlignment="1">
      <alignment horizontal="center"/>
    </xf>
    <xf numFmtId="166" fontId="12" fillId="3" borderId="0" xfId="0" applyNumberFormat="1" applyFont="1" applyFill="1"/>
    <xf numFmtId="1" fontId="10" fillId="3" borderId="0" xfId="0" applyNumberFormat="1" applyFont="1" applyFill="1"/>
    <xf numFmtId="0" fontId="9" fillId="3" borderId="0" xfId="0" applyFont="1" applyFill="1"/>
    <xf numFmtId="0" fontId="42" fillId="3" borderId="0" xfId="0" applyFont="1" applyFill="1"/>
    <xf numFmtId="0" fontId="42" fillId="3" borderId="0" xfId="0" applyFont="1" applyFill="1" applyAlignment="1">
      <alignment horizontal="center"/>
    </xf>
    <xf numFmtId="166" fontId="20" fillId="3" borderId="52" xfId="7" applyNumberFormat="1" applyFont="1" applyFill="1" applyBorder="1" applyAlignment="1">
      <alignment horizontal="center"/>
    </xf>
    <xf numFmtId="166" fontId="20" fillId="3" borderId="14" xfId="7" applyNumberFormat="1" applyFont="1" applyFill="1" applyBorder="1" applyAlignment="1">
      <alignment horizontal="center"/>
    </xf>
    <xf numFmtId="166" fontId="20" fillId="3" borderId="13" xfId="7" applyNumberFormat="1" applyFont="1" applyFill="1" applyBorder="1" applyAlignment="1">
      <alignment horizontal="center"/>
    </xf>
    <xf numFmtId="166" fontId="20" fillId="3" borderId="53" xfId="7" applyNumberFormat="1" applyFont="1" applyFill="1" applyBorder="1" applyAlignment="1">
      <alignment horizontal="center"/>
    </xf>
    <xf numFmtId="166" fontId="20" fillId="3" borderId="18" xfId="7" applyNumberFormat="1" applyFont="1" applyFill="1" applyBorder="1" applyAlignment="1">
      <alignment horizontal="center"/>
    </xf>
    <xf numFmtId="166" fontId="20" fillId="3" borderId="17" xfId="7" applyNumberFormat="1" applyFont="1" applyFill="1" applyBorder="1" applyAlignment="1">
      <alignment horizontal="center"/>
    </xf>
    <xf numFmtId="166" fontId="20" fillId="0" borderId="53" xfId="7" applyNumberFormat="1" applyFont="1" applyFill="1" applyBorder="1" applyAlignment="1">
      <alignment horizontal="center"/>
    </xf>
    <xf numFmtId="166" fontId="20" fillId="0" borderId="18" xfId="7" applyNumberFormat="1" applyFont="1" applyFill="1" applyBorder="1" applyAlignment="1">
      <alignment horizontal="center"/>
    </xf>
    <xf numFmtId="166" fontId="20" fillId="0" borderId="17" xfId="7" applyNumberFormat="1" applyFont="1" applyFill="1" applyBorder="1" applyAlignment="1">
      <alignment horizontal="center"/>
    </xf>
    <xf numFmtId="166" fontId="19" fillId="3" borderId="54" xfId="7" applyNumberFormat="1" applyFont="1" applyFill="1" applyBorder="1" applyAlignment="1">
      <alignment horizontal="center"/>
    </xf>
    <xf numFmtId="166" fontId="19" fillId="3" borderId="15" xfId="7" applyNumberFormat="1" applyFont="1" applyFill="1" applyBorder="1" applyAlignment="1">
      <alignment horizontal="center"/>
    </xf>
    <xf numFmtId="166" fontId="19" fillId="3" borderId="20" xfId="7" applyNumberFormat="1" applyFont="1" applyFill="1" applyBorder="1" applyAlignment="1">
      <alignment horizontal="center"/>
    </xf>
    <xf numFmtId="166" fontId="20" fillId="0" borderId="52" xfId="7" applyNumberFormat="1" applyFont="1" applyFill="1" applyBorder="1" applyAlignment="1">
      <alignment horizontal="center"/>
    </xf>
    <xf numFmtId="166" fontId="19" fillId="0" borderId="54" xfId="7" applyNumberFormat="1" applyFont="1" applyFill="1" applyBorder="1" applyAlignment="1">
      <alignment horizontal="center"/>
    </xf>
    <xf numFmtId="166" fontId="19" fillId="3" borderId="59" xfId="7" applyNumberFormat="1" applyFont="1" applyFill="1" applyBorder="1" applyAlignment="1">
      <alignment horizontal="center"/>
    </xf>
    <xf numFmtId="166" fontId="19" fillId="3" borderId="61" xfId="7" applyNumberFormat="1" applyFont="1" applyFill="1" applyBorder="1" applyAlignment="1">
      <alignment horizontal="center"/>
    </xf>
    <xf numFmtId="166" fontId="19" fillId="3" borderId="68" xfId="7" applyNumberFormat="1" applyFont="1" applyFill="1" applyBorder="1" applyAlignment="1">
      <alignment horizontal="center"/>
    </xf>
    <xf numFmtId="166" fontId="20" fillId="0" borderId="14" xfId="7" applyNumberFormat="1" applyFont="1" applyFill="1" applyBorder="1" applyAlignment="1">
      <alignment horizontal="center"/>
    </xf>
    <xf numFmtId="166" fontId="19" fillId="0" borderId="15" xfId="7" applyNumberFormat="1" applyFont="1" applyFill="1" applyBorder="1" applyAlignment="1">
      <alignment horizontal="center"/>
    </xf>
    <xf numFmtId="166" fontId="20" fillId="0" borderId="56" xfId="7" applyNumberFormat="1" applyFont="1" applyFill="1" applyBorder="1" applyAlignment="1">
      <alignment horizontal="center"/>
    </xf>
    <xf numFmtId="166" fontId="20" fillId="0" borderId="22" xfId="7" applyNumberFormat="1" applyFont="1" applyFill="1" applyBorder="1" applyAlignment="1">
      <alignment horizontal="center"/>
    </xf>
    <xf numFmtId="166" fontId="19" fillId="0" borderId="57" xfId="7" applyNumberFormat="1" applyFont="1" applyFill="1" applyBorder="1" applyAlignment="1">
      <alignment horizontal="center"/>
    </xf>
    <xf numFmtId="166" fontId="19" fillId="3" borderId="62" xfId="7" applyNumberFormat="1" applyFont="1" applyFill="1" applyBorder="1" applyAlignment="1">
      <alignment horizontal="center"/>
    </xf>
    <xf numFmtId="2" fontId="19" fillId="3" borderId="52" xfId="7" applyNumberFormat="1" applyFont="1" applyFill="1" applyBorder="1" applyAlignment="1">
      <alignment horizontal="center"/>
    </xf>
    <xf numFmtId="2" fontId="19" fillId="3" borderId="14" xfId="7" applyNumberFormat="1" applyFont="1" applyFill="1" applyBorder="1" applyAlignment="1">
      <alignment horizontal="center"/>
    </xf>
    <xf numFmtId="2" fontId="20" fillId="3" borderId="69" xfId="7" applyNumberFormat="1" applyFont="1" applyFill="1" applyBorder="1" applyAlignment="1">
      <alignment horizontal="center" vertical="center"/>
    </xf>
    <xf numFmtId="2" fontId="20" fillId="3" borderId="70" xfId="7" applyNumberFormat="1" applyFont="1" applyFill="1" applyBorder="1" applyAlignment="1">
      <alignment horizontal="center" vertical="center"/>
    </xf>
    <xf numFmtId="2" fontId="20" fillId="3" borderId="56" xfId="7" applyNumberFormat="1" applyFont="1" applyFill="1" applyBorder="1" applyAlignment="1">
      <alignment horizontal="center"/>
    </xf>
    <xf numFmtId="2" fontId="20" fillId="3" borderId="22" xfId="7" applyNumberFormat="1" applyFont="1" applyFill="1" applyBorder="1" applyAlignment="1">
      <alignment horizontal="center"/>
    </xf>
    <xf numFmtId="2" fontId="19" fillId="3" borderId="57" xfId="7" applyNumberFormat="1" applyFont="1" applyFill="1" applyBorder="1" applyAlignment="1">
      <alignment horizontal="center"/>
    </xf>
    <xf numFmtId="2" fontId="20" fillId="3" borderId="71" xfId="7" applyNumberFormat="1" applyFont="1" applyFill="1" applyBorder="1" applyAlignment="1">
      <alignment horizontal="center" vertical="center"/>
    </xf>
    <xf numFmtId="3" fontId="10" fillId="3" borderId="28" xfId="2" applyNumberFormat="1" applyFont="1" applyFill="1" applyBorder="1" applyAlignment="1">
      <alignment horizontal="center"/>
    </xf>
    <xf numFmtId="3" fontId="10" fillId="3" borderId="39" xfId="2" applyNumberFormat="1" applyFont="1" applyFill="1" applyBorder="1" applyAlignment="1">
      <alignment horizontal="center"/>
    </xf>
    <xf numFmtId="3" fontId="10" fillId="3" borderId="25" xfId="2" applyNumberFormat="1" applyFont="1" applyFill="1" applyBorder="1" applyAlignment="1">
      <alignment horizontal="center"/>
    </xf>
    <xf numFmtId="3" fontId="10" fillId="3" borderId="37" xfId="2" applyNumberFormat="1" applyFont="1" applyFill="1" applyBorder="1" applyAlignment="1">
      <alignment horizontal="center"/>
    </xf>
    <xf numFmtId="3" fontId="10" fillId="3" borderId="29" xfId="2" applyNumberFormat="1" applyFont="1" applyFill="1" applyBorder="1" applyAlignment="1">
      <alignment horizontal="center"/>
    </xf>
    <xf numFmtId="3" fontId="10" fillId="3" borderId="63" xfId="2" applyNumberFormat="1" applyFont="1" applyFill="1" applyBorder="1" applyAlignment="1">
      <alignment horizontal="center"/>
    </xf>
    <xf numFmtId="3" fontId="10" fillId="3" borderId="26" xfId="2" applyNumberFormat="1" applyFont="1" applyFill="1" applyBorder="1" applyAlignment="1">
      <alignment horizontal="center"/>
    </xf>
    <xf numFmtId="3" fontId="10" fillId="3" borderId="45" xfId="2" applyNumberFormat="1" applyFont="1" applyFill="1" applyBorder="1" applyAlignment="1">
      <alignment horizontal="center"/>
    </xf>
    <xf numFmtId="3" fontId="10" fillId="3" borderId="36" xfId="2" applyNumberFormat="1" applyFont="1" applyFill="1" applyBorder="1" applyAlignment="1">
      <alignment horizontal="center"/>
    </xf>
    <xf numFmtId="3" fontId="10" fillId="3" borderId="40" xfId="2" applyNumberFormat="1" applyFont="1" applyFill="1" applyBorder="1" applyAlignment="1">
      <alignment horizontal="center"/>
    </xf>
    <xf numFmtId="3" fontId="10" fillId="3" borderId="32" xfId="2" applyNumberFormat="1" applyFont="1" applyFill="1" applyBorder="1" applyAlignment="1">
      <alignment horizontal="center"/>
    </xf>
    <xf numFmtId="3" fontId="10" fillId="3" borderId="35" xfId="2" applyNumberFormat="1" applyFont="1" applyFill="1" applyBorder="1" applyAlignment="1">
      <alignment horizontal="center"/>
    </xf>
    <xf numFmtId="3" fontId="10" fillId="0" borderId="29" xfId="2" applyNumberFormat="1" applyFont="1" applyFill="1" applyBorder="1" applyAlignment="1">
      <alignment horizontal="center"/>
    </xf>
    <xf numFmtId="3" fontId="10" fillId="0" borderId="28" xfId="2" applyNumberFormat="1" applyFont="1" applyFill="1" applyBorder="1" applyAlignment="1">
      <alignment horizontal="center"/>
    </xf>
    <xf numFmtId="3" fontId="10" fillId="0" borderId="39" xfId="2" applyNumberFormat="1" applyFont="1" applyFill="1" applyBorder="1" applyAlignment="1">
      <alignment horizontal="center"/>
    </xf>
    <xf numFmtId="3" fontId="10" fillId="0" borderId="63" xfId="2" applyNumberFormat="1" applyFont="1" applyFill="1" applyBorder="1" applyAlignment="1">
      <alignment horizontal="center"/>
    </xf>
    <xf numFmtId="3" fontId="12" fillId="3" borderId="29" xfId="2" applyNumberFormat="1" applyFont="1" applyFill="1" applyBorder="1" applyAlignment="1">
      <alignment horizontal="center"/>
    </xf>
    <xf numFmtId="3" fontId="12" fillId="0" borderId="63" xfId="2" applyNumberFormat="1" applyFont="1" applyFill="1" applyBorder="1" applyAlignment="1">
      <alignment horizontal="center"/>
    </xf>
    <xf numFmtId="3" fontId="12" fillId="3" borderId="26" xfId="2" applyNumberFormat="1" applyFont="1" applyFill="1" applyBorder="1" applyAlignment="1">
      <alignment horizontal="center"/>
    </xf>
    <xf numFmtId="3" fontId="12" fillId="3" borderId="45" xfId="2" applyNumberFormat="1" applyFont="1" applyFill="1" applyBorder="1" applyAlignment="1">
      <alignment horizontal="center"/>
    </xf>
    <xf numFmtId="3" fontId="10" fillId="3" borderId="30" xfId="2" applyNumberFormat="1" applyFont="1" applyFill="1" applyBorder="1" applyAlignment="1">
      <alignment horizontal="center"/>
    </xf>
    <xf numFmtId="3" fontId="10" fillId="3" borderId="64" xfId="2" applyNumberFormat="1" applyFont="1" applyFill="1" applyBorder="1" applyAlignment="1">
      <alignment horizontal="center"/>
    </xf>
    <xf numFmtId="3" fontId="10" fillId="3" borderId="27" xfId="2" applyNumberFormat="1" applyFont="1" applyFill="1" applyBorder="1" applyAlignment="1">
      <alignment horizontal="center"/>
    </xf>
    <xf numFmtId="3" fontId="10" fillId="3" borderId="65" xfId="2" applyNumberFormat="1" applyFont="1" applyFill="1" applyBorder="1" applyAlignment="1">
      <alignment horizontal="center"/>
    </xf>
    <xf numFmtId="3" fontId="12" fillId="3" borderId="36" xfId="2" applyNumberFormat="1" applyFont="1" applyFill="1" applyBorder="1" applyAlignment="1">
      <alignment horizontal="center"/>
    </xf>
    <xf numFmtId="3" fontId="12" fillId="3" borderId="40" xfId="2" applyNumberFormat="1" applyFont="1" applyFill="1" applyBorder="1" applyAlignment="1">
      <alignment horizontal="center"/>
    </xf>
    <xf numFmtId="3" fontId="12" fillId="3" borderId="63" xfId="2" applyNumberFormat="1" applyFont="1" applyFill="1" applyBorder="1" applyAlignment="1">
      <alignment horizontal="center"/>
    </xf>
    <xf numFmtId="3" fontId="19" fillId="3" borderId="29" xfId="2" applyNumberFormat="1" applyFont="1" applyFill="1" applyBorder="1" applyAlignment="1">
      <alignment horizontal="center"/>
    </xf>
    <xf numFmtId="168" fontId="10" fillId="0" borderId="52" xfId="2" applyNumberFormat="1" applyFont="1" applyFill="1" applyBorder="1" applyAlignment="1">
      <alignment horizontal="center"/>
    </xf>
    <xf numFmtId="168" fontId="10" fillId="0" borderId="14" xfId="2" applyNumberFormat="1" applyFont="1" applyFill="1" applyBorder="1" applyAlignment="1">
      <alignment horizontal="center"/>
    </xf>
    <xf numFmtId="168" fontId="10" fillId="0" borderId="53" xfId="2" applyNumberFormat="1" applyFont="1" applyFill="1" applyBorder="1" applyAlignment="1">
      <alignment horizontal="center"/>
    </xf>
    <xf numFmtId="168" fontId="10" fillId="0" borderId="18" xfId="2" applyNumberFormat="1" applyFont="1" applyFill="1" applyBorder="1" applyAlignment="1">
      <alignment horizontal="center"/>
    </xf>
    <xf numFmtId="168" fontId="12" fillId="0" borderId="53" xfId="2" applyNumberFormat="1" applyFont="1" applyFill="1" applyBorder="1" applyAlignment="1">
      <alignment horizontal="center"/>
    </xf>
    <xf numFmtId="168" fontId="12" fillId="0" borderId="18" xfId="2" applyNumberFormat="1" applyFont="1" applyFill="1" applyBorder="1" applyAlignment="1">
      <alignment horizontal="center"/>
    </xf>
    <xf numFmtId="168" fontId="12" fillId="0" borderId="54" xfId="2" applyNumberFormat="1" applyFont="1" applyFill="1" applyBorder="1" applyAlignment="1">
      <alignment horizontal="center"/>
    </xf>
    <xf numFmtId="168" fontId="12" fillId="0" borderId="15" xfId="2" applyNumberFormat="1" applyFont="1" applyFill="1" applyBorder="1" applyAlignment="1">
      <alignment horizontal="center"/>
    </xf>
    <xf numFmtId="3" fontId="10" fillId="3" borderId="46" xfId="2" applyNumberFormat="1" applyFont="1" applyFill="1" applyBorder="1" applyAlignment="1">
      <alignment horizontal="center"/>
    </xf>
    <xf numFmtId="3" fontId="10" fillId="3" borderId="55" xfId="2" applyNumberFormat="1" applyFont="1" applyFill="1" applyBorder="1" applyAlignment="1">
      <alignment horizontal="center"/>
    </xf>
    <xf numFmtId="3" fontId="19" fillId="3" borderId="36" xfId="2" applyNumberFormat="1" applyFont="1" applyFill="1" applyBorder="1" applyAlignment="1">
      <alignment horizontal="center"/>
    </xf>
    <xf numFmtId="3" fontId="19" fillId="3" borderId="40" xfId="2" applyNumberFormat="1" applyFont="1" applyFill="1" applyBorder="1" applyAlignment="1">
      <alignment horizontal="center"/>
    </xf>
    <xf numFmtId="3" fontId="19" fillId="3" borderId="32" xfId="2" applyNumberFormat="1" applyFont="1" applyFill="1" applyBorder="1" applyAlignment="1">
      <alignment horizontal="center"/>
    </xf>
    <xf numFmtId="3" fontId="19" fillId="3" borderId="35" xfId="2" applyNumberFormat="1" applyFont="1" applyFill="1" applyBorder="1" applyAlignment="1">
      <alignment horizontal="center"/>
    </xf>
    <xf numFmtId="165" fontId="10" fillId="3" borderId="30" xfId="1" applyNumberFormat="1" applyFont="1" applyFill="1" applyBorder="1" applyAlignment="1">
      <alignment horizontal="center"/>
    </xf>
    <xf numFmtId="165" fontId="10" fillId="3" borderId="64" xfId="1" applyNumberFormat="1" applyFont="1" applyFill="1" applyBorder="1" applyAlignment="1">
      <alignment horizontal="center"/>
    </xf>
    <xf numFmtId="168" fontId="20" fillId="0" borderId="53" xfId="2" applyNumberFormat="1" applyFont="1" applyFill="1" applyBorder="1" applyAlignment="1">
      <alignment horizontal="center"/>
    </xf>
    <xf numFmtId="168" fontId="20" fillId="0" borderId="18" xfId="2" applyNumberFormat="1" applyFont="1" applyFill="1" applyBorder="1" applyAlignment="1">
      <alignment horizontal="center"/>
    </xf>
    <xf numFmtId="9" fontId="10" fillId="0" borderId="54" xfId="1" applyFont="1" applyFill="1" applyBorder="1" applyAlignment="1">
      <alignment horizontal="center"/>
    </xf>
    <xf numFmtId="9" fontId="10" fillId="0" borderId="15" xfId="1" applyFont="1" applyFill="1" applyBorder="1" applyAlignment="1">
      <alignment horizontal="center"/>
    </xf>
    <xf numFmtId="0" fontId="31" fillId="3" borderId="0" xfId="0" applyFont="1" applyFill="1" applyBorder="1"/>
    <xf numFmtId="9" fontId="10" fillId="0" borderId="59" xfId="1" applyFont="1" applyFill="1" applyBorder="1" applyAlignment="1">
      <alignment horizontal="center"/>
    </xf>
    <xf numFmtId="9" fontId="10" fillId="0" borderId="61" xfId="1" applyFont="1" applyFill="1" applyBorder="1" applyAlignment="1">
      <alignment horizontal="center"/>
    </xf>
    <xf numFmtId="168" fontId="0" fillId="3" borderId="0" xfId="0" applyNumberFormat="1" applyFill="1"/>
    <xf numFmtId="3" fontId="10" fillId="3" borderId="33" xfId="2" applyNumberFormat="1" applyFont="1" applyFill="1" applyBorder="1" applyAlignment="1">
      <alignment horizontal="center"/>
    </xf>
    <xf numFmtId="3" fontId="10" fillId="3" borderId="34" xfId="2" applyNumberFormat="1" applyFont="1" applyFill="1" applyBorder="1" applyAlignment="1">
      <alignment horizontal="center"/>
    </xf>
    <xf numFmtId="0" fontId="26" fillId="6" borderId="10" xfId="0" applyFont="1" applyFill="1" applyBorder="1" applyAlignment="1">
      <alignment horizontal="center"/>
    </xf>
    <xf numFmtId="3" fontId="10" fillId="0" borderId="50" xfId="2" applyNumberFormat="1" applyFont="1" applyFill="1" applyBorder="1" applyAlignment="1">
      <alignment horizontal="center"/>
    </xf>
    <xf numFmtId="166" fontId="12" fillId="3" borderId="34" xfId="2" applyNumberFormat="1" applyFont="1" applyFill="1" applyBorder="1" applyAlignment="1">
      <alignment horizontal="center"/>
    </xf>
    <xf numFmtId="165" fontId="10" fillId="0" borderId="31" xfId="2" applyNumberFormat="1" applyFont="1" applyFill="1" applyBorder="1" applyAlignment="1">
      <alignment horizontal="center"/>
    </xf>
    <xf numFmtId="165" fontId="10" fillId="0" borderId="24" xfId="2" applyNumberFormat="1" applyFont="1" applyFill="1" applyBorder="1" applyAlignment="1">
      <alignment horizontal="center"/>
    </xf>
    <xf numFmtId="165" fontId="10" fillId="0" borderId="58" xfId="2" applyNumberFormat="1" applyFont="1" applyFill="1" applyBorder="1" applyAlignment="1">
      <alignment horizontal="center"/>
    </xf>
    <xf numFmtId="0" fontId="10" fillId="3" borderId="11"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165" fontId="10" fillId="0" borderId="38" xfId="2" applyNumberFormat="1" applyFont="1" applyFill="1" applyBorder="1" applyAlignment="1">
      <alignment horizontal="center"/>
    </xf>
    <xf numFmtId="165" fontId="10" fillId="0" borderId="42" xfId="2" applyNumberFormat="1" applyFont="1" applyFill="1" applyBorder="1" applyAlignment="1">
      <alignment horizontal="center"/>
    </xf>
    <xf numFmtId="166" fontId="10" fillId="3" borderId="28" xfId="2" applyNumberFormat="1" applyFont="1" applyFill="1" applyBorder="1" applyAlignment="1">
      <alignment horizontal="center"/>
    </xf>
    <xf numFmtId="166" fontId="10" fillId="3" borderId="25" xfId="2" applyNumberFormat="1" applyFont="1" applyFill="1" applyBorder="1" applyAlignment="1">
      <alignment horizontal="center"/>
    </xf>
    <xf numFmtId="166" fontId="10" fillId="3" borderId="29" xfId="2" applyNumberFormat="1" applyFont="1" applyFill="1" applyBorder="1" applyAlignment="1">
      <alignment horizontal="center"/>
    </xf>
    <xf numFmtId="166" fontId="10" fillId="3" borderId="26" xfId="2" applyNumberFormat="1" applyFont="1" applyFill="1" applyBorder="1" applyAlignment="1">
      <alignment horizontal="center"/>
    </xf>
    <xf numFmtId="166" fontId="10" fillId="3" borderId="47" xfId="2" applyNumberFormat="1" applyFont="1" applyFill="1" applyBorder="1" applyAlignment="1">
      <alignment horizontal="center"/>
    </xf>
    <xf numFmtId="9" fontId="10" fillId="3" borderId="28" xfId="2" applyNumberFormat="1" applyFont="1" applyFill="1" applyBorder="1" applyAlignment="1">
      <alignment horizontal="center"/>
    </xf>
    <xf numFmtId="9" fontId="10" fillId="3" borderId="25" xfId="2" applyNumberFormat="1" applyFont="1" applyFill="1" applyBorder="1" applyAlignment="1">
      <alignment horizontal="center"/>
    </xf>
    <xf numFmtId="9" fontId="10" fillId="3" borderId="46" xfId="2" applyNumberFormat="1" applyFont="1" applyFill="1" applyBorder="1" applyAlignment="1">
      <alignment horizontal="center"/>
    </xf>
    <xf numFmtId="9" fontId="10" fillId="3" borderId="33" xfId="2" applyNumberFormat="1" applyFont="1" applyFill="1" applyBorder="1" applyAlignment="1">
      <alignment horizontal="center"/>
    </xf>
    <xf numFmtId="9" fontId="10" fillId="3" borderId="29" xfId="2" applyNumberFormat="1" applyFont="1" applyFill="1" applyBorder="1" applyAlignment="1">
      <alignment horizontal="center"/>
    </xf>
    <xf numFmtId="9" fontId="10" fillId="3" borderId="26" xfId="2" applyNumberFormat="1" applyFont="1" applyFill="1" applyBorder="1" applyAlignment="1">
      <alignment horizontal="center"/>
    </xf>
    <xf numFmtId="9" fontId="10" fillId="3" borderId="36" xfId="2" applyNumberFormat="1" applyFont="1" applyFill="1" applyBorder="1" applyAlignment="1">
      <alignment horizontal="center"/>
    </xf>
    <xf numFmtId="9" fontId="10" fillId="3" borderId="32" xfId="2" applyNumberFormat="1" applyFont="1" applyFill="1" applyBorder="1" applyAlignment="1">
      <alignment horizontal="center"/>
    </xf>
    <xf numFmtId="9" fontId="10" fillId="3" borderId="37" xfId="2" applyNumberFormat="1" applyFont="1" applyFill="1" applyBorder="1" applyAlignment="1">
      <alignment horizontal="center"/>
    </xf>
    <xf numFmtId="9" fontId="10" fillId="3" borderId="34" xfId="2" applyNumberFormat="1" applyFont="1" applyFill="1" applyBorder="1" applyAlignment="1">
      <alignment horizontal="center"/>
    </xf>
    <xf numFmtId="9" fontId="10" fillId="3" borderId="45" xfId="2" applyNumberFormat="1" applyFont="1" applyFill="1" applyBorder="1" applyAlignment="1">
      <alignment horizontal="center"/>
    </xf>
    <xf numFmtId="9" fontId="10" fillId="3" borderId="35" xfId="2" applyNumberFormat="1" applyFont="1" applyFill="1" applyBorder="1" applyAlignment="1">
      <alignment horizontal="center"/>
    </xf>
    <xf numFmtId="0" fontId="26" fillId="6" borderId="10" xfId="0" applyFont="1" applyFill="1" applyBorder="1"/>
    <xf numFmtId="0" fontId="26" fillId="6" borderId="11" xfId="0" applyFont="1" applyFill="1" applyBorder="1"/>
    <xf numFmtId="166" fontId="0" fillId="3" borderId="0" xfId="0" applyNumberFormat="1" applyFill="1"/>
    <xf numFmtId="166" fontId="10" fillId="3" borderId="37" xfId="2" applyNumberFormat="1" applyFont="1" applyFill="1" applyBorder="1" applyAlignment="1">
      <alignment horizontal="center"/>
    </xf>
    <xf numFmtId="166" fontId="10" fillId="3" borderId="34" xfId="2" applyNumberFormat="1" applyFont="1" applyFill="1" applyBorder="1" applyAlignment="1">
      <alignment horizontal="center"/>
    </xf>
    <xf numFmtId="166" fontId="10" fillId="3" borderId="33" xfId="2" applyNumberFormat="1" applyFont="1" applyFill="1" applyBorder="1" applyAlignment="1">
      <alignment horizontal="center"/>
    </xf>
    <xf numFmtId="166" fontId="10" fillId="3" borderId="46" xfId="2" applyNumberFormat="1" applyFont="1" applyFill="1" applyBorder="1" applyAlignment="1">
      <alignment horizontal="center"/>
    </xf>
    <xf numFmtId="166" fontId="10" fillId="3" borderId="45" xfId="2" applyNumberFormat="1" applyFont="1" applyFill="1" applyBorder="1" applyAlignment="1">
      <alignment horizontal="center"/>
    </xf>
    <xf numFmtId="166" fontId="10" fillId="3" borderId="35" xfId="2" applyNumberFormat="1" applyFont="1" applyFill="1" applyBorder="1" applyAlignment="1">
      <alignment horizontal="center"/>
    </xf>
    <xf numFmtId="166" fontId="10" fillId="3" borderId="32" xfId="2" applyNumberFormat="1" applyFont="1" applyFill="1" applyBorder="1" applyAlignment="1">
      <alignment horizontal="center"/>
    </xf>
    <xf numFmtId="166" fontId="10" fillId="3" borderId="36" xfId="2" applyNumberFormat="1" applyFont="1" applyFill="1" applyBorder="1" applyAlignment="1">
      <alignment horizontal="center"/>
    </xf>
    <xf numFmtId="166" fontId="10" fillId="0" borderId="28" xfId="2" applyNumberFormat="1" applyFont="1" applyFill="1" applyBorder="1" applyAlignment="1">
      <alignment horizontal="center"/>
    </xf>
    <xf numFmtId="166" fontId="10" fillId="0" borderId="25" xfId="2" applyNumberFormat="1" applyFont="1" applyFill="1" applyBorder="1" applyAlignment="1">
      <alignment horizontal="center"/>
    </xf>
    <xf numFmtId="166" fontId="10" fillId="0" borderId="36" xfId="2" applyNumberFormat="1" applyFont="1" applyFill="1" applyBorder="1" applyAlignment="1">
      <alignment horizontal="center"/>
    </xf>
    <xf numFmtId="166" fontId="10" fillId="0" borderId="32" xfId="2" applyNumberFormat="1" applyFont="1" applyFill="1" applyBorder="1" applyAlignment="1">
      <alignment horizontal="center"/>
    </xf>
    <xf numFmtId="1" fontId="12" fillId="3" borderId="3" xfId="0" applyNumberFormat="1" applyFont="1" applyFill="1" applyBorder="1"/>
    <xf numFmtId="1" fontId="12" fillId="3" borderId="4" xfId="0" applyNumberFormat="1" applyFont="1" applyFill="1" applyBorder="1"/>
    <xf numFmtId="3" fontId="10" fillId="3" borderId="0" xfId="0" applyNumberFormat="1" applyFont="1" applyFill="1"/>
    <xf numFmtId="0" fontId="43" fillId="0" borderId="0" xfId="27"/>
    <xf numFmtId="165" fontId="10" fillId="3" borderId="11" xfId="1" applyNumberFormat="1" applyFont="1" applyFill="1" applyBorder="1"/>
    <xf numFmtId="2" fontId="12" fillId="3" borderId="0" xfId="3" applyNumberFormat="1" applyFont="1" applyFill="1" applyBorder="1"/>
    <xf numFmtId="2" fontId="12" fillId="3" borderId="6" xfId="3" applyNumberFormat="1" applyFont="1" applyFill="1" applyBorder="1"/>
    <xf numFmtId="2" fontId="13" fillId="3" borderId="7" xfId="3" applyNumberFormat="1" applyFont="1" applyFill="1" applyBorder="1"/>
    <xf numFmtId="2" fontId="13" fillId="3" borderId="8" xfId="3" applyNumberFormat="1" applyFont="1" applyFill="1" applyBorder="1"/>
    <xf numFmtId="2" fontId="13" fillId="3" borderId="9" xfId="3" applyNumberFormat="1" applyFont="1" applyFill="1" applyBorder="1"/>
    <xf numFmtId="2" fontId="12" fillId="3" borderId="5" xfId="3" applyNumberFormat="1" applyFont="1" applyFill="1" applyBorder="1"/>
    <xf numFmtId="0" fontId="23" fillId="6" borderId="2" xfId="3" applyFont="1" applyFill="1" applyBorder="1" applyAlignment="1" applyProtection="1"/>
    <xf numFmtId="2" fontId="10" fillId="8" borderId="10" xfId="3" applyNumberFormat="1" applyFont="1" applyFill="1" applyBorder="1"/>
    <xf numFmtId="2" fontId="10" fillId="8" borderId="5" xfId="3" applyNumberFormat="1" applyFont="1" applyFill="1" applyBorder="1"/>
    <xf numFmtId="2" fontId="10" fillId="8" borderId="7" xfId="3" applyNumberFormat="1" applyFont="1" applyFill="1" applyBorder="1"/>
    <xf numFmtId="2" fontId="20" fillId="8" borderId="10" xfId="3" applyNumberFormat="1" applyFont="1" applyFill="1" applyBorder="1"/>
    <xf numFmtId="2" fontId="20" fillId="8" borderId="7" xfId="3" applyNumberFormat="1" applyFont="1" applyFill="1" applyBorder="1"/>
    <xf numFmtId="9" fontId="10" fillId="3" borderId="10" xfId="1" applyFont="1" applyFill="1" applyBorder="1"/>
    <xf numFmtId="9" fontId="10" fillId="3" borderId="5" xfId="1" applyFont="1" applyFill="1" applyBorder="1"/>
    <xf numFmtId="9" fontId="12" fillId="3" borderId="2" xfId="1" applyFont="1" applyFill="1" applyBorder="1"/>
    <xf numFmtId="166" fontId="10" fillId="3" borderId="10" xfId="0" applyNumberFormat="1" applyFont="1" applyFill="1" applyBorder="1"/>
    <xf numFmtId="166" fontId="10" fillId="3" borderId="5" xfId="0" applyNumberFormat="1" applyFont="1" applyFill="1" applyBorder="1"/>
    <xf numFmtId="166" fontId="10" fillId="3" borderId="7" xfId="0" applyNumberFormat="1" applyFont="1" applyFill="1" applyBorder="1"/>
    <xf numFmtId="166" fontId="12" fillId="3" borderId="8" xfId="0" applyNumberFormat="1" applyFont="1" applyFill="1" applyBorder="1"/>
    <xf numFmtId="166" fontId="12" fillId="3" borderId="9" xfId="0" applyNumberFormat="1" applyFont="1" applyFill="1" applyBorder="1"/>
    <xf numFmtId="9" fontId="10" fillId="3" borderId="5" xfId="0" applyNumberFormat="1" applyFont="1" applyFill="1" applyBorder="1"/>
    <xf numFmtId="9" fontId="10" fillId="3" borderId="0" xfId="0" applyNumberFormat="1" applyFont="1" applyFill="1" applyBorder="1"/>
    <xf numFmtId="9" fontId="10" fillId="3" borderId="6" xfId="0" applyNumberFormat="1" applyFont="1" applyFill="1" applyBorder="1"/>
    <xf numFmtId="165" fontId="10" fillId="0" borderId="28" xfId="2" applyNumberFormat="1" applyFont="1" applyFill="1" applyBorder="1" applyAlignment="1">
      <alignment horizontal="center"/>
    </xf>
    <xf numFmtId="165" fontId="10" fillId="0" borderId="29" xfId="2" applyNumberFormat="1" applyFont="1" applyFill="1" applyBorder="1" applyAlignment="1">
      <alignment horizontal="center"/>
    </xf>
    <xf numFmtId="165" fontId="10" fillId="0" borderId="30" xfId="2" applyNumberFormat="1" applyFont="1" applyFill="1" applyBorder="1" applyAlignment="1">
      <alignment horizontal="center"/>
    </xf>
    <xf numFmtId="2" fontId="20" fillId="3" borderId="45" xfId="2" applyNumberFormat="1" applyFont="1" applyFill="1" applyBorder="1" applyAlignment="1">
      <alignment horizontal="center"/>
    </xf>
    <xf numFmtId="2" fontId="20" fillId="3" borderId="26" xfId="2" applyNumberFormat="1" applyFont="1" applyFill="1" applyBorder="1" applyAlignment="1">
      <alignment horizontal="center"/>
    </xf>
    <xf numFmtId="2" fontId="20" fillId="3" borderId="35" xfId="2" applyNumberFormat="1" applyFont="1" applyFill="1" applyBorder="1" applyAlignment="1">
      <alignment horizontal="center"/>
    </xf>
    <xf numFmtId="2" fontId="20" fillId="3" borderId="32" xfId="2" applyNumberFormat="1" applyFont="1" applyFill="1" applyBorder="1" applyAlignment="1">
      <alignment horizontal="center"/>
    </xf>
    <xf numFmtId="2" fontId="10" fillId="3" borderId="41" xfId="2" applyNumberFormat="1" applyFont="1" applyFill="1" applyBorder="1" applyAlignment="1">
      <alignment horizontal="center"/>
    </xf>
    <xf numFmtId="2" fontId="10" fillId="3" borderId="42" xfId="2" applyNumberFormat="1" applyFont="1" applyFill="1" applyBorder="1" applyAlignment="1">
      <alignment horizontal="center"/>
    </xf>
    <xf numFmtId="2" fontId="20" fillId="3" borderId="37" xfId="2" applyNumberFormat="1" applyFont="1" applyFill="1" applyBorder="1" applyAlignment="1">
      <alignment horizontal="center"/>
    </xf>
    <xf numFmtId="2" fontId="20" fillId="3" borderId="25" xfId="2" applyNumberFormat="1" applyFont="1" applyFill="1" applyBorder="1" applyAlignment="1">
      <alignment horizontal="center"/>
    </xf>
    <xf numFmtId="2" fontId="20" fillId="3" borderId="38" xfId="2" applyNumberFormat="1" applyFont="1" applyFill="1" applyBorder="1" applyAlignment="1">
      <alignment horizontal="center"/>
    </xf>
    <xf numFmtId="2" fontId="20" fillId="3" borderId="42" xfId="2" applyNumberFormat="1" applyFont="1" applyFill="1" applyBorder="1" applyAlignment="1">
      <alignment horizontal="center"/>
    </xf>
    <xf numFmtId="164" fontId="20" fillId="3" borderId="37" xfId="2" applyNumberFormat="1" applyFont="1" applyFill="1" applyBorder="1" applyAlignment="1">
      <alignment horizontal="center"/>
    </xf>
    <xf numFmtId="164" fontId="20" fillId="3" borderId="25" xfId="2" applyNumberFormat="1" applyFont="1" applyFill="1" applyBorder="1" applyAlignment="1">
      <alignment horizontal="center"/>
    </xf>
    <xf numFmtId="164" fontId="20" fillId="3" borderId="38" xfId="2" applyNumberFormat="1" applyFont="1" applyFill="1" applyBorder="1" applyAlignment="1">
      <alignment horizontal="center"/>
    </xf>
    <xf numFmtId="164" fontId="20" fillId="3" borderId="42" xfId="2" applyNumberFormat="1" applyFont="1" applyFill="1" applyBorder="1" applyAlignment="1">
      <alignment horizontal="center"/>
    </xf>
    <xf numFmtId="164" fontId="20" fillId="3" borderId="65" xfId="2" applyNumberFormat="1" applyFont="1" applyFill="1" applyBorder="1" applyAlignment="1">
      <alignment horizontal="center"/>
    </xf>
    <xf numFmtId="164" fontId="10" fillId="3" borderId="27" xfId="2" applyNumberFormat="1" applyFont="1" applyFill="1" applyBorder="1" applyAlignment="1">
      <alignment horizontal="center"/>
    </xf>
    <xf numFmtId="2" fontId="20" fillId="3" borderId="52" xfId="2" applyNumberFormat="1" applyFont="1" applyFill="1" applyBorder="1" applyAlignment="1">
      <alignment horizontal="center"/>
    </xf>
    <xf numFmtId="2" fontId="20" fillId="3" borderId="14" xfId="2" applyNumberFormat="1" applyFont="1" applyFill="1" applyBorder="1" applyAlignment="1">
      <alignment horizontal="center"/>
    </xf>
    <xf numFmtId="2" fontId="20" fillId="3" borderId="54" xfId="2" applyNumberFormat="1" applyFont="1" applyFill="1" applyBorder="1" applyAlignment="1">
      <alignment horizontal="center"/>
    </xf>
    <xf numFmtId="2" fontId="20" fillId="3" borderId="15" xfId="2" applyNumberFormat="1" applyFont="1" applyFill="1" applyBorder="1" applyAlignment="1">
      <alignment horizontal="center"/>
    </xf>
    <xf numFmtId="2" fontId="10" fillId="3" borderId="46" xfId="2" applyNumberFormat="1" applyFont="1" applyFill="1" applyBorder="1" applyAlignment="1">
      <alignment horizontal="center"/>
    </xf>
    <xf numFmtId="2" fontId="10" fillId="3" borderId="33" xfId="2" applyNumberFormat="1" applyFont="1" applyFill="1" applyBorder="1" applyAlignment="1">
      <alignment horizontal="center"/>
    </xf>
    <xf numFmtId="2" fontId="10" fillId="3" borderId="43" xfId="2" applyNumberFormat="1" applyFont="1" applyFill="1" applyBorder="1" applyAlignment="1">
      <alignment horizontal="center"/>
    </xf>
    <xf numFmtId="2" fontId="10" fillId="3" borderId="44" xfId="2" applyNumberFormat="1" applyFont="1" applyFill="1" applyBorder="1" applyAlignment="1">
      <alignment horizontal="center"/>
    </xf>
    <xf numFmtId="0" fontId="8" fillId="3" borderId="0" xfId="0" applyFont="1" applyFill="1" applyAlignment="1">
      <alignment horizontal="left" vertical="top" wrapText="1"/>
    </xf>
    <xf numFmtId="0" fontId="26" fillId="6" borderId="10" xfId="0" applyFont="1" applyFill="1" applyBorder="1" applyAlignment="1">
      <alignment horizontal="center"/>
    </xf>
    <xf numFmtId="0" fontId="26" fillId="6" borderId="12" xfId="0" applyFont="1" applyFill="1" applyBorder="1" applyAlignment="1">
      <alignment horizontal="center"/>
    </xf>
    <xf numFmtId="0" fontId="12" fillId="3" borderId="1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5" borderId="2" xfId="2" applyFont="1" applyFill="1" applyBorder="1" applyAlignment="1">
      <alignment horizontal="center" vertical="center" wrapText="1"/>
    </xf>
    <xf numFmtId="0" fontId="10" fillId="5" borderId="4" xfId="2" applyFont="1" applyFill="1" applyBorder="1" applyAlignment="1">
      <alignment horizontal="center" vertical="center" wrapText="1"/>
    </xf>
    <xf numFmtId="0" fontId="26" fillId="6" borderId="2" xfId="0" applyFont="1" applyFill="1" applyBorder="1" applyAlignment="1">
      <alignment horizontal="left"/>
    </xf>
    <xf numFmtId="0" fontId="26" fillId="6" borderId="4" xfId="0" applyFont="1" applyFill="1" applyBorder="1" applyAlignment="1">
      <alignment horizontal="left"/>
    </xf>
    <xf numFmtId="0" fontId="12" fillId="3" borderId="7"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3" borderId="7" xfId="0" applyFont="1" applyFill="1" applyBorder="1" applyAlignment="1">
      <alignment horizontal="center" vertical="center"/>
    </xf>
    <xf numFmtId="0" fontId="12" fillId="0" borderId="10" xfId="0" applyFon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12" fillId="3" borderId="5" xfId="0" applyFont="1" applyFill="1" applyBorder="1" applyAlignment="1">
      <alignment horizontal="center" vertical="center"/>
    </xf>
    <xf numFmtId="0" fontId="12" fillId="0" borderId="7"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5" xfId="0" applyFont="1" applyFill="1" applyBorder="1" applyAlignment="1">
      <alignment horizontal="center" vertical="center"/>
    </xf>
    <xf numFmtId="0" fontId="10" fillId="3" borderId="2"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17" fillId="3" borderId="0" xfId="0" applyFont="1" applyFill="1" applyAlignment="1">
      <alignment horizontal="center"/>
    </xf>
    <xf numFmtId="0" fontId="0" fillId="0" borderId="0" xfId="0" applyAlignment="1">
      <alignment horizontal="center"/>
    </xf>
    <xf numFmtId="0" fontId="23" fillId="6" borderId="0" xfId="0" applyFont="1" applyFill="1" applyAlignment="1">
      <alignment horizontal="center"/>
    </xf>
    <xf numFmtId="0" fontId="22" fillId="6" borderId="0" xfId="0" applyFont="1" applyFill="1" applyAlignment="1">
      <alignment horizontal="center"/>
    </xf>
    <xf numFmtId="0" fontId="10" fillId="3" borderId="8" xfId="0" applyFont="1" applyFill="1" applyBorder="1" applyAlignment="1">
      <alignment vertical="center" wrapText="1"/>
    </xf>
    <xf numFmtId="0" fontId="10" fillId="3" borderId="9" xfId="0" applyFont="1" applyFill="1" applyBorder="1" applyAlignment="1">
      <alignment vertical="center" wrapText="1"/>
    </xf>
    <xf numFmtId="0" fontId="10" fillId="3" borderId="11" xfId="0" applyFont="1" applyFill="1" applyBorder="1" applyAlignment="1">
      <alignment vertical="center" wrapText="1"/>
    </xf>
    <xf numFmtId="0" fontId="10" fillId="3" borderId="12" xfId="0" applyFont="1" applyFill="1" applyBorder="1" applyAlignment="1">
      <alignment vertical="center" wrapText="1"/>
    </xf>
    <xf numFmtId="0" fontId="10" fillId="3" borderId="0" xfId="0" applyFont="1" applyFill="1" applyBorder="1" applyAlignment="1">
      <alignment vertical="center" wrapText="1"/>
    </xf>
    <xf numFmtId="0" fontId="10" fillId="3" borderId="6" xfId="0" applyFont="1" applyFill="1" applyBorder="1" applyAlignment="1">
      <alignment vertical="center" wrapText="1"/>
    </xf>
    <xf numFmtId="0" fontId="12" fillId="0" borderId="5" xfId="0" applyFont="1" applyFill="1" applyBorder="1" applyAlignment="1">
      <alignment horizontal="center" vertical="center" wrapText="1"/>
    </xf>
    <xf numFmtId="0" fontId="23" fillId="6" borderId="2" xfId="0" applyFont="1" applyFill="1" applyBorder="1" applyAlignment="1">
      <alignment horizontal="center"/>
    </xf>
    <xf numFmtId="0" fontId="23" fillId="6" borderId="4" xfId="0" applyFont="1" applyFill="1" applyBorder="1" applyAlignment="1">
      <alignment horizontal="center"/>
    </xf>
    <xf numFmtId="0" fontId="23" fillId="6" borderId="10" xfId="0" applyFont="1" applyFill="1" applyBorder="1" applyAlignment="1">
      <alignment horizontal="center"/>
    </xf>
    <xf numFmtId="0" fontId="23" fillId="6" borderId="11" xfId="0" applyFont="1" applyFill="1" applyBorder="1" applyAlignment="1">
      <alignment horizontal="center"/>
    </xf>
    <xf numFmtId="0" fontId="23" fillId="6" borderId="3" xfId="0" applyFont="1" applyFill="1" applyBorder="1" applyAlignment="1">
      <alignment horizontal="center"/>
    </xf>
    <xf numFmtId="0" fontId="7" fillId="3" borderId="0" xfId="3" applyFont="1" applyFill="1" applyAlignment="1" applyProtection="1">
      <alignment horizontal="left"/>
    </xf>
    <xf numFmtId="0" fontId="8" fillId="5" borderId="5" xfId="3" applyNumberFormat="1" applyFont="1" applyFill="1" applyBorder="1" applyAlignment="1">
      <alignment horizontal="left"/>
    </xf>
    <xf numFmtId="0" fontId="8" fillId="5" borderId="0" xfId="3" applyNumberFormat="1" applyFont="1" applyFill="1" applyBorder="1" applyAlignment="1">
      <alignment horizontal="left"/>
    </xf>
    <xf numFmtId="0" fontId="23" fillId="6" borderId="12" xfId="0" applyFont="1" applyFill="1" applyBorder="1" applyAlignment="1">
      <alignment horizontal="center"/>
    </xf>
    <xf numFmtId="0" fontId="22" fillId="6" borderId="10"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6" fillId="6" borderId="10" xfId="0" applyFont="1" applyFill="1" applyBorder="1" applyAlignment="1">
      <alignment horizontal="center" vertical="center"/>
    </xf>
    <xf numFmtId="0" fontId="26" fillId="6" borderId="7" xfId="0" applyFont="1" applyFill="1" applyBorder="1" applyAlignment="1">
      <alignment horizontal="center" vertical="center"/>
    </xf>
    <xf numFmtId="0" fontId="32" fillId="6" borderId="11"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2" fillId="6" borderId="10" xfId="0" applyFont="1" applyFill="1" applyBorder="1" applyAlignment="1">
      <alignment horizontal="center" vertical="center"/>
    </xf>
    <xf numFmtId="0" fontId="22" fillId="6" borderId="5" xfId="0" applyFont="1" applyFill="1" applyBorder="1" applyAlignment="1">
      <alignment horizontal="center" vertical="center"/>
    </xf>
    <xf numFmtId="0" fontId="22" fillId="6" borderId="7" xfId="0" applyFont="1" applyFill="1" applyBorder="1" applyAlignment="1">
      <alignment horizontal="center" vertical="center"/>
    </xf>
    <xf numFmtId="0" fontId="26" fillId="6" borderId="12" xfId="0" applyFont="1" applyFill="1" applyBorder="1" applyAlignment="1">
      <alignment horizontal="center" vertical="center"/>
    </xf>
    <xf numFmtId="0" fontId="26" fillId="6" borderId="11" xfId="0" applyFont="1" applyFill="1" applyBorder="1" applyAlignment="1">
      <alignment horizontal="center" vertical="center"/>
    </xf>
  </cellXfs>
  <cellStyles count="28">
    <cellStyle name="Beräkning" xfId="7" builtinId="22"/>
    <cellStyle name="Beräkning 2" xfId="13" xr:uid="{00000000-0005-0000-0000-000001000000}"/>
    <cellStyle name="Förklarande text 2" xfId="14" xr:uid="{00000000-0005-0000-0000-000002000000}"/>
    <cellStyle name="Hyperlänk" xfId="27" builtinId="8"/>
    <cellStyle name="Indata" xfId="2" builtinId="20"/>
    <cellStyle name="Indata 2" xfId="12" xr:uid="{00000000-0005-0000-0000-000004000000}"/>
    <cellStyle name="Länkat rubrikår" xfId="10" xr:uid="{00000000-0005-0000-0000-000005000000}"/>
    <cellStyle name="Neutral 2" xfId="11" xr:uid="{00000000-0005-0000-0000-000006000000}"/>
    <cellStyle name="Normal" xfId="0" builtinId="0"/>
    <cellStyle name="Normal 12" xfId="19" xr:uid="{00000000-0005-0000-0000-000008000000}"/>
    <cellStyle name="Normal 2" xfId="9" xr:uid="{00000000-0005-0000-0000-000009000000}"/>
    <cellStyle name="Normal 2 2" xfId="16" xr:uid="{00000000-0005-0000-0000-00000A000000}"/>
    <cellStyle name="Normal 2 4" xfId="22" xr:uid="{00000000-0005-0000-0000-00000B000000}"/>
    <cellStyle name="Normal 3" xfId="17" xr:uid="{00000000-0005-0000-0000-00000C000000}"/>
    <cellStyle name="Normal 4" xfId="6" xr:uid="{00000000-0005-0000-0000-00000D000000}"/>
    <cellStyle name="Normal 4 2" xfId="20" xr:uid="{00000000-0005-0000-0000-00000E000000}"/>
    <cellStyle name="Normal 5" xfId="23" xr:uid="{00000000-0005-0000-0000-00000F000000}"/>
    <cellStyle name="Normal 6" xfId="21" xr:uid="{00000000-0005-0000-0000-000010000000}"/>
    <cellStyle name="Normal 7" xfId="24" xr:uid="{00000000-0005-0000-0000-000011000000}"/>
    <cellStyle name="Normal 8 2" xfId="3" xr:uid="{00000000-0005-0000-0000-000012000000}"/>
    <cellStyle name="Normal 9" xfId="4" xr:uid="{00000000-0005-0000-0000-000013000000}"/>
    <cellStyle name="Procent" xfId="1" builtinId="5"/>
    <cellStyle name="Procent 2" xfId="15" xr:uid="{00000000-0005-0000-0000-000015000000}"/>
    <cellStyle name="Procent 3" xfId="5" xr:uid="{00000000-0005-0000-0000-000016000000}"/>
    <cellStyle name="Procent 4" xfId="25" xr:uid="{00000000-0005-0000-0000-000017000000}"/>
    <cellStyle name="Procent 6" xfId="18" xr:uid="{00000000-0005-0000-0000-000018000000}"/>
    <cellStyle name="Rubrik 2 PS" xfId="8" xr:uid="{00000000-0005-0000-0000-000019000000}"/>
    <cellStyle name="Tusental 2" xfId="26" xr:uid="{00000000-0005-0000-0000-00001A000000}"/>
  </cellStyles>
  <dxfs count="0"/>
  <tableStyles count="0" defaultTableStyle="TableStyleMedium2" defaultPivotStyle="PivotStyleLight16"/>
  <colors>
    <mruColors>
      <color rgb="FFFF0000"/>
      <color rgb="FFD70000"/>
      <color rgb="FFD2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a:t>CO2</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03937007874015"/>
          <c:y val="5.0925925925925923E-2"/>
          <c:w val="0.82840507436570421"/>
          <c:h val="0.83704505686789155"/>
        </c:manualLayout>
      </c:layout>
      <c:barChart>
        <c:barDir val="col"/>
        <c:grouping val="clustered"/>
        <c:varyColors val="0"/>
        <c:ser>
          <c:idx val="2"/>
          <c:order val="0"/>
          <c:tx>
            <c:v>2010</c:v>
          </c:tx>
          <c:spPr>
            <a:solidFill>
              <a:schemeClr val="accent3"/>
            </a:solidFill>
            <a:ln>
              <a:noFill/>
            </a:ln>
            <a:effectLst/>
          </c:spPr>
          <c:invertIfNegative val="0"/>
          <c:val>
            <c:numRef>
              <c:f>'Indata - Utsläpp'!$B$13</c:f>
              <c:numCache>
                <c:formatCode>0.0</c:formatCode>
                <c:ptCount val="1"/>
                <c:pt idx="0">
                  <c:v>19.54</c:v>
                </c:pt>
              </c:numCache>
            </c:numRef>
          </c:val>
          <c:extLst>
            <c:ext xmlns:c16="http://schemas.microsoft.com/office/drawing/2014/chart" uri="{C3380CC4-5D6E-409C-BE32-E72D297353CC}">
              <c16:uniqueId val="{00000000-086A-4D24-BE0A-F66AF155D46D}"/>
            </c:ext>
          </c:extLst>
        </c:ser>
        <c:ser>
          <c:idx val="0"/>
          <c:order val="1"/>
          <c:tx>
            <c:v>2030</c:v>
          </c:tx>
          <c:spPr>
            <a:solidFill>
              <a:schemeClr val="accent1"/>
            </a:solidFill>
            <a:ln>
              <a:noFill/>
            </a:ln>
            <a:effectLst/>
          </c:spPr>
          <c:invertIfNegative val="0"/>
          <c:cat>
            <c:strRef>
              <c:f>'Figurer utsläpp'!$A$1:$C$1</c:f>
              <c:strCache>
                <c:ptCount val="3"/>
                <c:pt idx="0">
                  <c:v>Basprognos 2024</c:v>
                </c:pt>
                <c:pt idx="1">
                  <c:v>Scenario 1</c:v>
                </c:pt>
                <c:pt idx="2">
                  <c:v>Scenario 2</c:v>
                </c:pt>
              </c:strCache>
            </c:strRef>
          </c:cat>
          <c:val>
            <c:numRef>
              <c:f>(Resultat!$D$40,Resultat!$F$40,Resultat!$H$40)</c:f>
              <c:numCache>
                <c:formatCode>#\ ##0.0</c:formatCode>
                <c:ptCount val="3"/>
                <c:pt idx="0">
                  <c:v>11.096437400415157</c:v>
                </c:pt>
                <c:pt idx="1">
                  <c:v>11.433651595944225</c:v>
                </c:pt>
                <c:pt idx="2">
                  <c:v>11.433651595944225</c:v>
                </c:pt>
              </c:numCache>
            </c:numRef>
          </c:val>
          <c:extLst>
            <c:ext xmlns:c16="http://schemas.microsoft.com/office/drawing/2014/chart" uri="{C3380CC4-5D6E-409C-BE32-E72D297353CC}">
              <c16:uniqueId val="{00000001-086A-4D24-BE0A-F66AF155D46D}"/>
            </c:ext>
          </c:extLst>
        </c:ser>
        <c:ser>
          <c:idx val="1"/>
          <c:order val="2"/>
          <c:tx>
            <c:v>2045</c:v>
          </c:tx>
          <c:spPr>
            <a:solidFill>
              <a:schemeClr val="accent2"/>
            </a:solidFill>
            <a:ln>
              <a:noFill/>
            </a:ln>
            <a:effectLst/>
          </c:spPr>
          <c:invertIfNegative val="0"/>
          <c:cat>
            <c:strRef>
              <c:f>'Figurer utsläpp'!$A$1:$C$1</c:f>
              <c:strCache>
                <c:ptCount val="3"/>
                <c:pt idx="0">
                  <c:v>Basprognos 2024</c:v>
                </c:pt>
                <c:pt idx="1">
                  <c:v>Scenario 1</c:v>
                </c:pt>
                <c:pt idx="2">
                  <c:v>Scenario 2</c:v>
                </c:pt>
              </c:strCache>
            </c:strRef>
          </c:cat>
          <c:val>
            <c:numRef>
              <c:f>(Resultat!$E$40,Resultat!$G$40,Resultat!$I$40)</c:f>
              <c:numCache>
                <c:formatCode>#\ ##0.0</c:formatCode>
                <c:ptCount val="3"/>
                <c:pt idx="0">
                  <c:v>-5.9281489073729757E-17</c:v>
                </c:pt>
                <c:pt idx="1">
                  <c:v>-6.3337868731979014E-17</c:v>
                </c:pt>
                <c:pt idx="2">
                  <c:v>-6.3337868731979014E-17</c:v>
                </c:pt>
              </c:numCache>
            </c:numRef>
          </c:val>
          <c:extLst>
            <c:ext xmlns:c16="http://schemas.microsoft.com/office/drawing/2014/chart" uri="{C3380CC4-5D6E-409C-BE32-E72D297353CC}">
              <c16:uniqueId val="{00000002-086A-4D24-BE0A-F66AF155D46D}"/>
            </c:ext>
          </c:extLst>
        </c:ser>
        <c:dLbls>
          <c:showLegendKey val="0"/>
          <c:showVal val="0"/>
          <c:showCatName val="0"/>
          <c:showSerName val="0"/>
          <c:showPercent val="0"/>
          <c:showBubbleSize val="0"/>
        </c:dLbls>
        <c:gapWidth val="219"/>
        <c:overlap val="-27"/>
        <c:axId val="515645312"/>
        <c:axId val="515650232"/>
      </c:barChart>
      <c:catAx>
        <c:axId val="51564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50232"/>
        <c:crosses val="autoZero"/>
        <c:auto val="1"/>
        <c:lblAlgn val="ctr"/>
        <c:lblOffset val="100"/>
        <c:noMultiLvlLbl val="0"/>
      </c:catAx>
      <c:valAx>
        <c:axId val="515650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Miljoner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45312"/>
        <c:crosses val="autoZero"/>
        <c:crossBetween val="between"/>
      </c:valAx>
      <c:spPr>
        <a:noFill/>
        <a:ln>
          <a:noFill/>
        </a:ln>
        <a:effectLst/>
      </c:spPr>
    </c:plotArea>
    <c:legend>
      <c:legendPos val="r"/>
      <c:layout>
        <c:manualLayout>
          <c:xMode val="edge"/>
          <c:yMode val="edge"/>
          <c:x val="0.87187084285475569"/>
          <c:y val="4.6872799436655781E-2"/>
          <c:w val="0.10219187901280559"/>
          <c:h val="0.2527697095598815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a:t>PMslitage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03937007874015"/>
          <c:y val="5.0925925925925923E-2"/>
          <c:w val="0.82840507436570421"/>
          <c:h val="0.83704505686789155"/>
        </c:manualLayout>
      </c:layout>
      <c:barChart>
        <c:barDir val="col"/>
        <c:grouping val="clustered"/>
        <c:varyColors val="0"/>
        <c:ser>
          <c:idx val="2"/>
          <c:order val="0"/>
          <c:tx>
            <c:v>2010</c:v>
          </c:tx>
          <c:spPr>
            <a:solidFill>
              <a:schemeClr val="accent3"/>
            </a:solidFill>
            <a:ln>
              <a:noFill/>
            </a:ln>
            <a:effectLst/>
          </c:spPr>
          <c:invertIfNegative val="0"/>
          <c:val>
            <c:numRef>
              <c:f>'Indata - Utsläpp'!$B$26</c:f>
              <c:numCache>
                <c:formatCode>0.00</c:formatCode>
                <c:ptCount val="1"/>
                <c:pt idx="0">
                  <c:v>13.957799999999999</c:v>
                </c:pt>
              </c:numCache>
            </c:numRef>
          </c:val>
          <c:extLst>
            <c:ext xmlns:c16="http://schemas.microsoft.com/office/drawing/2014/chart" uri="{C3380CC4-5D6E-409C-BE32-E72D297353CC}">
              <c16:uniqueId val="{00000000-9CA7-4089-8CD1-51070170B2A9}"/>
            </c:ext>
          </c:extLst>
        </c:ser>
        <c:ser>
          <c:idx val="0"/>
          <c:order val="1"/>
          <c:tx>
            <c:v>2030</c:v>
          </c:tx>
          <c:spPr>
            <a:solidFill>
              <a:schemeClr val="accent1"/>
            </a:solidFill>
            <a:ln>
              <a:noFill/>
            </a:ln>
            <a:effectLst/>
          </c:spPr>
          <c:invertIfNegative val="0"/>
          <c:cat>
            <c:strRef>
              <c:f>'Figurer utsläpp'!$A$1:$C$1</c:f>
              <c:strCache>
                <c:ptCount val="3"/>
                <c:pt idx="0">
                  <c:v>Basprognos 2024</c:v>
                </c:pt>
                <c:pt idx="1">
                  <c:v>Scenario 1</c:v>
                </c:pt>
                <c:pt idx="2">
                  <c:v>Scenario 2</c:v>
                </c:pt>
              </c:strCache>
            </c:strRef>
          </c:cat>
          <c:val>
            <c:numRef>
              <c:f>(Resultat!$D$52,Resultat!$F$52,Resultat!$H$52)</c:f>
              <c:numCache>
                <c:formatCode>#\ ##0.0</c:formatCode>
                <c:ptCount val="3"/>
                <c:pt idx="0">
                  <c:v>13.760773878701469</c:v>
                </c:pt>
                <c:pt idx="1">
                  <c:v>14.298432944371593</c:v>
                </c:pt>
                <c:pt idx="2">
                  <c:v>14.298432944371593</c:v>
                </c:pt>
              </c:numCache>
            </c:numRef>
          </c:val>
          <c:extLst>
            <c:ext xmlns:c16="http://schemas.microsoft.com/office/drawing/2014/chart" uri="{C3380CC4-5D6E-409C-BE32-E72D297353CC}">
              <c16:uniqueId val="{00000001-9CA7-4089-8CD1-51070170B2A9}"/>
            </c:ext>
          </c:extLst>
        </c:ser>
        <c:ser>
          <c:idx val="1"/>
          <c:order val="2"/>
          <c:tx>
            <c:v>2045</c:v>
          </c:tx>
          <c:spPr>
            <a:solidFill>
              <a:schemeClr val="accent2"/>
            </a:solidFill>
            <a:ln>
              <a:noFill/>
            </a:ln>
            <a:effectLst/>
          </c:spPr>
          <c:invertIfNegative val="0"/>
          <c:cat>
            <c:strRef>
              <c:f>'Figurer utsläpp'!$A$1:$C$1</c:f>
              <c:strCache>
                <c:ptCount val="3"/>
                <c:pt idx="0">
                  <c:v>Basprognos 2024</c:v>
                </c:pt>
                <c:pt idx="1">
                  <c:v>Scenario 1</c:v>
                </c:pt>
                <c:pt idx="2">
                  <c:v>Scenario 2</c:v>
                </c:pt>
              </c:strCache>
            </c:strRef>
          </c:cat>
          <c:val>
            <c:numRef>
              <c:f>(Resultat!$E$52,Resultat!$G$52,Resultat!$I$52)</c:f>
              <c:numCache>
                <c:formatCode>#\ ##0.0</c:formatCode>
                <c:ptCount val="3"/>
                <c:pt idx="0">
                  <c:v>15.906672618442762</c:v>
                </c:pt>
                <c:pt idx="1">
                  <c:v>16.816636163167296</c:v>
                </c:pt>
                <c:pt idx="2">
                  <c:v>16.816636163167296</c:v>
                </c:pt>
              </c:numCache>
            </c:numRef>
          </c:val>
          <c:extLst>
            <c:ext xmlns:c16="http://schemas.microsoft.com/office/drawing/2014/chart" uri="{C3380CC4-5D6E-409C-BE32-E72D297353CC}">
              <c16:uniqueId val="{00000002-9CA7-4089-8CD1-51070170B2A9}"/>
            </c:ext>
          </c:extLst>
        </c:ser>
        <c:dLbls>
          <c:showLegendKey val="0"/>
          <c:showVal val="0"/>
          <c:showCatName val="0"/>
          <c:showSerName val="0"/>
          <c:showPercent val="0"/>
          <c:showBubbleSize val="0"/>
        </c:dLbls>
        <c:gapWidth val="219"/>
        <c:overlap val="-27"/>
        <c:axId val="515645312"/>
        <c:axId val="515650232"/>
      </c:barChart>
      <c:catAx>
        <c:axId val="51564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50232"/>
        <c:crosses val="autoZero"/>
        <c:auto val="1"/>
        <c:lblAlgn val="ctr"/>
        <c:lblOffset val="100"/>
        <c:noMultiLvlLbl val="0"/>
      </c:catAx>
      <c:valAx>
        <c:axId val="515650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45312"/>
        <c:crosses val="autoZero"/>
        <c:crossBetween val="between"/>
      </c:valAx>
      <c:spPr>
        <a:noFill/>
        <a:ln>
          <a:noFill/>
        </a:ln>
        <a:effectLst/>
      </c:spPr>
    </c:plotArea>
    <c:legend>
      <c:legendPos val="r"/>
      <c:layout>
        <c:manualLayout>
          <c:xMode val="edge"/>
          <c:yMode val="edge"/>
          <c:x val="0.87187084285475569"/>
          <c:y val="4.6872799436655781E-2"/>
          <c:w val="0.10219187901280559"/>
          <c:h val="0.2527697095598815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a:t>NOx</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03941272528872"/>
          <c:y val="5.0925951329254572E-2"/>
          <c:w val="0.82840507436570421"/>
          <c:h val="0.83704505686789155"/>
        </c:manualLayout>
      </c:layout>
      <c:barChart>
        <c:barDir val="col"/>
        <c:grouping val="clustered"/>
        <c:varyColors val="0"/>
        <c:ser>
          <c:idx val="2"/>
          <c:order val="0"/>
          <c:tx>
            <c:v>2010</c:v>
          </c:tx>
          <c:spPr>
            <a:solidFill>
              <a:schemeClr val="accent3"/>
            </a:solidFill>
            <a:ln>
              <a:noFill/>
            </a:ln>
            <a:effectLst/>
          </c:spPr>
          <c:invertIfNegative val="0"/>
          <c:val>
            <c:numRef>
              <c:f>'Indata - Utsläpp'!$B$27</c:f>
              <c:numCache>
                <c:formatCode>0.00</c:formatCode>
                <c:ptCount val="1"/>
                <c:pt idx="0">
                  <c:v>59.854699999999994</c:v>
                </c:pt>
              </c:numCache>
            </c:numRef>
          </c:val>
          <c:extLst>
            <c:ext xmlns:c16="http://schemas.microsoft.com/office/drawing/2014/chart" uri="{C3380CC4-5D6E-409C-BE32-E72D297353CC}">
              <c16:uniqueId val="{00000000-4AE6-4B2D-9274-FCB4EAB9BFF3}"/>
            </c:ext>
          </c:extLst>
        </c:ser>
        <c:ser>
          <c:idx val="0"/>
          <c:order val="1"/>
          <c:tx>
            <c:v>2030</c:v>
          </c:tx>
          <c:spPr>
            <a:solidFill>
              <a:schemeClr val="accent1"/>
            </a:solidFill>
            <a:ln>
              <a:noFill/>
            </a:ln>
            <a:effectLst/>
          </c:spPr>
          <c:invertIfNegative val="0"/>
          <c:cat>
            <c:strRef>
              <c:f>'Figurer utsläpp'!$A$1:$C$1</c:f>
              <c:strCache>
                <c:ptCount val="3"/>
                <c:pt idx="0">
                  <c:v>Basprognos 2024</c:v>
                </c:pt>
                <c:pt idx="1">
                  <c:v>Scenario 1</c:v>
                </c:pt>
                <c:pt idx="2">
                  <c:v>Scenario 2</c:v>
                </c:pt>
              </c:strCache>
            </c:strRef>
          </c:cat>
          <c:val>
            <c:numRef>
              <c:f>(Resultat!$D$44,Resultat!$F$44,Resultat!$H$44)</c:f>
              <c:numCache>
                <c:formatCode>#\ ##0.0</c:formatCode>
                <c:ptCount val="3"/>
                <c:pt idx="0">
                  <c:v>13.329766815912125</c:v>
                </c:pt>
                <c:pt idx="1">
                  <c:v>13.774291328131932</c:v>
                </c:pt>
                <c:pt idx="2">
                  <c:v>13.774291328131932</c:v>
                </c:pt>
              </c:numCache>
            </c:numRef>
          </c:val>
          <c:extLst>
            <c:ext xmlns:c16="http://schemas.microsoft.com/office/drawing/2014/chart" uri="{C3380CC4-5D6E-409C-BE32-E72D297353CC}">
              <c16:uniqueId val="{00000001-4AE6-4B2D-9274-FCB4EAB9BFF3}"/>
            </c:ext>
          </c:extLst>
        </c:ser>
        <c:ser>
          <c:idx val="1"/>
          <c:order val="2"/>
          <c:tx>
            <c:v>2045</c:v>
          </c:tx>
          <c:spPr>
            <a:solidFill>
              <a:schemeClr val="accent2"/>
            </a:solidFill>
            <a:ln>
              <a:noFill/>
            </a:ln>
            <a:effectLst/>
          </c:spPr>
          <c:invertIfNegative val="0"/>
          <c:cat>
            <c:strRef>
              <c:f>'Figurer utsläpp'!$A$1:$C$1</c:f>
              <c:strCache>
                <c:ptCount val="3"/>
                <c:pt idx="0">
                  <c:v>Basprognos 2024</c:v>
                </c:pt>
                <c:pt idx="1">
                  <c:v>Scenario 1</c:v>
                </c:pt>
                <c:pt idx="2">
                  <c:v>Scenario 2</c:v>
                </c:pt>
              </c:strCache>
            </c:strRef>
          </c:cat>
          <c:val>
            <c:numRef>
              <c:f>(Resultat!$E$44,Resultat!$G$44,Resultat!$I$44)</c:f>
              <c:numCache>
                <c:formatCode>#\ ##0.0</c:formatCode>
                <c:ptCount val="3"/>
                <c:pt idx="0">
                  <c:v>1.6706845910378145</c:v>
                </c:pt>
                <c:pt idx="1">
                  <c:v>1.7224628249531169</c:v>
                </c:pt>
                <c:pt idx="2">
                  <c:v>1.7224628249531169</c:v>
                </c:pt>
              </c:numCache>
            </c:numRef>
          </c:val>
          <c:extLst>
            <c:ext xmlns:c16="http://schemas.microsoft.com/office/drawing/2014/chart" uri="{C3380CC4-5D6E-409C-BE32-E72D297353CC}">
              <c16:uniqueId val="{00000002-4AE6-4B2D-9274-FCB4EAB9BFF3}"/>
            </c:ext>
          </c:extLst>
        </c:ser>
        <c:dLbls>
          <c:showLegendKey val="0"/>
          <c:showVal val="0"/>
          <c:showCatName val="0"/>
          <c:showSerName val="0"/>
          <c:showPercent val="0"/>
          <c:showBubbleSize val="0"/>
        </c:dLbls>
        <c:gapWidth val="219"/>
        <c:overlap val="-27"/>
        <c:axId val="515645312"/>
        <c:axId val="515650232"/>
      </c:barChart>
      <c:catAx>
        <c:axId val="51564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50232"/>
        <c:crosses val="autoZero"/>
        <c:auto val="1"/>
        <c:lblAlgn val="ctr"/>
        <c:lblOffset val="100"/>
        <c:noMultiLvlLbl val="0"/>
      </c:catAx>
      <c:valAx>
        <c:axId val="515650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45312"/>
        <c:crosses val="autoZero"/>
        <c:crossBetween val="between"/>
      </c:valAx>
      <c:spPr>
        <a:noFill/>
        <a:ln>
          <a:noFill/>
        </a:ln>
        <a:effectLst/>
      </c:spPr>
    </c:plotArea>
    <c:legend>
      <c:legendPos val="r"/>
      <c:layout>
        <c:manualLayout>
          <c:xMode val="edge"/>
          <c:yMode val="edge"/>
          <c:x val="0.89859694041585569"/>
          <c:y val="4.6872836547605462E-2"/>
          <c:w val="9.4054726206209582E-2"/>
          <c:h val="0.2351932837663584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a:t>PMavgas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03937007874015"/>
          <c:y val="5.0925925925925923E-2"/>
          <c:w val="0.82840507436570421"/>
          <c:h val="0.83704505686789155"/>
        </c:manualLayout>
      </c:layout>
      <c:barChart>
        <c:barDir val="col"/>
        <c:grouping val="clustered"/>
        <c:varyColors val="0"/>
        <c:ser>
          <c:idx val="2"/>
          <c:order val="0"/>
          <c:tx>
            <c:v>2010</c:v>
          </c:tx>
          <c:spPr>
            <a:solidFill>
              <a:schemeClr val="accent3"/>
            </a:solidFill>
            <a:ln>
              <a:noFill/>
            </a:ln>
            <a:effectLst/>
          </c:spPr>
          <c:invertIfNegative val="0"/>
          <c:val>
            <c:numRef>
              <c:f>'Indata - Utsläpp'!$B$25</c:f>
              <c:numCache>
                <c:formatCode>0.00</c:formatCode>
                <c:ptCount val="1"/>
                <c:pt idx="0">
                  <c:v>1.3952000000000002</c:v>
                </c:pt>
              </c:numCache>
            </c:numRef>
          </c:val>
          <c:extLst>
            <c:ext xmlns:c16="http://schemas.microsoft.com/office/drawing/2014/chart" uri="{C3380CC4-5D6E-409C-BE32-E72D297353CC}">
              <c16:uniqueId val="{00000000-A857-40FD-AE55-AAF31E040D60}"/>
            </c:ext>
          </c:extLst>
        </c:ser>
        <c:ser>
          <c:idx val="0"/>
          <c:order val="1"/>
          <c:tx>
            <c:v>2030</c:v>
          </c:tx>
          <c:spPr>
            <a:solidFill>
              <a:schemeClr val="accent1"/>
            </a:solidFill>
            <a:ln>
              <a:noFill/>
            </a:ln>
            <a:effectLst/>
          </c:spPr>
          <c:invertIfNegative val="0"/>
          <c:cat>
            <c:strRef>
              <c:f>'Figurer utsläpp'!$A$1:$C$1</c:f>
              <c:strCache>
                <c:ptCount val="3"/>
                <c:pt idx="0">
                  <c:v>Basprognos 2024</c:v>
                </c:pt>
                <c:pt idx="1">
                  <c:v>Scenario 1</c:v>
                </c:pt>
                <c:pt idx="2">
                  <c:v>Scenario 2</c:v>
                </c:pt>
              </c:strCache>
            </c:strRef>
          </c:cat>
          <c:val>
            <c:numRef>
              <c:f>(Resultat!$D$48,Resultat!$F$48,Resultat!$H$48)</c:f>
              <c:numCache>
                <c:formatCode>#\ ##0.0</c:formatCode>
                <c:ptCount val="3"/>
                <c:pt idx="0">
                  <c:v>0.1395429673370949</c:v>
                </c:pt>
                <c:pt idx="1">
                  <c:v>0.1444662892983706</c:v>
                </c:pt>
                <c:pt idx="2">
                  <c:v>0.1444662892983706</c:v>
                </c:pt>
              </c:numCache>
            </c:numRef>
          </c:val>
          <c:extLst>
            <c:ext xmlns:c16="http://schemas.microsoft.com/office/drawing/2014/chart" uri="{C3380CC4-5D6E-409C-BE32-E72D297353CC}">
              <c16:uniqueId val="{00000001-A857-40FD-AE55-AAF31E040D60}"/>
            </c:ext>
          </c:extLst>
        </c:ser>
        <c:ser>
          <c:idx val="1"/>
          <c:order val="2"/>
          <c:tx>
            <c:v>2045</c:v>
          </c:tx>
          <c:spPr>
            <a:solidFill>
              <a:schemeClr val="accent2"/>
            </a:solidFill>
            <a:ln>
              <a:noFill/>
            </a:ln>
            <a:effectLst/>
          </c:spPr>
          <c:invertIfNegative val="0"/>
          <c:cat>
            <c:strRef>
              <c:f>'Figurer utsläpp'!$A$1:$C$1</c:f>
              <c:strCache>
                <c:ptCount val="3"/>
                <c:pt idx="0">
                  <c:v>Basprognos 2024</c:v>
                </c:pt>
                <c:pt idx="1">
                  <c:v>Scenario 1</c:v>
                </c:pt>
                <c:pt idx="2">
                  <c:v>Scenario 2</c:v>
                </c:pt>
              </c:strCache>
            </c:strRef>
          </c:cat>
          <c:val>
            <c:numRef>
              <c:f>(Resultat!$E$48,Resultat!$G$48,Resultat!$I$48)</c:f>
              <c:numCache>
                <c:formatCode>#\ ##0.0</c:formatCode>
                <c:ptCount val="3"/>
                <c:pt idx="0">
                  <c:v>1.8643303627463984E-2</c:v>
                </c:pt>
                <c:pt idx="1">
                  <c:v>1.9524355248281274E-2</c:v>
                </c:pt>
                <c:pt idx="2">
                  <c:v>1.9524355248281274E-2</c:v>
                </c:pt>
              </c:numCache>
            </c:numRef>
          </c:val>
          <c:extLst>
            <c:ext xmlns:c16="http://schemas.microsoft.com/office/drawing/2014/chart" uri="{C3380CC4-5D6E-409C-BE32-E72D297353CC}">
              <c16:uniqueId val="{00000002-A857-40FD-AE55-AAF31E040D60}"/>
            </c:ext>
          </c:extLst>
        </c:ser>
        <c:dLbls>
          <c:showLegendKey val="0"/>
          <c:showVal val="0"/>
          <c:showCatName val="0"/>
          <c:showSerName val="0"/>
          <c:showPercent val="0"/>
          <c:showBubbleSize val="0"/>
        </c:dLbls>
        <c:gapWidth val="219"/>
        <c:overlap val="-27"/>
        <c:axId val="515645312"/>
        <c:axId val="515650232"/>
      </c:barChart>
      <c:catAx>
        <c:axId val="51564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50232"/>
        <c:crosses val="autoZero"/>
        <c:auto val="1"/>
        <c:lblAlgn val="ctr"/>
        <c:lblOffset val="100"/>
        <c:noMultiLvlLbl val="0"/>
      </c:catAx>
      <c:valAx>
        <c:axId val="515650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Tusen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15645312"/>
        <c:crosses val="autoZero"/>
        <c:crossBetween val="between"/>
      </c:valAx>
      <c:spPr>
        <a:noFill/>
        <a:ln>
          <a:noFill/>
        </a:ln>
        <a:effectLst/>
      </c:spPr>
    </c:plotArea>
    <c:legend>
      <c:legendPos val="r"/>
      <c:layout>
        <c:manualLayout>
          <c:xMode val="edge"/>
          <c:yMode val="edge"/>
          <c:x val="0.87187073490813649"/>
          <c:y val="0.10726778944298625"/>
          <c:w val="0.10240184443204278"/>
          <c:h val="0.2500017497812773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583510</xdr:colOff>
      <xdr:row>13</xdr:row>
      <xdr:rowOff>67088</xdr:rowOff>
    </xdr:to>
    <xdr:graphicFrame macro="">
      <xdr:nvGraphicFramePr>
        <xdr:cNvPr id="8" name="Diagram 7">
          <a:extLst>
            <a:ext uri="{FF2B5EF4-FFF2-40B4-BE49-F238E27FC236}">
              <a16:creationId xmlns:a16="http://schemas.microsoft.com/office/drawing/2014/main" id="{85713AEA-663B-4253-9708-4F93F0950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0</xdr:row>
      <xdr:rowOff>0</xdr:rowOff>
    </xdr:from>
    <xdr:to>
      <xdr:col>13</xdr:col>
      <xdr:colOff>583510</xdr:colOff>
      <xdr:row>13</xdr:row>
      <xdr:rowOff>67088</xdr:rowOff>
    </xdr:to>
    <xdr:graphicFrame macro="">
      <xdr:nvGraphicFramePr>
        <xdr:cNvPr id="9" name="Diagram 8">
          <a:extLst>
            <a:ext uri="{FF2B5EF4-FFF2-40B4-BE49-F238E27FC236}">
              <a16:creationId xmlns:a16="http://schemas.microsoft.com/office/drawing/2014/main" id="{7EB3F1F1-8967-404F-AD53-4B72F432F9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0</xdr:rowOff>
    </xdr:from>
    <xdr:to>
      <xdr:col>7</xdr:col>
      <xdr:colOff>9525</xdr:colOff>
      <xdr:row>27</xdr:row>
      <xdr:rowOff>152400</xdr:rowOff>
    </xdr:to>
    <xdr:graphicFrame macro="">
      <xdr:nvGraphicFramePr>
        <xdr:cNvPr id="10" name="Diagram 9">
          <a:extLst>
            <a:ext uri="{FF2B5EF4-FFF2-40B4-BE49-F238E27FC236}">
              <a16:creationId xmlns:a16="http://schemas.microsoft.com/office/drawing/2014/main" id="{AD4AE751-BF00-4ADD-8ACF-F2FDE1AB6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0</xdr:rowOff>
    </xdr:from>
    <xdr:to>
      <xdr:col>13</xdr:col>
      <xdr:colOff>574814</xdr:colOff>
      <xdr:row>27</xdr:row>
      <xdr:rowOff>95250</xdr:rowOff>
    </xdr:to>
    <xdr:graphicFrame macro="">
      <xdr:nvGraphicFramePr>
        <xdr:cNvPr id="11" name="Diagram 10">
          <a:extLst>
            <a:ext uri="{FF2B5EF4-FFF2-40B4-BE49-F238E27FC236}">
              <a16:creationId xmlns:a16="http://schemas.microsoft.com/office/drawing/2014/main" id="{CC840A59-FA12-4E53-87B2-46C89358B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sidan.energimyndigheten.se/samarbetsytor/samarbetsytor/L&#229;ngsiktiga%20scenarier/Delade%20dokument/Scenarier%20fossila%20priser%20LS2018%20till%2020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pbwan.net\SE\webbplatser\ws42\intkle\Kunskapsunderlag_klimat%20och%20energi\2018\Scenarier\K&#246;rkostnad%20l&#229;ng%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Ändringar"/>
      <sheetName val="Indata vid prognos"/>
      <sheetName val="Basår"/>
      <sheetName val="Transportkostnad"/>
      <sheetName val="Skattesatser"/>
      <sheetName val="Scenario - Referens, med skatt"/>
      <sheetName val="Scenario - Referens, utan skatt"/>
      <sheetName val="Koefficienter &amp; omvandlingstal"/>
      <sheetName val="Prisförutsättningar EU"/>
      <sheetName val="Egna beräkningar"/>
      <sheetName val="MMR template"/>
      <sheetName val="Blad1"/>
    </sheetNames>
    <sheetDataSet>
      <sheetData sheetId="0"/>
      <sheetData sheetId="1"/>
      <sheetData sheetId="2"/>
      <sheetData sheetId="3"/>
      <sheetData sheetId="4"/>
      <sheetData sheetId="5"/>
      <sheetData sheetId="6"/>
      <sheetData sheetId="7">
        <row r="8">
          <cell r="I8">
            <v>9107.2799999999988</v>
          </cell>
        </row>
        <row r="11">
          <cell r="I11">
            <v>9957.9600000000009</v>
          </cell>
        </row>
        <row r="12">
          <cell r="I12">
            <v>10185.92</v>
          </cell>
        </row>
        <row r="15">
          <cell r="I15">
            <v>10989.34</v>
          </cell>
        </row>
        <row r="20">
          <cell r="A20">
            <v>100</v>
          </cell>
        </row>
        <row r="21">
          <cell r="A21">
            <v>1000</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msida "/>
      <sheetName val="Framsida"/>
      <sheetName val="Innehållsförteckning"/>
      <sheetName val="Läsanvisning"/>
      <sheetName val="Introduktion"/>
      <sheetName val="0.1 Samgods"/>
      <sheetName val="0.2 Sampers"/>
      <sheetName val="0.3 Samkalk"/>
      <sheetName val="0.4 Bansek"/>
      <sheetName val="0.5 EVA"/>
      <sheetName val="0.6 BEVA"/>
      <sheetName val="0.7 VägBuse"/>
      <sheetName val="0.8 JärnvägsBuse"/>
      <sheetName val="0.9 Klimatkalkyl"/>
      <sheetName val="0.10 EBBA"/>
      <sheetName val="0.11 GC-Kalk"/>
      <sheetName val="0.12 Lönkalk"/>
      <sheetName val="0.13 TS-EVA"/>
      <sheetName val="0.14 Trafikalstring"/>
      <sheetName val="0.15 Vintermod"/>
      <sheetName val="0.16 Capcal"/>
      <sheetName val="0.17 Fel&amp;förseningsmodell"/>
      <sheetName val="0.18 Lågtrafikerade banor"/>
      <sheetName val="0.19 Plankorsningsmodell"/>
      <sheetName val="0.20 Excelark Meso-Mikro"/>
      <sheetName val="1."/>
      <sheetName val="2."/>
      <sheetName val="3."/>
      <sheetName val="4."/>
      <sheetName val="4a."/>
      <sheetName val="5."/>
      <sheetName val="6."/>
      <sheetName val="7."/>
      <sheetName val="7a. "/>
      <sheetName val="7b."/>
      <sheetName val="8."/>
      <sheetName val="8a."/>
      <sheetName val="8b."/>
      <sheetName val="9."/>
      <sheetName val="10."/>
      <sheetName val="11."/>
      <sheetName val="12."/>
      <sheetName val="13."/>
      <sheetName val="14."/>
      <sheetName val="15."/>
      <sheetName val="15a."/>
      <sheetName val="15b."/>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50."/>
      <sheetName val="50a."/>
      <sheetName val="51a."/>
      <sheetName val="51b."/>
      <sheetName val="51c."/>
      <sheetName val="51d."/>
      <sheetName val="51e"/>
      <sheetName val="52."/>
      <sheetName val="53."/>
      <sheetName val="54."/>
      <sheetName val="55."/>
      <sheetName val="56."/>
      <sheetName val="56a."/>
      <sheetName val="57."/>
      <sheetName val="59a."/>
      <sheetName val="59b."/>
      <sheetName val="61"/>
      <sheetName val="62."/>
      <sheetName val="Baksi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63">
          <cell r="BJ63">
            <v>0.05</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6">
          <cell r="I26">
            <v>13.6875</v>
          </cell>
        </row>
      </sheetData>
      <sheetData sheetId="69">
        <row r="23">
          <cell r="I23">
            <v>14.421875000000002</v>
          </cell>
        </row>
      </sheetData>
      <sheetData sheetId="70"/>
      <sheetData sheetId="71">
        <row r="23">
          <cell r="I23">
            <v>9.5399999999999991</v>
          </cell>
        </row>
      </sheetData>
      <sheetData sheetId="72">
        <row r="9">
          <cell r="B9">
            <v>949.7</v>
          </cell>
        </row>
      </sheetData>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70000"/>
  </sheetPr>
  <dimension ref="A1:J26"/>
  <sheetViews>
    <sheetView zoomScaleNormal="100" workbookViewId="0">
      <selection activeCell="A3" sqref="A3:I3"/>
    </sheetView>
  </sheetViews>
  <sheetFormatPr defaultColWidth="8.88671875" defaultRowHeight="14.4" x14ac:dyDescent="0.3"/>
  <cols>
    <col min="1" max="1" width="25" style="14" customWidth="1"/>
    <col min="2" max="2" width="54.5546875" style="14" customWidth="1"/>
    <col min="3" max="16384" width="8.88671875" style="14"/>
  </cols>
  <sheetData>
    <row r="1" spans="1:10" ht="17.399999999999999" x14ac:dyDescent="0.3">
      <c r="A1" s="108" t="s">
        <v>366</v>
      </c>
    </row>
    <row r="2" spans="1:10" ht="16.5" customHeight="1" x14ac:dyDescent="0.3"/>
    <row r="3" spans="1:10" ht="308.25" customHeight="1" x14ac:dyDescent="0.3">
      <c r="A3" s="564" t="s">
        <v>384</v>
      </c>
      <c r="B3" s="564"/>
      <c r="C3" s="564"/>
      <c r="D3" s="564"/>
      <c r="E3" s="564"/>
      <c r="F3" s="564"/>
      <c r="G3" s="564"/>
      <c r="H3" s="564"/>
      <c r="I3" s="564"/>
      <c r="J3" s="24"/>
    </row>
    <row r="4" spans="1:10" ht="15.75" customHeight="1" thickBot="1" x14ac:dyDescent="0.35"/>
    <row r="5" spans="1:10" ht="15" thickBot="1" x14ac:dyDescent="0.35">
      <c r="A5" s="91" t="s">
        <v>240</v>
      </c>
      <c r="B5" s="137" t="s">
        <v>61</v>
      </c>
      <c r="C5" s="28"/>
    </row>
    <row r="6" spans="1:10" x14ac:dyDescent="0.3">
      <c r="A6" s="272" t="s">
        <v>172</v>
      </c>
      <c r="B6" s="273" t="s">
        <v>269</v>
      </c>
      <c r="C6" s="28"/>
    </row>
    <row r="7" spans="1:10" x14ac:dyDescent="0.3">
      <c r="A7" s="274" t="s">
        <v>329</v>
      </c>
      <c r="B7" s="275" t="s">
        <v>330</v>
      </c>
      <c r="C7" s="28"/>
    </row>
    <row r="8" spans="1:10" x14ac:dyDescent="0.3">
      <c r="A8" s="274" t="s">
        <v>270</v>
      </c>
      <c r="B8" s="275" t="s">
        <v>268</v>
      </c>
      <c r="C8" s="28"/>
    </row>
    <row r="9" spans="1:10" x14ac:dyDescent="0.3">
      <c r="A9" s="274" t="s">
        <v>354</v>
      </c>
      <c r="B9" s="275" t="s">
        <v>355</v>
      </c>
      <c r="C9" s="28"/>
    </row>
    <row r="10" spans="1:10" x14ac:dyDescent="0.3">
      <c r="A10" s="274" t="s">
        <v>237</v>
      </c>
      <c r="B10" s="275" t="s">
        <v>203</v>
      </c>
      <c r="C10" s="28"/>
    </row>
    <row r="11" spans="1:10" x14ac:dyDescent="0.3">
      <c r="A11" s="274" t="s">
        <v>238</v>
      </c>
      <c r="B11" s="275" t="s">
        <v>241</v>
      </c>
      <c r="C11" s="28"/>
    </row>
    <row r="12" spans="1:10" x14ac:dyDescent="0.3">
      <c r="A12" s="274" t="s">
        <v>239</v>
      </c>
      <c r="B12" s="275" t="s">
        <v>242</v>
      </c>
      <c r="C12" s="28"/>
    </row>
    <row r="13" spans="1:10" ht="15" thickBot="1" x14ac:dyDescent="0.35">
      <c r="A13" s="276" t="s">
        <v>171</v>
      </c>
      <c r="B13" s="277" t="s">
        <v>243</v>
      </c>
      <c r="C13" s="28"/>
    </row>
    <row r="15" spans="1:10" x14ac:dyDescent="0.3">
      <c r="A15" s="334" t="s">
        <v>331</v>
      </c>
      <c r="B15" s="192"/>
    </row>
    <row r="16" spans="1:10" x14ac:dyDescent="0.3">
      <c r="A16" s="192" t="s">
        <v>332</v>
      </c>
      <c r="B16" s="192"/>
    </row>
    <row r="17" spans="1:2" x14ac:dyDescent="0.3">
      <c r="A17" s="192" t="s">
        <v>333</v>
      </c>
      <c r="B17" s="192"/>
    </row>
    <row r="18" spans="1:2" x14ac:dyDescent="0.3">
      <c r="A18" s="192" t="s">
        <v>334</v>
      </c>
      <c r="B18" s="192"/>
    </row>
    <row r="19" spans="1:2" x14ac:dyDescent="0.3">
      <c r="A19" s="192" t="s">
        <v>335</v>
      </c>
      <c r="B19" s="192"/>
    </row>
    <row r="20" spans="1:2" x14ac:dyDescent="0.3">
      <c r="A20" s="192" t="s">
        <v>336</v>
      </c>
      <c r="B20" s="192"/>
    </row>
    <row r="21" spans="1:2" x14ac:dyDescent="0.3">
      <c r="A21" s="192"/>
      <c r="B21" s="192"/>
    </row>
    <row r="22" spans="1:2" x14ac:dyDescent="0.3">
      <c r="A22" s="192"/>
      <c r="B22" s="192"/>
    </row>
    <row r="23" spans="1:2" x14ac:dyDescent="0.3">
      <c r="A23" s="192"/>
      <c r="B23" s="192"/>
    </row>
    <row r="24" spans="1:2" x14ac:dyDescent="0.3">
      <c r="A24" s="192"/>
      <c r="B24" s="192"/>
    </row>
    <row r="25" spans="1:2" x14ac:dyDescent="0.3">
      <c r="A25" s="192"/>
      <c r="B25" s="192"/>
    </row>
    <row r="26" spans="1:2" x14ac:dyDescent="0.3">
      <c r="A26" s="192"/>
      <c r="B26" s="192"/>
    </row>
  </sheetData>
  <mergeCells count="1">
    <mergeCell ref="A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AM99"/>
  <sheetViews>
    <sheetView zoomScale="90" zoomScaleNormal="90" workbookViewId="0">
      <pane ySplit="4" topLeftCell="A5" activePane="bottomLeft" state="frozen"/>
      <selection pane="bottomLeft" activeCell="G7" sqref="G7"/>
    </sheetView>
  </sheetViews>
  <sheetFormatPr defaultColWidth="8.88671875" defaultRowHeight="14.4" x14ac:dyDescent="0.3"/>
  <cols>
    <col min="1" max="1" width="22.109375" style="28" customWidth="1"/>
    <col min="2" max="2" width="27.109375" style="28" bestFit="1" customWidth="1"/>
    <col min="3" max="3" width="29.33203125" style="28" bestFit="1" customWidth="1"/>
    <col min="4" max="9" width="13.33203125" style="28" customWidth="1"/>
    <col min="10" max="10" width="8.88671875" style="14"/>
    <col min="11" max="11" width="22.109375" style="28" customWidth="1"/>
    <col min="12" max="12" width="27.109375" style="28" bestFit="1" customWidth="1"/>
    <col min="13" max="13" width="29.33203125" style="28" bestFit="1" customWidth="1"/>
    <col min="14" max="19" width="13.33203125" style="28" customWidth="1"/>
    <col min="20" max="20" width="8.88671875" style="14"/>
    <col min="21" max="21" width="22.109375" style="28" customWidth="1"/>
    <col min="22" max="22" width="27.109375" style="28" bestFit="1" customWidth="1"/>
    <col min="23" max="23" width="29.33203125" style="28" bestFit="1" customWidth="1"/>
    <col min="24" max="29" width="13.33203125" style="28" customWidth="1"/>
    <col min="30" max="30" width="8.88671875" style="14"/>
    <col min="31" max="31" width="22.109375" style="14" customWidth="1"/>
    <col min="32" max="32" width="27.109375" style="14" customWidth="1"/>
    <col min="33" max="33" width="29.33203125" style="14" customWidth="1"/>
    <col min="34" max="39" width="13.33203125" style="14" customWidth="1"/>
    <col min="40" max="16384" width="8.88671875" style="14"/>
  </cols>
  <sheetData>
    <row r="1" spans="1:39" ht="17.399999999999999" x14ac:dyDescent="0.3">
      <c r="A1" s="108" t="s">
        <v>245</v>
      </c>
    </row>
    <row r="2" spans="1:39" ht="15" thickBot="1" x14ac:dyDescent="0.35"/>
    <row r="3" spans="1:39" s="296" customFormat="1" ht="25.95" customHeight="1" thickBot="1" x14ac:dyDescent="0.35">
      <c r="A3" s="616" t="s">
        <v>61</v>
      </c>
      <c r="B3" s="618" t="s">
        <v>217</v>
      </c>
      <c r="C3" s="619"/>
      <c r="D3" s="616" t="s">
        <v>370</v>
      </c>
      <c r="E3" s="629"/>
      <c r="F3" s="616" t="s">
        <v>59</v>
      </c>
      <c r="G3" s="629"/>
      <c r="H3" s="630" t="s">
        <v>60</v>
      </c>
      <c r="I3" s="629"/>
      <c r="K3" s="616" t="s">
        <v>61</v>
      </c>
      <c r="L3" s="618" t="s">
        <v>231</v>
      </c>
      <c r="M3" s="619"/>
      <c r="N3" s="616" t="s">
        <v>370</v>
      </c>
      <c r="O3" s="629"/>
      <c r="P3" s="616" t="s">
        <v>59</v>
      </c>
      <c r="Q3" s="629"/>
      <c r="R3" s="630" t="s">
        <v>60</v>
      </c>
      <c r="S3" s="629"/>
      <c r="U3" s="616" t="s">
        <v>61</v>
      </c>
      <c r="V3" s="618" t="s">
        <v>232</v>
      </c>
      <c r="W3" s="619"/>
      <c r="X3" s="616" t="s">
        <v>370</v>
      </c>
      <c r="Y3" s="629"/>
      <c r="Z3" s="616" t="s">
        <v>59</v>
      </c>
      <c r="AA3" s="629"/>
      <c r="AB3" s="630" t="s">
        <v>60</v>
      </c>
      <c r="AC3" s="629"/>
      <c r="AE3" s="616" t="s">
        <v>61</v>
      </c>
      <c r="AF3" s="618" t="s">
        <v>229</v>
      </c>
      <c r="AG3" s="619"/>
      <c r="AH3" s="616" t="s">
        <v>370</v>
      </c>
      <c r="AI3" s="629"/>
      <c r="AJ3" s="616" t="s">
        <v>59</v>
      </c>
      <c r="AK3" s="629"/>
      <c r="AL3" s="630" t="s">
        <v>60</v>
      </c>
      <c r="AM3" s="629"/>
    </row>
    <row r="4" spans="1:39" s="109" customFormat="1" ht="25.95" customHeight="1" thickBot="1" x14ac:dyDescent="0.3">
      <c r="A4" s="617"/>
      <c r="B4" s="620"/>
      <c r="C4" s="621"/>
      <c r="D4" s="240">
        <v>2030</v>
      </c>
      <c r="E4" s="241">
        <v>2045</v>
      </c>
      <c r="F4" s="240">
        <v>2030</v>
      </c>
      <c r="G4" s="241">
        <v>2045</v>
      </c>
      <c r="H4" s="242">
        <v>2030</v>
      </c>
      <c r="I4" s="241">
        <v>2045</v>
      </c>
      <c r="K4" s="617"/>
      <c r="L4" s="620"/>
      <c r="M4" s="621"/>
      <c r="N4" s="240">
        <v>2030</v>
      </c>
      <c r="O4" s="241">
        <v>2045</v>
      </c>
      <c r="P4" s="240">
        <v>2030</v>
      </c>
      <c r="Q4" s="241">
        <v>2045</v>
      </c>
      <c r="R4" s="242">
        <v>2030</v>
      </c>
      <c r="S4" s="241">
        <v>2045</v>
      </c>
      <c r="U4" s="617"/>
      <c r="V4" s="620"/>
      <c r="W4" s="621"/>
      <c r="X4" s="240">
        <v>2030</v>
      </c>
      <c r="Y4" s="241">
        <v>2045</v>
      </c>
      <c r="Z4" s="240">
        <v>2030</v>
      </c>
      <c r="AA4" s="241">
        <v>2045</v>
      </c>
      <c r="AB4" s="242">
        <v>2030</v>
      </c>
      <c r="AC4" s="241">
        <v>2045</v>
      </c>
      <c r="AE4" s="617"/>
      <c r="AF4" s="620"/>
      <c r="AG4" s="621"/>
      <c r="AH4" s="240">
        <v>2030</v>
      </c>
      <c r="AI4" s="241">
        <v>2045</v>
      </c>
      <c r="AJ4" s="240">
        <v>2030</v>
      </c>
      <c r="AK4" s="241">
        <v>2045</v>
      </c>
      <c r="AL4" s="242">
        <v>2030</v>
      </c>
      <c r="AM4" s="241">
        <v>2045</v>
      </c>
    </row>
    <row r="5" spans="1:39" ht="15" thickBot="1" x14ac:dyDescent="0.35">
      <c r="A5" s="30" t="s">
        <v>73</v>
      </c>
      <c r="D5" s="62"/>
      <c r="E5" s="62"/>
      <c r="F5" s="62"/>
      <c r="G5" s="62"/>
      <c r="H5" s="62"/>
      <c r="I5" s="62"/>
      <c r="K5" s="30" t="s">
        <v>230</v>
      </c>
      <c r="N5" s="62"/>
      <c r="O5" s="62"/>
      <c r="P5" s="62"/>
      <c r="Q5" s="62"/>
      <c r="R5" s="62"/>
      <c r="S5" s="62"/>
      <c r="U5" s="30" t="s">
        <v>83</v>
      </c>
      <c r="X5" s="62"/>
      <c r="Y5" s="62"/>
      <c r="Z5" s="62"/>
      <c r="AA5" s="62"/>
      <c r="AB5" s="62"/>
      <c r="AC5" s="62"/>
      <c r="AE5" s="30" t="s">
        <v>146</v>
      </c>
      <c r="AF5" s="28"/>
      <c r="AG5" s="28"/>
      <c r="AH5" s="62"/>
      <c r="AI5" s="62"/>
      <c r="AJ5" s="62"/>
      <c r="AK5" s="62"/>
      <c r="AL5" s="62"/>
      <c r="AM5" s="62"/>
    </row>
    <row r="6" spans="1:39" x14ac:dyDescent="0.3">
      <c r="A6" s="626" t="s">
        <v>0</v>
      </c>
      <c r="B6" s="117" t="s">
        <v>9</v>
      </c>
      <c r="C6" s="165" t="s">
        <v>250</v>
      </c>
      <c r="D6" s="177">
        <f>Indata!E54</f>
        <v>23.67</v>
      </c>
      <c r="E6" s="178">
        <f>Indata!F54</f>
        <v>24.490000000000002</v>
      </c>
      <c r="F6" s="177">
        <f>Indata!G54</f>
        <v>23.67</v>
      </c>
      <c r="G6" s="178">
        <f>Indata!H54</f>
        <v>24.490000000000002</v>
      </c>
      <c r="H6" s="179">
        <f>Indata!I54</f>
        <v>23.67</v>
      </c>
      <c r="I6" s="178">
        <f>Indata!J54</f>
        <v>24.490000000000002</v>
      </c>
      <c r="K6" s="626" t="s">
        <v>0</v>
      </c>
      <c r="L6" s="117" t="s">
        <v>9</v>
      </c>
      <c r="M6" s="165" t="s">
        <v>250</v>
      </c>
      <c r="N6" s="177">
        <f>'Modell - Drivmedelpriser'!C57</f>
        <v>23.67</v>
      </c>
      <c r="O6" s="178">
        <f>'Modell - Drivmedelpriser'!D57</f>
        <v>24.490000000000002</v>
      </c>
      <c r="P6" s="177">
        <f>'Modell - Drivmedelpriser'!E57</f>
        <v>23.67</v>
      </c>
      <c r="Q6" s="178">
        <f>'Modell - Drivmedelpriser'!F57</f>
        <v>24.490000000000002</v>
      </c>
      <c r="R6" s="179">
        <f>'Modell - Drivmedelpriser'!G57</f>
        <v>23.67</v>
      </c>
      <c r="S6" s="178">
        <f>'Modell - Drivmedelpriser'!H57</f>
        <v>24.490000000000002</v>
      </c>
      <c r="U6" s="626" t="s">
        <v>0</v>
      </c>
      <c r="V6" s="117" t="s">
        <v>9</v>
      </c>
      <c r="W6" s="165" t="s">
        <v>250</v>
      </c>
      <c r="X6" s="177">
        <f>N6</f>
        <v>23.67</v>
      </c>
      <c r="Y6" s="178">
        <f t="shared" ref="Y6:Y7" si="0">O6</f>
        <v>24.490000000000002</v>
      </c>
      <c r="Z6" s="177">
        <f t="shared" ref="Z6:Z7" si="1">P6</f>
        <v>23.67</v>
      </c>
      <c r="AA6" s="178">
        <f t="shared" ref="AA6:AA7" si="2">Q6</f>
        <v>24.490000000000002</v>
      </c>
      <c r="AB6" s="179">
        <f t="shared" ref="AB6:AB7" si="3">R6</f>
        <v>23.67</v>
      </c>
      <c r="AC6" s="178">
        <f t="shared" ref="AC6:AC7" si="4">S6</f>
        <v>24.490000000000002</v>
      </c>
      <c r="AE6" s="626" t="s">
        <v>0</v>
      </c>
      <c r="AF6" s="117" t="s">
        <v>9</v>
      </c>
      <c r="AG6" s="165" t="s">
        <v>250</v>
      </c>
      <c r="AH6" s="177">
        <f>X6</f>
        <v>23.67</v>
      </c>
      <c r="AI6" s="178">
        <f t="shared" ref="AI6:AI7" si="5">Y6</f>
        <v>24.490000000000002</v>
      </c>
      <c r="AJ6" s="177">
        <f t="shared" ref="AJ6:AJ7" si="6">Z6</f>
        <v>23.67</v>
      </c>
      <c r="AK6" s="178">
        <f t="shared" ref="AK6:AK7" si="7">AA6</f>
        <v>24.490000000000002</v>
      </c>
      <c r="AL6" s="179">
        <f t="shared" ref="AL6:AL7" si="8">AB6</f>
        <v>23.67</v>
      </c>
      <c r="AM6" s="178">
        <f t="shared" ref="AM6:AM7" si="9">AC6</f>
        <v>24.490000000000002</v>
      </c>
    </row>
    <row r="7" spans="1:39" x14ac:dyDescent="0.3">
      <c r="A7" s="627"/>
      <c r="B7" s="118" t="s">
        <v>7</v>
      </c>
      <c r="C7" s="166" t="s">
        <v>251</v>
      </c>
      <c r="D7" s="256">
        <f>Indata!E55</f>
        <v>1.7434615384615384</v>
      </c>
      <c r="E7" s="257">
        <f>Indata!F55</f>
        <v>1.83</v>
      </c>
      <c r="F7" s="256">
        <f>Indata!G55</f>
        <v>1.7434615384615384</v>
      </c>
      <c r="G7" s="258">
        <f>Indata!H55</f>
        <v>1.83</v>
      </c>
      <c r="H7" s="259">
        <f>Indata!I55</f>
        <v>1.7434615384615384</v>
      </c>
      <c r="I7" s="258">
        <f>Indata!J55</f>
        <v>1.83</v>
      </c>
      <c r="K7" s="627"/>
      <c r="L7" s="118" t="s">
        <v>7</v>
      </c>
      <c r="M7" s="166" t="s">
        <v>251</v>
      </c>
      <c r="N7" s="256">
        <f>'Modell - Drivmedelpriser'!C83</f>
        <v>1.7434615384615384</v>
      </c>
      <c r="O7" s="257">
        <f>'Modell - Drivmedelpriser'!D83</f>
        <v>1.83</v>
      </c>
      <c r="P7" s="256">
        <f>'Modell - Drivmedelpriser'!E83</f>
        <v>1.7434615384615384</v>
      </c>
      <c r="Q7" s="258">
        <f>'Modell - Drivmedelpriser'!F83</f>
        <v>1.83</v>
      </c>
      <c r="R7" s="259">
        <f>'Modell - Drivmedelpriser'!G83</f>
        <v>1.7434615384615384</v>
      </c>
      <c r="S7" s="258">
        <f>'Modell - Drivmedelpriser'!H83</f>
        <v>1.83</v>
      </c>
      <c r="U7" s="627"/>
      <c r="V7" s="118" t="s">
        <v>7</v>
      </c>
      <c r="W7" s="166" t="s">
        <v>251</v>
      </c>
      <c r="X7" s="256">
        <f t="shared" ref="X7" si="10">N7</f>
        <v>1.7434615384615384</v>
      </c>
      <c r="Y7" s="257">
        <f t="shared" si="0"/>
        <v>1.83</v>
      </c>
      <c r="Z7" s="256">
        <f t="shared" si="1"/>
        <v>1.7434615384615384</v>
      </c>
      <c r="AA7" s="258">
        <f t="shared" si="2"/>
        <v>1.83</v>
      </c>
      <c r="AB7" s="259">
        <f t="shared" si="3"/>
        <v>1.7434615384615384</v>
      </c>
      <c r="AC7" s="258">
        <f t="shared" si="4"/>
        <v>1.83</v>
      </c>
      <c r="AE7" s="627"/>
      <c r="AF7" s="118" t="s">
        <v>7</v>
      </c>
      <c r="AG7" s="166" t="s">
        <v>251</v>
      </c>
      <c r="AH7" s="256">
        <f t="shared" ref="AH7" si="11">X7</f>
        <v>1.7434615384615384</v>
      </c>
      <c r="AI7" s="257">
        <f t="shared" si="5"/>
        <v>1.83</v>
      </c>
      <c r="AJ7" s="256">
        <f t="shared" si="6"/>
        <v>1.7434615384615384</v>
      </c>
      <c r="AK7" s="258">
        <f t="shared" si="7"/>
        <v>1.83</v>
      </c>
      <c r="AL7" s="259">
        <f t="shared" si="8"/>
        <v>1.7434615384615384</v>
      </c>
      <c r="AM7" s="258">
        <f t="shared" si="9"/>
        <v>1.83</v>
      </c>
    </row>
    <row r="8" spans="1:39" ht="15" thickBot="1" x14ac:dyDescent="0.35">
      <c r="A8" s="628"/>
      <c r="B8" s="163" t="s">
        <v>235</v>
      </c>
      <c r="C8" s="167" t="s">
        <v>25</v>
      </c>
      <c r="D8" s="260" t="s">
        <v>72</v>
      </c>
      <c r="E8" s="261" t="s">
        <v>72</v>
      </c>
      <c r="F8" s="260" t="s">
        <v>72</v>
      </c>
      <c r="G8" s="262" t="s">
        <v>72</v>
      </c>
      <c r="H8" s="263" t="s">
        <v>72</v>
      </c>
      <c r="I8" s="262" t="s">
        <v>72</v>
      </c>
      <c r="K8" s="628"/>
      <c r="L8" s="163" t="s">
        <v>235</v>
      </c>
      <c r="M8" s="167" t="s">
        <v>25</v>
      </c>
      <c r="N8" s="199">
        <f>N6/D6-1</f>
        <v>0</v>
      </c>
      <c r="O8" s="282">
        <f t="shared" ref="O8:S8" si="12">O6/E6-1</f>
        <v>0</v>
      </c>
      <c r="P8" s="199">
        <f t="shared" si="12"/>
        <v>0</v>
      </c>
      <c r="Q8" s="200">
        <f t="shared" si="12"/>
        <v>0</v>
      </c>
      <c r="R8" s="201">
        <f t="shared" si="12"/>
        <v>0</v>
      </c>
      <c r="S8" s="200">
        <f t="shared" si="12"/>
        <v>0</v>
      </c>
      <c r="U8" s="628"/>
      <c r="V8" s="163" t="s">
        <v>235</v>
      </c>
      <c r="W8" s="167" t="s">
        <v>25</v>
      </c>
      <c r="X8" s="199">
        <f>X6/D6-1</f>
        <v>0</v>
      </c>
      <c r="Y8" s="282">
        <f t="shared" ref="Y8:AC8" si="13">Y6/E6-1</f>
        <v>0</v>
      </c>
      <c r="Z8" s="199">
        <f t="shared" si="13"/>
        <v>0</v>
      </c>
      <c r="AA8" s="200">
        <f t="shared" si="13"/>
        <v>0</v>
      </c>
      <c r="AB8" s="201">
        <f t="shared" si="13"/>
        <v>0</v>
      </c>
      <c r="AC8" s="200">
        <f t="shared" si="13"/>
        <v>0</v>
      </c>
      <c r="AE8" s="628"/>
      <c r="AF8" s="163" t="s">
        <v>235</v>
      </c>
      <c r="AG8" s="167" t="s">
        <v>25</v>
      </c>
      <c r="AH8" s="199">
        <f>AH6/D6-1</f>
        <v>0</v>
      </c>
      <c r="AI8" s="282">
        <f t="shared" ref="AI8:AM8" si="14">AI6/E6-1</f>
        <v>0</v>
      </c>
      <c r="AJ8" s="199">
        <f t="shared" si="14"/>
        <v>0</v>
      </c>
      <c r="AK8" s="200">
        <f t="shared" si="14"/>
        <v>0</v>
      </c>
      <c r="AL8" s="201">
        <f t="shared" si="14"/>
        <v>0</v>
      </c>
      <c r="AM8" s="200">
        <f t="shared" si="14"/>
        <v>0</v>
      </c>
    </row>
    <row r="9" spans="1:39" x14ac:dyDescent="0.3">
      <c r="AE9" s="28"/>
      <c r="AF9" s="28"/>
      <c r="AG9" s="28"/>
      <c r="AH9" s="28"/>
      <c r="AI9" s="28"/>
      <c r="AJ9" s="28"/>
      <c r="AK9" s="28"/>
      <c r="AL9" s="28"/>
      <c r="AM9" s="28"/>
    </row>
    <row r="10" spans="1:39" ht="15" thickBot="1" x14ac:dyDescent="0.35">
      <c r="A10" s="30" t="s">
        <v>74</v>
      </c>
      <c r="D10" s="63"/>
      <c r="E10" s="63"/>
      <c r="F10" s="63"/>
      <c r="G10" s="63"/>
      <c r="H10" s="63"/>
      <c r="I10" s="63"/>
      <c r="K10" s="30" t="s">
        <v>219</v>
      </c>
      <c r="N10" s="63"/>
      <c r="O10" s="63"/>
      <c r="P10" s="63"/>
      <c r="Q10" s="63"/>
      <c r="R10" s="63"/>
      <c r="S10" s="63"/>
      <c r="U10" s="30" t="s">
        <v>84</v>
      </c>
      <c r="X10" s="63"/>
      <c r="Y10" s="63"/>
      <c r="Z10" s="63"/>
      <c r="AA10" s="63"/>
      <c r="AB10" s="63"/>
      <c r="AC10" s="63"/>
      <c r="AE10" s="30" t="s">
        <v>147</v>
      </c>
      <c r="AF10" s="28"/>
      <c r="AG10" s="28"/>
      <c r="AH10" s="63"/>
      <c r="AI10" s="63"/>
      <c r="AJ10" s="63"/>
      <c r="AK10" s="63"/>
      <c r="AL10" s="63"/>
      <c r="AM10" s="63"/>
    </row>
    <row r="11" spans="1:39" ht="14.4" customHeight="1" x14ac:dyDescent="0.3">
      <c r="A11" s="613" t="s">
        <v>38</v>
      </c>
      <c r="B11" s="117" t="s">
        <v>130</v>
      </c>
      <c r="C11" s="117" t="s">
        <v>39</v>
      </c>
      <c r="D11" s="177">
        <f>Indata!E46</f>
        <v>1.6649068439691834</v>
      </c>
      <c r="E11" s="202">
        <f>Indata!F46</f>
        <v>1.47833151113552</v>
      </c>
      <c r="F11" s="177">
        <f>Indata!G46</f>
        <v>1.6649068439691834</v>
      </c>
      <c r="G11" s="178">
        <f>Indata!H46</f>
        <v>1.47833151113552</v>
      </c>
      <c r="H11" s="179">
        <f>Indata!I46</f>
        <v>1.6649068439691834</v>
      </c>
      <c r="I11" s="178">
        <f>Indata!J46</f>
        <v>1.47833151113552</v>
      </c>
      <c r="K11" s="613" t="s">
        <v>38</v>
      </c>
      <c r="L11" s="117" t="s">
        <v>130</v>
      </c>
      <c r="M11" s="117" t="s">
        <v>39</v>
      </c>
      <c r="N11" s="177">
        <f>D11*(100%+N8*'Indata - Effektsamband-Faktorer'!$D$6)*(1-Indata!E$20)</f>
        <v>1.6649068439691834</v>
      </c>
      <c r="O11" s="202">
        <f>E11*(100%+O8*'Indata - Effektsamband-Faktorer'!$E$6)*(1-Indata!F$20)</f>
        <v>1.47833151113552</v>
      </c>
      <c r="P11" s="177">
        <f>F11*(100%+P8*'Indata - Effektsamband-Faktorer'!$D$6)*(1-Indata!G$20)</f>
        <v>1.6649068439691834</v>
      </c>
      <c r="Q11" s="178">
        <f>G11*(100%+Q8*'Indata - Effektsamband-Faktorer'!$E$6)*(1-Indata!H$20)</f>
        <v>1.47833151113552</v>
      </c>
      <c r="R11" s="179">
        <f>H11*(100%+R8*'Indata - Effektsamband-Faktorer'!$D$6)*(1-Indata!I$20)</f>
        <v>1.6649068439691834</v>
      </c>
      <c r="S11" s="178">
        <f>I11*(100%+S8*'Indata - Effektsamband-Faktorer'!$E$6)*(1-Indata!J$20)</f>
        <v>1.47833151113552</v>
      </c>
      <c r="U11" s="613" t="s">
        <v>38</v>
      </c>
      <c r="V11" s="117" t="s">
        <v>130</v>
      </c>
      <c r="W11" s="117" t="s">
        <v>39</v>
      </c>
      <c r="X11" s="177">
        <f>N11</f>
        <v>1.6649068439691834</v>
      </c>
      <c r="Y11" s="202">
        <f t="shared" ref="Y11:Y14" si="15">O11</f>
        <v>1.47833151113552</v>
      </c>
      <c r="Z11" s="177">
        <f t="shared" ref="Z11:Z14" si="16">P11</f>
        <v>1.6649068439691834</v>
      </c>
      <c r="AA11" s="178">
        <f t="shared" ref="AA11:AA14" si="17">Q11</f>
        <v>1.47833151113552</v>
      </c>
      <c r="AB11" s="179">
        <f t="shared" ref="AB11:AB14" si="18">R11</f>
        <v>1.6649068439691834</v>
      </c>
      <c r="AC11" s="178">
        <f t="shared" ref="AC11:AC14" si="19">S11</f>
        <v>1.47833151113552</v>
      </c>
      <c r="AE11" s="613" t="s">
        <v>38</v>
      </c>
      <c r="AF11" s="117" t="s">
        <v>130</v>
      </c>
      <c r="AG11" s="117" t="s">
        <v>39</v>
      </c>
      <c r="AH11" s="177">
        <f>X11</f>
        <v>1.6649068439691834</v>
      </c>
      <c r="AI11" s="202">
        <f t="shared" ref="AI11:AI14" si="20">Y11</f>
        <v>1.47833151113552</v>
      </c>
      <c r="AJ11" s="177">
        <f t="shared" ref="AJ11:AJ14" si="21">Z11</f>
        <v>1.6649068439691834</v>
      </c>
      <c r="AK11" s="178">
        <f t="shared" ref="AK11:AK14" si="22">AA11</f>
        <v>1.47833151113552</v>
      </c>
      <c r="AL11" s="179">
        <f t="shared" ref="AL11:AL14" si="23">AB11</f>
        <v>1.6649068439691834</v>
      </c>
      <c r="AM11" s="178">
        <f t="shared" ref="AM11:AM14" si="24">AC11</f>
        <v>1.47833151113552</v>
      </c>
    </row>
    <row r="12" spans="1:39" x14ac:dyDescent="0.3">
      <c r="A12" s="614"/>
      <c r="B12" s="118" t="s">
        <v>131</v>
      </c>
      <c r="C12" s="118" t="s">
        <v>39</v>
      </c>
      <c r="D12" s="180">
        <f>Indata!E47</f>
        <v>2.0884322780651385</v>
      </c>
      <c r="E12" s="203">
        <f>Indata!F47</f>
        <v>1.8542566233350499</v>
      </c>
      <c r="F12" s="180">
        <f>Indata!G47</f>
        <v>2.0884322780651385</v>
      </c>
      <c r="G12" s="181">
        <f>Indata!H47</f>
        <v>1.8542566233350499</v>
      </c>
      <c r="H12" s="182">
        <f>Indata!I47</f>
        <v>2.0884322780651385</v>
      </c>
      <c r="I12" s="181">
        <f>Indata!J47</f>
        <v>1.8542566233350499</v>
      </c>
      <c r="K12" s="614"/>
      <c r="L12" s="118" t="s">
        <v>131</v>
      </c>
      <c r="M12" s="118" t="s">
        <v>39</v>
      </c>
      <c r="N12" s="180">
        <f>D12*(100%+N9*'Indata - Effektsamband-Faktorer'!$D$6)*(1-Indata!E$20)</f>
        <v>2.0884322780651385</v>
      </c>
      <c r="O12" s="203">
        <f>E12*(100%+O9*'Indata - Effektsamband-Faktorer'!$E$6)*(1-Indata!F$20)</f>
        <v>1.8542566233350499</v>
      </c>
      <c r="P12" s="180">
        <f>F12*(100%+P9*'Indata - Effektsamband-Faktorer'!$D$6)*(1-Indata!G$20)</f>
        <v>2.0884322780651385</v>
      </c>
      <c r="Q12" s="181">
        <f>G12*(100%+Q9*'Indata - Effektsamband-Faktorer'!$E$6)*(1-Indata!H$20)</f>
        <v>1.8542566233350499</v>
      </c>
      <c r="R12" s="182">
        <f>H12*(100%+R9*'Indata - Effektsamband-Faktorer'!$D$6)*(1-Indata!I$20)</f>
        <v>2.0884322780651385</v>
      </c>
      <c r="S12" s="181">
        <f>I12*(100%+S9*'Indata - Effektsamband-Faktorer'!$E$6)*(1-Indata!J$20)</f>
        <v>1.8542566233350499</v>
      </c>
      <c r="U12" s="614"/>
      <c r="V12" s="118" t="s">
        <v>131</v>
      </c>
      <c r="W12" s="118" t="s">
        <v>39</v>
      </c>
      <c r="X12" s="180">
        <f t="shared" ref="X12:X14" si="25">N12</f>
        <v>2.0884322780651385</v>
      </c>
      <c r="Y12" s="203">
        <f t="shared" si="15"/>
        <v>1.8542566233350499</v>
      </c>
      <c r="Z12" s="180">
        <f t="shared" si="16"/>
        <v>2.0884322780651385</v>
      </c>
      <c r="AA12" s="181">
        <f t="shared" si="17"/>
        <v>1.8542566233350499</v>
      </c>
      <c r="AB12" s="182">
        <f t="shared" si="18"/>
        <v>2.0884322780651385</v>
      </c>
      <c r="AC12" s="181">
        <f t="shared" si="19"/>
        <v>1.8542566233350499</v>
      </c>
      <c r="AE12" s="614"/>
      <c r="AF12" s="118" t="s">
        <v>131</v>
      </c>
      <c r="AG12" s="118" t="s">
        <v>39</v>
      </c>
      <c r="AH12" s="180">
        <f>X12</f>
        <v>2.0884322780651385</v>
      </c>
      <c r="AI12" s="203">
        <f t="shared" si="20"/>
        <v>1.8542566233350499</v>
      </c>
      <c r="AJ12" s="180">
        <f t="shared" si="21"/>
        <v>2.0884322780651385</v>
      </c>
      <c r="AK12" s="181">
        <f t="shared" si="22"/>
        <v>1.8542566233350499</v>
      </c>
      <c r="AL12" s="182">
        <f t="shared" si="23"/>
        <v>2.0884322780651385</v>
      </c>
      <c r="AM12" s="181">
        <f t="shared" si="24"/>
        <v>1.8542566233350499</v>
      </c>
    </row>
    <row r="13" spans="1:39" x14ac:dyDescent="0.3">
      <c r="A13" s="614"/>
      <c r="B13" s="118" t="s">
        <v>132</v>
      </c>
      <c r="C13" s="118" t="s">
        <v>39</v>
      </c>
      <c r="D13" s="256">
        <f>Indata!E48</f>
        <v>2.7229641760793539</v>
      </c>
      <c r="E13" s="257">
        <f>Indata!F48</f>
        <v>2.4676037619277502</v>
      </c>
      <c r="F13" s="256">
        <f>Indata!G48</f>
        <v>2.7229641760793539</v>
      </c>
      <c r="G13" s="258">
        <f>Indata!H48</f>
        <v>2.4676037619277502</v>
      </c>
      <c r="H13" s="259">
        <f>Indata!I48</f>
        <v>2.7229641760793539</v>
      </c>
      <c r="I13" s="258">
        <f>Indata!J48</f>
        <v>2.4676037619277502</v>
      </c>
      <c r="K13" s="614"/>
      <c r="L13" s="118" t="s">
        <v>132</v>
      </c>
      <c r="M13" s="118" t="s">
        <v>39</v>
      </c>
      <c r="N13" s="256">
        <f>D13*(100%+N10*'Indata - Effektsamband-Faktorer'!$D$6)*(1-Indata!E$20)</f>
        <v>2.7229641760793539</v>
      </c>
      <c r="O13" s="257">
        <f>E13*(100%+O10*'Indata - Effektsamband-Faktorer'!$E$6)*(1-Indata!F$20)</f>
        <v>2.4676037619277502</v>
      </c>
      <c r="P13" s="256">
        <f>F13*(100%+P10*'Indata - Effektsamband-Faktorer'!$D$6)*(1-Indata!G$20)</f>
        <v>2.7229641760793539</v>
      </c>
      <c r="Q13" s="258">
        <f>G13*(100%+Q10*'Indata - Effektsamband-Faktorer'!$E$6)*(1-Indata!H$20)</f>
        <v>2.4676037619277502</v>
      </c>
      <c r="R13" s="259">
        <f>H13*(100%+R10*'Indata - Effektsamband-Faktorer'!$D$6)*(1-Indata!I$20)</f>
        <v>2.7229641760793539</v>
      </c>
      <c r="S13" s="258">
        <f>I13*(100%+S10*'Indata - Effektsamband-Faktorer'!$E$6)*(1-Indata!J$20)</f>
        <v>2.4676037619277502</v>
      </c>
      <c r="U13" s="614"/>
      <c r="V13" s="118" t="s">
        <v>132</v>
      </c>
      <c r="W13" s="118" t="s">
        <v>39</v>
      </c>
      <c r="X13" s="256">
        <f t="shared" si="25"/>
        <v>2.7229641760793539</v>
      </c>
      <c r="Y13" s="257">
        <f t="shared" si="15"/>
        <v>2.4676037619277502</v>
      </c>
      <c r="Z13" s="256">
        <f t="shared" si="16"/>
        <v>2.7229641760793539</v>
      </c>
      <c r="AA13" s="258">
        <f t="shared" si="17"/>
        <v>2.4676037619277502</v>
      </c>
      <c r="AB13" s="259">
        <f t="shared" si="18"/>
        <v>2.7229641760793539</v>
      </c>
      <c r="AC13" s="258">
        <f t="shared" si="19"/>
        <v>2.4676037619277502</v>
      </c>
      <c r="AE13" s="614"/>
      <c r="AF13" s="118" t="s">
        <v>132</v>
      </c>
      <c r="AG13" s="118" t="s">
        <v>39</v>
      </c>
      <c r="AH13" s="256">
        <f t="shared" ref="AH13:AH14" si="26">X13</f>
        <v>2.7229641760793539</v>
      </c>
      <c r="AI13" s="257">
        <f t="shared" si="20"/>
        <v>2.4676037619277502</v>
      </c>
      <c r="AJ13" s="256">
        <f t="shared" si="21"/>
        <v>2.7229641760793539</v>
      </c>
      <c r="AK13" s="258">
        <f t="shared" si="22"/>
        <v>2.4676037619277502</v>
      </c>
      <c r="AL13" s="259">
        <f t="shared" si="23"/>
        <v>2.7229641760793539</v>
      </c>
      <c r="AM13" s="258">
        <f t="shared" si="24"/>
        <v>2.4676037619277502</v>
      </c>
    </row>
    <row r="14" spans="1:39" x14ac:dyDescent="0.3">
      <c r="A14" s="614"/>
      <c r="B14" s="118" t="s">
        <v>133</v>
      </c>
      <c r="C14" s="118" t="s">
        <v>39</v>
      </c>
      <c r="D14" s="256">
        <f>Indata!E49</f>
        <v>3.7835614301620941</v>
      </c>
      <c r="E14" s="257">
        <f>Indata!F49</f>
        <v>3.4277906221444598</v>
      </c>
      <c r="F14" s="256">
        <f>Indata!G49</f>
        <v>3.7835614301620941</v>
      </c>
      <c r="G14" s="258">
        <f>Indata!H49</f>
        <v>3.4277906221444598</v>
      </c>
      <c r="H14" s="259">
        <f>Indata!I49</f>
        <v>3.7835614301620941</v>
      </c>
      <c r="I14" s="258">
        <f>Indata!J49</f>
        <v>3.4277906221444598</v>
      </c>
      <c r="K14" s="614"/>
      <c r="L14" s="118" t="s">
        <v>133</v>
      </c>
      <c r="M14" s="118" t="s">
        <v>39</v>
      </c>
      <c r="N14" s="256">
        <f>D14*(100%+N11*'Indata - Effektsamband-Faktorer'!$D$6)*(1-Indata!E$20)</f>
        <v>3.7835614301620941</v>
      </c>
      <c r="O14" s="257">
        <f>E14*(100%+O11*'Indata - Effektsamband-Faktorer'!$E$6)*(1-Indata!F$20)</f>
        <v>3.4277906221444598</v>
      </c>
      <c r="P14" s="256">
        <f>F14*(100%+P11*'Indata - Effektsamband-Faktorer'!$D$6)*(1-Indata!G$20)</f>
        <v>3.7835614301620941</v>
      </c>
      <c r="Q14" s="258">
        <f>G14*(100%+Q11*'Indata - Effektsamband-Faktorer'!$E$6)*(1-Indata!H$20)</f>
        <v>3.4277906221444598</v>
      </c>
      <c r="R14" s="259">
        <f>H14*(100%+R11*'Indata - Effektsamband-Faktorer'!$D$6)*(1-Indata!I$20)</f>
        <v>3.7835614301620941</v>
      </c>
      <c r="S14" s="258">
        <f>I14*(100%+S11*'Indata - Effektsamband-Faktorer'!$E$6)*(1-Indata!J$20)</f>
        <v>3.4277906221444598</v>
      </c>
      <c r="U14" s="614"/>
      <c r="V14" s="118" t="s">
        <v>133</v>
      </c>
      <c r="W14" s="118" t="s">
        <v>39</v>
      </c>
      <c r="X14" s="256">
        <f t="shared" si="25"/>
        <v>3.7835614301620941</v>
      </c>
      <c r="Y14" s="257">
        <f t="shared" si="15"/>
        <v>3.4277906221444598</v>
      </c>
      <c r="Z14" s="256">
        <f t="shared" si="16"/>
        <v>3.7835614301620941</v>
      </c>
      <c r="AA14" s="258">
        <f t="shared" si="17"/>
        <v>3.4277906221444598</v>
      </c>
      <c r="AB14" s="259">
        <f t="shared" si="18"/>
        <v>3.7835614301620941</v>
      </c>
      <c r="AC14" s="258">
        <f t="shared" si="19"/>
        <v>3.4277906221444598</v>
      </c>
      <c r="AE14" s="614"/>
      <c r="AF14" s="118" t="s">
        <v>133</v>
      </c>
      <c r="AG14" s="118" t="s">
        <v>39</v>
      </c>
      <c r="AH14" s="256">
        <f t="shared" si="26"/>
        <v>3.7835614301620941</v>
      </c>
      <c r="AI14" s="257">
        <f t="shared" si="20"/>
        <v>3.4277906221444598</v>
      </c>
      <c r="AJ14" s="256">
        <f t="shared" si="21"/>
        <v>3.7835614301620941</v>
      </c>
      <c r="AK14" s="258">
        <f t="shared" si="22"/>
        <v>3.4277906221444598</v>
      </c>
      <c r="AL14" s="259">
        <f t="shared" si="23"/>
        <v>3.7835614301620941</v>
      </c>
      <c r="AM14" s="258">
        <f t="shared" si="24"/>
        <v>3.4277906221444598</v>
      </c>
    </row>
    <row r="15" spans="1:39" x14ac:dyDescent="0.3">
      <c r="A15" s="614"/>
      <c r="B15" s="162" t="s">
        <v>134</v>
      </c>
      <c r="C15" s="162" t="s">
        <v>39</v>
      </c>
      <c r="D15" s="252">
        <f>SUMPRODUCT(D11:D14,D36:D39)/D40</f>
        <v>3.306093271833769</v>
      </c>
      <c r="E15" s="253">
        <f t="shared" ref="E15:I15" si="27">SUMPRODUCT(E11:E14,E36:E39)/E40</f>
        <v>3.0182255603938848</v>
      </c>
      <c r="F15" s="252">
        <f t="shared" si="27"/>
        <v>3.306093271833769</v>
      </c>
      <c r="G15" s="254">
        <f t="shared" si="27"/>
        <v>3.0182255603938848</v>
      </c>
      <c r="H15" s="255">
        <f t="shared" si="27"/>
        <v>3.306093271833769</v>
      </c>
      <c r="I15" s="254">
        <f t="shared" si="27"/>
        <v>3.0182255603938848</v>
      </c>
      <c r="K15" s="614"/>
      <c r="L15" s="162" t="s">
        <v>134</v>
      </c>
      <c r="M15" s="162" t="s">
        <v>39</v>
      </c>
      <c r="N15" s="252">
        <f t="shared" ref="N15:S15" si="28">SUMPRODUCT(N11:N14,N36:N39)/N40</f>
        <v>3.306093271833769</v>
      </c>
      <c r="O15" s="253">
        <f t="shared" si="28"/>
        <v>3.0182255603938848</v>
      </c>
      <c r="P15" s="252">
        <f t="shared" si="28"/>
        <v>3.306093271833769</v>
      </c>
      <c r="Q15" s="254">
        <f t="shared" si="28"/>
        <v>3.0182255603938848</v>
      </c>
      <c r="R15" s="255">
        <f t="shared" si="28"/>
        <v>3.306093271833769</v>
      </c>
      <c r="S15" s="254">
        <f t="shared" si="28"/>
        <v>3.0182255603938848</v>
      </c>
      <c r="U15" s="614"/>
      <c r="V15" s="162" t="s">
        <v>134</v>
      </c>
      <c r="W15" s="162" t="s">
        <v>39</v>
      </c>
      <c r="X15" s="252">
        <f t="shared" ref="X15:AC15" si="29">SUMPRODUCT(X11:X14,X36:X39)/X40</f>
        <v>3.306093271833769</v>
      </c>
      <c r="Y15" s="253">
        <f t="shared" si="29"/>
        <v>3.0182255603938848</v>
      </c>
      <c r="Z15" s="252">
        <f t="shared" si="29"/>
        <v>3.306093271833769</v>
      </c>
      <c r="AA15" s="254">
        <f t="shared" si="29"/>
        <v>3.0182255603938848</v>
      </c>
      <c r="AB15" s="255">
        <f t="shared" si="29"/>
        <v>3.306093271833769</v>
      </c>
      <c r="AC15" s="254">
        <f t="shared" si="29"/>
        <v>3.0182255603938848</v>
      </c>
      <c r="AE15" s="614"/>
      <c r="AF15" s="162" t="s">
        <v>134</v>
      </c>
      <c r="AG15" s="162" t="s">
        <v>39</v>
      </c>
      <c r="AH15" s="252">
        <f t="shared" ref="AH15:AM15" si="30">SUMPRODUCT(AH11:AH14,AH36:AH39)/AH40</f>
        <v>3.306093271833769</v>
      </c>
      <c r="AI15" s="253">
        <f t="shared" si="30"/>
        <v>3.0182255603938848</v>
      </c>
      <c r="AJ15" s="252">
        <f t="shared" si="30"/>
        <v>3.306093271833769</v>
      </c>
      <c r="AK15" s="254">
        <f>SUMPRODUCT(AK11:AK14,AK36:AK39)/AK40</f>
        <v>3.0182255603938848</v>
      </c>
      <c r="AL15" s="255">
        <f t="shared" si="30"/>
        <v>3.306093271833769</v>
      </c>
      <c r="AM15" s="254">
        <f t="shared" si="30"/>
        <v>3.0182255603938848</v>
      </c>
    </row>
    <row r="16" spans="1:39" x14ac:dyDescent="0.3">
      <c r="A16" s="614"/>
      <c r="B16" s="118" t="s">
        <v>135</v>
      </c>
      <c r="C16" s="118" t="s">
        <v>40</v>
      </c>
      <c r="D16" s="256">
        <f>Indata!E50</f>
        <v>9.0169813068265903</v>
      </c>
      <c r="E16" s="257">
        <f>Indata!F50</f>
        <v>9.0169813068265903</v>
      </c>
      <c r="F16" s="256">
        <f>Indata!G50</f>
        <v>9.0169813068265903</v>
      </c>
      <c r="G16" s="258">
        <f>Indata!H50</f>
        <v>9.0169813068265903</v>
      </c>
      <c r="H16" s="259">
        <f>Indata!I50</f>
        <v>9.0169813068265903</v>
      </c>
      <c r="I16" s="258">
        <f>Indata!J50</f>
        <v>9.0169813068265903</v>
      </c>
      <c r="K16" s="614"/>
      <c r="L16" s="118" t="s">
        <v>135</v>
      </c>
      <c r="M16" s="118" t="s">
        <v>40</v>
      </c>
      <c r="N16" s="256">
        <f>D16*(1-Indata!E$20)</f>
        <v>9.0169813068265903</v>
      </c>
      <c r="O16" s="257">
        <f>E16*(1-Indata!F$20)</f>
        <v>9.0169813068265903</v>
      </c>
      <c r="P16" s="256">
        <f>F16*(1-Indata!G$20)</f>
        <v>9.0169813068265903</v>
      </c>
      <c r="Q16" s="258">
        <f>G16*(1-Indata!H$20)</f>
        <v>9.0169813068265903</v>
      </c>
      <c r="R16" s="259">
        <f>H16*(1-Indata!I$20)</f>
        <v>9.0169813068265903</v>
      </c>
      <c r="S16" s="258">
        <f>I16*(1-Indata!J$20)</f>
        <v>9.0169813068265903</v>
      </c>
      <c r="U16" s="614"/>
      <c r="V16" s="118" t="s">
        <v>135</v>
      </c>
      <c r="W16" s="118" t="s">
        <v>40</v>
      </c>
      <c r="X16" s="256">
        <f t="shared" ref="X16:X19" si="31">N16</f>
        <v>9.0169813068265903</v>
      </c>
      <c r="Y16" s="257">
        <f t="shared" ref="Y16:Y19" si="32">O16</f>
        <v>9.0169813068265903</v>
      </c>
      <c r="Z16" s="256">
        <f t="shared" ref="Z16:Z19" si="33">P16</f>
        <v>9.0169813068265903</v>
      </c>
      <c r="AA16" s="258">
        <f t="shared" ref="AA16:AA19" si="34">Q16</f>
        <v>9.0169813068265903</v>
      </c>
      <c r="AB16" s="259">
        <f t="shared" ref="AB16:AB19" si="35">R16</f>
        <v>9.0169813068265903</v>
      </c>
      <c r="AC16" s="258">
        <f t="shared" ref="AC16:AC19" si="36">S16</f>
        <v>9.0169813068265903</v>
      </c>
      <c r="AE16" s="614"/>
      <c r="AF16" s="118" t="s">
        <v>135</v>
      </c>
      <c r="AG16" s="118" t="s">
        <v>40</v>
      </c>
      <c r="AH16" s="256">
        <f t="shared" ref="AH16:AH19" si="37">X16</f>
        <v>9.0169813068265903</v>
      </c>
      <c r="AI16" s="257">
        <f t="shared" ref="AI16:AI19" si="38">Y16</f>
        <v>9.0169813068265903</v>
      </c>
      <c r="AJ16" s="256">
        <f t="shared" ref="AJ16:AJ19" si="39">Z16</f>
        <v>9.0169813068265903</v>
      </c>
      <c r="AK16" s="258">
        <f t="shared" ref="AK16:AK19" si="40">AA16</f>
        <v>9.0169813068265903</v>
      </c>
      <c r="AL16" s="259">
        <f t="shared" ref="AL16:AL19" si="41">AB16</f>
        <v>9.0169813068265903</v>
      </c>
      <c r="AM16" s="258">
        <f t="shared" ref="AM16:AM19" si="42">AC16</f>
        <v>9.0169813068265903</v>
      </c>
    </row>
    <row r="17" spans="1:39" x14ac:dyDescent="0.3">
      <c r="A17" s="614"/>
      <c r="B17" s="118" t="s">
        <v>136</v>
      </c>
      <c r="C17" s="118" t="s">
        <v>40</v>
      </c>
      <c r="D17" s="256">
        <f>Indata!E51</f>
        <v>11.310339377103301</v>
      </c>
      <c r="E17" s="257">
        <f>Indata!F51</f>
        <v>11.310339377103301</v>
      </c>
      <c r="F17" s="256">
        <f>Indata!G51</f>
        <v>11.310339377103301</v>
      </c>
      <c r="G17" s="258">
        <f>Indata!H51</f>
        <v>11.310339377103301</v>
      </c>
      <c r="H17" s="259">
        <f>Indata!I51</f>
        <v>11.310339377103301</v>
      </c>
      <c r="I17" s="258">
        <f>Indata!J51</f>
        <v>11.310339377103301</v>
      </c>
      <c r="K17" s="614"/>
      <c r="L17" s="118" t="s">
        <v>136</v>
      </c>
      <c r="M17" s="118" t="s">
        <v>40</v>
      </c>
      <c r="N17" s="256">
        <f>D17*(1-Indata!E$20)</f>
        <v>11.310339377103301</v>
      </c>
      <c r="O17" s="257">
        <f>E17*(1-Indata!F$20)</f>
        <v>11.310339377103301</v>
      </c>
      <c r="P17" s="256">
        <f>F17*(1-Indata!G$20)</f>
        <v>11.310339377103301</v>
      </c>
      <c r="Q17" s="258">
        <f>G17*(1-Indata!H$20)</f>
        <v>11.310339377103301</v>
      </c>
      <c r="R17" s="259">
        <f>H17*(1-Indata!I$20)</f>
        <v>11.310339377103301</v>
      </c>
      <c r="S17" s="258">
        <f>I17*(1-Indata!J$20)</f>
        <v>11.310339377103301</v>
      </c>
      <c r="U17" s="614"/>
      <c r="V17" s="118" t="s">
        <v>136</v>
      </c>
      <c r="W17" s="118" t="s">
        <v>40</v>
      </c>
      <c r="X17" s="256">
        <f t="shared" si="31"/>
        <v>11.310339377103301</v>
      </c>
      <c r="Y17" s="257">
        <f t="shared" si="32"/>
        <v>11.310339377103301</v>
      </c>
      <c r="Z17" s="256">
        <f t="shared" si="33"/>
        <v>11.310339377103301</v>
      </c>
      <c r="AA17" s="258">
        <f t="shared" si="34"/>
        <v>11.310339377103301</v>
      </c>
      <c r="AB17" s="259">
        <f t="shared" si="35"/>
        <v>11.310339377103301</v>
      </c>
      <c r="AC17" s="258">
        <f t="shared" si="36"/>
        <v>11.310339377103301</v>
      </c>
      <c r="AE17" s="614"/>
      <c r="AF17" s="118" t="s">
        <v>136</v>
      </c>
      <c r="AG17" s="118" t="s">
        <v>40</v>
      </c>
      <c r="AH17" s="256">
        <f t="shared" si="37"/>
        <v>11.310339377103301</v>
      </c>
      <c r="AI17" s="257">
        <f t="shared" si="38"/>
        <v>11.310339377103301</v>
      </c>
      <c r="AJ17" s="256">
        <f t="shared" si="39"/>
        <v>11.310339377103301</v>
      </c>
      <c r="AK17" s="258">
        <f t="shared" si="40"/>
        <v>11.310339377103301</v>
      </c>
      <c r="AL17" s="259">
        <f t="shared" si="41"/>
        <v>11.310339377103301</v>
      </c>
      <c r="AM17" s="258">
        <f t="shared" si="42"/>
        <v>11.310339377103301</v>
      </c>
    </row>
    <row r="18" spans="1:39" x14ac:dyDescent="0.3">
      <c r="A18" s="614"/>
      <c r="B18" s="118" t="s">
        <v>137</v>
      </c>
      <c r="C18" s="118" t="s">
        <v>40</v>
      </c>
      <c r="D18" s="256">
        <f>Indata!E52</f>
        <v>14.6722825607026</v>
      </c>
      <c r="E18" s="257">
        <f>Indata!F52</f>
        <v>14.6722825607026</v>
      </c>
      <c r="F18" s="256">
        <f>Indata!G52</f>
        <v>14.6722825607026</v>
      </c>
      <c r="G18" s="258">
        <f>Indata!H52</f>
        <v>14.6722825607026</v>
      </c>
      <c r="H18" s="259">
        <f>Indata!I52</f>
        <v>14.6722825607026</v>
      </c>
      <c r="I18" s="258">
        <f>Indata!J52</f>
        <v>14.6722825607026</v>
      </c>
      <c r="K18" s="614"/>
      <c r="L18" s="118" t="s">
        <v>137</v>
      </c>
      <c r="M18" s="118" t="s">
        <v>40</v>
      </c>
      <c r="N18" s="256">
        <f>D18*(1-Indata!E$20)</f>
        <v>14.6722825607026</v>
      </c>
      <c r="O18" s="257">
        <f>E18*(1-Indata!F$20)</f>
        <v>14.6722825607026</v>
      </c>
      <c r="P18" s="256">
        <f>F18*(1-Indata!G$20)</f>
        <v>14.6722825607026</v>
      </c>
      <c r="Q18" s="258">
        <f>G18*(1-Indata!H$20)</f>
        <v>14.6722825607026</v>
      </c>
      <c r="R18" s="259">
        <f>H18*(1-Indata!I$20)</f>
        <v>14.6722825607026</v>
      </c>
      <c r="S18" s="258">
        <f>I18*(1-Indata!J$20)</f>
        <v>14.6722825607026</v>
      </c>
      <c r="U18" s="614"/>
      <c r="V18" s="118" t="s">
        <v>137</v>
      </c>
      <c r="W18" s="118" t="s">
        <v>40</v>
      </c>
      <c r="X18" s="256">
        <f t="shared" si="31"/>
        <v>14.6722825607026</v>
      </c>
      <c r="Y18" s="257">
        <f t="shared" si="32"/>
        <v>14.6722825607026</v>
      </c>
      <c r="Z18" s="256">
        <f t="shared" si="33"/>
        <v>14.6722825607026</v>
      </c>
      <c r="AA18" s="258">
        <f t="shared" si="34"/>
        <v>14.6722825607026</v>
      </c>
      <c r="AB18" s="259">
        <f t="shared" si="35"/>
        <v>14.6722825607026</v>
      </c>
      <c r="AC18" s="258">
        <f t="shared" si="36"/>
        <v>14.6722825607026</v>
      </c>
      <c r="AE18" s="614"/>
      <c r="AF18" s="118" t="s">
        <v>137</v>
      </c>
      <c r="AG18" s="118" t="s">
        <v>40</v>
      </c>
      <c r="AH18" s="256">
        <f t="shared" si="37"/>
        <v>14.6722825607026</v>
      </c>
      <c r="AI18" s="257">
        <f t="shared" si="38"/>
        <v>14.6722825607026</v>
      </c>
      <c r="AJ18" s="256">
        <f t="shared" si="39"/>
        <v>14.6722825607026</v>
      </c>
      <c r="AK18" s="258">
        <f t="shared" si="40"/>
        <v>14.6722825607026</v>
      </c>
      <c r="AL18" s="259">
        <f t="shared" si="41"/>
        <v>14.6722825607026</v>
      </c>
      <c r="AM18" s="258">
        <f t="shared" si="42"/>
        <v>14.6722825607026</v>
      </c>
    </row>
    <row r="19" spans="1:39" x14ac:dyDescent="0.3">
      <c r="A19" s="614"/>
      <c r="B19" s="118" t="s">
        <v>138</v>
      </c>
      <c r="C19" s="118" t="s">
        <v>40</v>
      </c>
      <c r="D19" s="256">
        <f>Indata!E53</f>
        <v>20.381518841477</v>
      </c>
      <c r="E19" s="257">
        <f>Indata!F53</f>
        <v>20.381518841477</v>
      </c>
      <c r="F19" s="256">
        <f>Indata!G53</f>
        <v>20.381518841477</v>
      </c>
      <c r="G19" s="258">
        <f>Indata!H53</f>
        <v>20.381518841477</v>
      </c>
      <c r="H19" s="259">
        <f>Indata!I53</f>
        <v>20.381518841477</v>
      </c>
      <c r="I19" s="258">
        <f>Indata!J53</f>
        <v>20.381518841477</v>
      </c>
      <c r="K19" s="614"/>
      <c r="L19" s="118" t="s">
        <v>138</v>
      </c>
      <c r="M19" s="118" t="s">
        <v>40</v>
      </c>
      <c r="N19" s="256">
        <f>D19*(1-Indata!E$20)</f>
        <v>20.381518841477</v>
      </c>
      <c r="O19" s="257">
        <f>E19*(1-Indata!F$20)</f>
        <v>20.381518841477</v>
      </c>
      <c r="P19" s="256">
        <f>F19*(1-Indata!G$20)</f>
        <v>20.381518841477</v>
      </c>
      <c r="Q19" s="258">
        <f>G19*(1-Indata!H$20)</f>
        <v>20.381518841477</v>
      </c>
      <c r="R19" s="259">
        <f>H19*(1-Indata!I$20)</f>
        <v>20.381518841477</v>
      </c>
      <c r="S19" s="258">
        <f>I19*(1-Indata!J$20)</f>
        <v>20.381518841477</v>
      </c>
      <c r="U19" s="614"/>
      <c r="V19" s="118" t="s">
        <v>138</v>
      </c>
      <c r="W19" s="118" t="s">
        <v>40</v>
      </c>
      <c r="X19" s="256">
        <f t="shared" si="31"/>
        <v>20.381518841477</v>
      </c>
      <c r="Y19" s="257">
        <f t="shared" si="32"/>
        <v>20.381518841477</v>
      </c>
      <c r="Z19" s="256">
        <f t="shared" si="33"/>
        <v>20.381518841477</v>
      </c>
      <c r="AA19" s="258">
        <f t="shared" si="34"/>
        <v>20.381518841477</v>
      </c>
      <c r="AB19" s="259">
        <f t="shared" si="35"/>
        <v>20.381518841477</v>
      </c>
      <c r="AC19" s="258">
        <f t="shared" si="36"/>
        <v>20.381518841477</v>
      </c>
      <c r="AE19" s="614"/>
      <c r="AF19" s="118" t="s">
        <v>138</v>
      </c>
      <c r="AG19" s="118" t="s">
        <v>40</v>
      </c>
      <c r="AH19" s="256">
        <f t="shared" si="37"/>
        <v>20.381518841477</v>
      </c>
      <c r="AI19" s="257">
        <f t="shared" si="38"/>
        <v>20.381518841477</v>
      </c>
      <c r="AJ19" s="256">
        <f t="shared" si="39"/>
        <v>20.381518841477</v>
      </c>
      <c r="AK19" s="258">
        <f t="shared" si="40"/>
        <v>20.381518841477</v>
      </c>
      <c r="AL19" s="259">
        <f t="shared" si="41"/>
        <v>20.381518841477</v>
      </c>
      <c r="AM19" s="258">
        <f t="shared" si="42"/>
        <v>20.381518841477</v>
      </c>
    </row>
    <row r="20" spans="1:39" ht="15" thickBot="1" x14ac:dyDescent="0.35">
      <c r="A20" s="615"/>
      <c r="B20" s="164" t="s">
        <v>139</v>
      </c>
      <c r="C20" s="164" t="s">
        <v>40</v>
      </c>
      <c r="D20" s="183">
        <f>SUMPRODUCT(D16:D19,D41:D44)/D45</f>
        <v>16.937763353526403</v>
      </c>
      <c r="E20" s="184">
        <f t="shared" ref="E20:I20" si="43">SUMPRODUCT(E16:E19,E41:E44)/E45</f>
        <v>17.655326578671563</v>
      </c>
      <c r="F20" s="183">
        <f t="shared" si="43"/>
        <v>16.937763353526403</v>
      </c>
      <c r="G20" s="185">
        <f t="shared" si="43"/>
        <v>17.655326578671563</v>
      </c>
      <c r="H20" s="186">
        <f t="shared" si="43"/>
        <v>16.937763353526403</v>
      </c>
      <c r="I20" s="185">
        <f t="shared" si="43"/>
        <v>17.655326578671563</v>
      </c>
      <c r="K20" s="615"/>
      <c r="L20" s="164" t="s">
        <v>139</v>
      </c>
      <c r="M20" s="164" t="s">
        <v>40</v>
      </c>
      <c r="N20" s="183">
        <f>SUMPRODUCT(N16:N19,N41:N44)/N45</f>
        <v>16.937763353526403</v>
      </c>
      <c r="O20" s="184">
        <f t="shared" ref="O20:S20" si="44">SUMPRODUCT(O16:O19,O41:O44)/O45</f>
        <v>17.655326578671563</v>
      </c>
      <c r="P20" s="183">
        <f t="shared" si="44"/>
        <v>16.937763353526403</v>
      </c>
      <c r="Q20" s="185">
        <f t="shared" si="44"/>
        <v>17.655326578671563</v>
      </c>
      <c r="R20" s="186">
        <f t="shared" si="44"/>
        <v>16.937763353526403</v>
      </c>
      <c r="S20" s="185">
        <f t="shared" si="44"/>
        <v>17.655326578671563</v>
      </c>
      <c r="U20" s="615"/>
      <c r="V20" s="164" t="s">
        <v>139</v>
      </c>
      <c r="W20" s="164" t="s">
        <v>40</v>
      </c>
      <c r="X20" s="183">
        <f t="shared" ref="X20:AC20" si="45">SUMPRODUCT(X16:X19,X41:X44)/X45</f>
        <v>16.937763353526403</v>
      </c>
      <c r="Y20" s="184">
        <f t="shared" si="45"/>
        <v>17.655326578671563</v>
      </c>
      <c r="Z20" s="183">
        <f t="shared" si="45"/>
        <v>16.937763353526403</v>
      </c>
      <c r="AA20" s="185">
        <f t="shared" si="45"/>
        <v>17.655326578671563</v>
      </c>
      <c r="AB20" s="186">
        <f t="shared" si="45"/>
        <v>16.937763353526403</v>
      </c>
      <c r="AC20" s="185">
        <f t="shared" si="45"/>
        <v>17.655326578671563</v>
      </c>
      <c r="AE20" s="615"/>
      <c r="AF20" s="164" t="s">
        <v>139</v>
      </c>
      <c r="AG20" s="164" t="s">
        <v>40</v>
      </c>
      <c r="AH20" s="183">
        <f t="shared" ref="AH20:AM20" si="46">SUMPRODUCT(AH16:AH19,AH41:AH44)/AH45</f>
        <v>16.937763353526403</v>
      </c>
      <c r="AI20" s="184">
        <f t="shared" si="46"/>
        <v>17.655326578671563</v>
      </c>
      <c r="AJ20" s="183">
        <f t="shared" si="46"/>
        <v>16.937763353526403</v>
      </c>
      <c r="AK20" s="185">
        <f t="shared" si="46"/>
        <v>17.655326578671563</v>
      </c>
      <c r="AL20" s="186">
        <f t="shared" si="46"/>
        <v>16.937763353526403</v>
      </c>
      <c r="AM20" s="185">
        <f t="shared" si="46"/>
        <v>17.655326578671563</v>
      </c>
    </row>
    <row r="21" spans="1:39" x14ac:dyDescent="0.3">
      <c r="D21" s="62"/>
      <c r="E21" s="62"/>
      <c r="F21" s="62"/>
      <c r="G21" s="62"/>
      <c r="H21" s="62"/>
      <c r="I21" s="62"/>
      <c r="N21" s="62"/>
      <c r="O21" s="62"/>
      <c r="P21" s="62"/>
      <c r="Q21" s="62"/>
      <c r="R21" s="62"/>
      <c r="S21" s="62"/>
      <c r="X21" s="62"/>
      <c r="Y21" s="62"/>
      <c r="Z21" s="62"/>
      <c r="AA21" s="62"/>
      <c r="AB21" s="62"/>
      <c r="AC21" s="62"/>
      <c r="AE21" s="28"/>
      <c r="AF21" s="28"/>
      <c r="AG21" s="28"/>
      <c r="AH21" s="62"/>
      <c r="AI21" s="62"/>
      <c r="AJ21" s="62"/>
      <c r="AK21" s="62"/>
      <c r="AL21" s="62"/>
      <c r="AM21" s="62"/>
    </row>
    <row r="22" spans="1:39" ht="15" customHeight="1" thickBot="1" x14ac:dyDescent="0.35">
      <c r="A22" s="30" t="s">
        <v>141</v>
      </c>
      <c r="D22" s="52"/>
      <c r="E22" s="52"/>
      <c r="F22" s="52"/>
      <c r="G22" s="52"/>
      <c r="H22" s="52"/>
      <c r="I22" s="52"/>
      <c r="K22" s="30" t="s">
        <v>144</v>
      </c>
      <c r="N22" s="52"/>
      <c r="O22" s="52"/>
      <c r="P22" s="52"/>
      <c r="Q22" s="52"/>
      <c r="R22" s="52"/>
      <c r="S22" s="52"/>
      <c r="U22" s="30" t="s">
        <v>145</v>
      </c>
      <c r="X22" s="52"/>
      <c r="Y22" s="52"/>
      <c r="Z22" s="52"/>
      <c r="AA22" s="52"/>
      <c r="AB22" s="52"/>
      <c r="AC22" s="52"/>
      <c r="AE22" s="30" t="s">
        <v>148</v>
      </c>
      <c r="AF22" s="28"/>
      <c r="AG22" s="28"/>
      <c r="AH22" s="52"/>
      <c r="AI22" s="52"/>
      <c r="AJ22" s="52"/>
      <c r="AK22" s="52"/>
      <c r="AL22" s="52"/>
      <c r="AM22" s="52"/>
    </row>
    <row r="23" spans="1:39" ht="14.4" customHeight="1" thickBot="1" x14ac:dyDescent="0.35">
      <c r="A23" s="613" t="s">
        <v>142</v>
      </c>
      <c r="B23" s="117" t="s">
        <v>109</v>
      </c>
      <c r="C23" s="117" t="s">
        <v>25</v>
      </c>
      <c r="D23" s="208">
        <f>Indata!E42</f>
        <v>0.25</v>
      </c>
      <c r="E23" s="208">
        <f>Indata!F42</f>
        <v>0.84</v>
      </c>
      <c r="F23" s="208">
        <f>Indata!G42</f>
        <v>0.25</v>
      </c>
      <c r="G23" s="208">
        <f>Indata!H42</f>
        <v>0.84</v>
      </c>
      <c r="H23" s="208">
        <f>Indata!I42</f>
        <v>0.25</v>
      </c>
      <c r="I23" s="208">
        <f>Indata!J42</f>
        <v>0.84</v>
      </c>
      <c r="K23" s="613" t="s">
        <v>142</v>
      </c>
      <c r="L23" s="117" t="s">
        <v>109</v>
      </c>
      <c r="M23" s="117" t="s">
        <v>25</v>
      </c>
      <c r="N23" s="208">
        <f>D23</f>
        <v>0.25</v>
      </c>
      <c r="O23" s="209">
        <f t="shared" ref="O23:O26" si="47">E23</f>
        <v>0.84</v>
      </c>
      <c r="P23" s="208">
        <f t="shared" ref="P23:P26" si="48">F23</f>
        <v>0.25</v>
      </c>
      <c r="Q23" s="210">
        <f t="shared" ref="Q23:Q26" si="49">G23</f>
        <v>0.84</v>
      </c>
      <c r="R23" s="211">
        <f t="shared" ref="R23:R26" si="50">H23</f>
        <v>0.25</v>
      </c>
      <c r="S23" s="210">
        <f t="shared" ref="S23:S26" si="51">I23</f>
        <v>0.84</v>
      </c>
      <c r="U23" s="613" t="s">
        <v>142</v>
      </c>
      <c r="V23" s="117" t="s">
        <v>109</v>
      </c>
      <c r="W23" s="117" t="s">
        <v>25</v>
      </c>
      <c r="X23" s="208">
        <f>N23</f>
        <v>0.25</v>
      </c>
      <c r="Y23" s="209">
        <f>O23</f>
        <v>0.84</v>
      </c>
      <c r="Z23" s="208">
        <f t="shared" ref="Y23:AC26" si="52">P23</f>
        <v>0.25</v>
      </c>
      <c r="AA23" s="210">
        <f t="shared" si="52"/>
        <v>0.84</v>
      </c>
      <c r="AB23" s="211">
        <f t="shared" si="52"/>
        <v>0.25</v>
      </c>
      <c r="AC23" s="210">
        <f t="shared" si="52"/>
        <v>0.84</v>
      </c>
      <c r="AE23" s="613" t="s">
        <v>142</v>
      </c>
      <c r="AF23" s="117" t="s">
        <v>109</v>
      </c>
      <c r="AG23" s="117" t="s">
        <v>25</v>
      </c>
      <c r="AH23" s="208">
        <f>X23</f>
        <v>0.25</v>
      </c>
      <c r="AI23" s="209">
        <f>Y23</f>
        <v>0.84</v>
      </c>
      <c r="AJ23" s="208">
        <f t="shared" ref="AJ23:AJ26" si="53">Z23</f>
        <v>0.25</v>
      </c>
      <c r="AK23" s="210">
        <f t="shared" ref="AK23:AK26" si="54">AA23</f>
        <v>0.84</v>
      </c>
      <c r="AL23" s="211">
        <f t="shared" ref="AL23:AL26" si="55">AB23</f>
        <v>0.25</v>
      </c>
      <c r="AM23" s="210">
        <f t="shared" ref="AM23:AM26" si="56">AC23</f>
        <v>0.84</v>
      </c>
    </row>
    <row r="24" spans="1:39" ht="15" thickBot="1" x14ac:dyDescent="0.35">
      <c r="A24" s="614"/>
      <c r="B24" s="118" t="s">
        <v>110</v>
      </c>
      <c r="C24" s="118" t="s">
        <v>25</v>
      </c>
      <c r="D24" s="208">
        <f>Indata!E43</f>
        <v>0.25</v>
      </c>
      <c r="E24" s="208">
        <f>Indata!F43</f>
        <v>0.84</v>
      </c>
      <c r="F24" s="208">
        <f>Indata!G43</f>
        <v>0.25</v>
      </c>
      <c r="G24" s="208">
        <f>Indata!H43</f>
        <v>0.84</v>
      </c>
      <c r="H24" s="208">
        <f>Indata!I43</f>
        <v>0.25</v>
      </c>
      <c r="I24" s="208">
        <f>Indata!J43</f>
        <v>0.84</v>
      </c>
      <c r="K24" s="614"/>
      <c r="L24" s="118" t="s">
        <v>110</v>
      </c>
      <c r="M24" s="118" t="s">
        <v>25</v>
      </c>
      <c r="N24" s="212">
        <f t="shared" ref="N24:N26" si="57">D24</f>
        <v>0.25</v>
      </c>
      <c r="O24" s="213">
        <f t="shared" si="47"/>
        <v>0.84</v>
      </c>
      <c r="P24" s="212">
        <f t="shared" si="48"/>
        <v>0.25</v>
      </c>
      <c r="Q24" s="214">
        <f t="shared" si="49"/>
        <v>0.84</v>
      </c>
      <c r="R24" s="215">
        <f t="shared" si="50"/>
        <v>0.25</v>
      </c>
      <c r="S24" s="214">
        <f t="shared" si="51"/>
        <v>0.84</v>
      </c>
      <c r="U24" s="614"/>
      <c r="V24" s="118" t="s">
        <v>110</v>
      </c>
      <c r="W24" s="118" t="s">
        <v>25</v>
      </c>
      <c r="X24" s="212">
        <f t="shared" ref="X24" si="58">N24</f>
        <v>0.25</v>
      </c>
      <c r="Y24" s="213">
        <f t="shared" si="52"/>
        <v>0.84</v>
      </c>
      <c r="Z24" s="212">
        <f t="shared" si="52"/>
        <v>0.25</v>
      </c>
      <c r="AA24" s="214">
        <f t="shared" si="52"/>
        <v>0.84</v>
      </c>
      <c r="AB24" s="215">
        <f t="shared" si="52"/>
        <v>0.25</v>
      </c>
      <c r="AC24" s="214">
        <f t="shared" si="52"/>
        <v>0.84</v>
      </c>
      <c r="AE24" s="614"/>
      <c r="AF24" s="118" t="s">
        <v>110</v>
      </c>
      <c r="AG24" s="118" t="s">
        <v>25</v>
      </c>
      <c r="AH24" s="212">
        <f t="shared" ref="AH24" si="59">X24</f>
        <v>0.25</v>
      </c>
      <c r="AI24" s="213">
        <f t="shared" ref="AI24:AI25" si="60">Y24</f>
        <v>0.84</v>
      </c>
      <c r="AJ24" s="212">
        <f t="shared" si="53"/>
        <v>0.25</v>
      </c>
      <c r="AK24" s="214">
        <f t="shared" si="54"/>
        <v>0.84</v>
      </c>
      <c r="AL24" s="215">
        <f t="shared" si="55"/>
        <v>0.25</v>
      </c>
      <c r="AM24" s="214">
        <f t="shared" si="56"/>
        <v>0.84</v>
      </c>
    </row>
    <row r="25" spans="1:39" ht="15" thickBot="1" x14ac:dyDescent="0.35">
      <c r="A25" s="614"/>
      <c r="B25" s="118" t="s">
        <v>111</v>
      </c>
      <c r="C25" s="118" t="s">
        <v>25</v>
      </c>
      <c r="D25" s="208">
        <f>Indata!E44</f>
        <v>0.1</v>
      </c>
      <c r="E25" s="208">
        <f>Indata!F44</f>
        <v>0.81</v>
      </c>
      <c r="F25" s="208">
        <f>Indata!G44</f>
        <v>0.1</v>
      </c>
      <c r="G25" s="208">
        <f>Indata!H44</f>
        <v>0.81</v>
      </c>
      <c r="H25" s="208">
        <f>Indata!I44</f>
        <v>0.1</v>
      </c>
      <c r="I25" s="208">
        <f>Indata!J44</f>
        <v>0.81</v>
      </c>
      <c r="K25" s="614"/>
      <c r="L25" s="118" t="s">
        <v>111</v>
      </c>
      <c r="M25" s="118" t="s">
        <v>25</v>
      </c>
      <c r="N25" s="212">
        <f t="shared" si="57"/>
        <v>0.1</v>
      </c>
      <c r="O25" s="213">
        <f t="shared" si="47"/>
        <v>0.81</v>
      </c>
      <c r="P25" s="212">
        <f t="shared" si="48"/>
        <v>0.1</v>
      </c>
      <c r="Q25" s="214">
        <f t="shared" si="49"/>
        <v>0.81</v>
      </c>
      <c r="R25" s="215">
        <f t="shared" si="50"/>
        <v>0.1</v>
      </c>
      <c r="S25" s="214">
        <f t="shared" si="51"/>
        <v>0.81</v>
      </c>
      <c r="U25" s="614"/>
      <c r="V25" s="118" t="s">
        <v>111</v>
      </c>
      <c r="W25" s="118" t="s">
        <v>25</v>
      </c>
      <c r="X25" s="212">
        <f>N25</f>
        <v>0.1</v>
      </c>
      <c r="Y25" s="213">
        <f t="shared" si="52"/>
        <v>0.81</v>
      </c>
      <c r="Z25" s="212">
        <f t="shared" si="52"/>
        <v>0.1</v>
      </c>
      <c r="AA25" s="214">
        <f t="shared" si="52"/>
        <v>0.81</v>
      </c>
      <c r="AB25" s="215">
        <f t="shared" si="52"/>
        <v>0.1</v>
      </c>
      <c r="AC25" s="214">
        <f t="shared" si="52"/>
        <v>0.81</v>
      </c>
      <c r="AE25" s="614"/>
      <c r="AF25" s="118" t="s">
        <v>111</v>
      </c>
      <c r="AG25" s="118" t="s">
        <v>25</v>
      </c>
      <c r="AH25" s="212">
        <f>X25</f>
        <v>0.1</v>
      </c>
      <c r="AI25" s="213">
        <f t="shared" si="60"/>
        <v>0.81</v>
      </c>
      <c r="AJ25" s="212">
        <f t="shared" si="53"/>
        <v>0.1</v>
      </c>
      <c r="AK25" s="214">
        <f t="shared" si="54"/>
        <v>0.81</v>
      </c>
      <c r="AL25" s="215">
        <f t="shared" si="55"/>
        <v>0.1</v>
      </c>
      <c r="AM25" s="214">
        <f t="shared" si="56"/>
        <v>0.81</v>
      </c>
    </row>
    <row r="26" spans="1:39" ht="15" thickBot="1" x14ac:dyDescent="0.35">
      <c r="A26" s="615"/>
      <c r="B26" s="119" t="s">
        <v>112</v>
      </c>
      <c r="C26" s="119" t="s">
        <v>25</v>
      </c>
      <c r="D26" s="208">
        <f>Indata!E45</f>
        <v>0.1</v>
      </c>
      <c r="E26" s="208">
        <f>Indata!F45</f>
        <v>0.79</v>
      </c>
      <c r="F26" s="208">
        <f>Indata!G45</f>
        <v>0.1</v>
      </c>
      <c r="G26" s="208">
        <f>Indata!H45</f>
        <v>0.79</v>
      </c>
      <c r="H26" s="208">
        <f>Indata!I45</f>
        <v>0.1</v>
      </c>
      <c r="I26" s="208">
        <f>Indata!J45</f>
        <v>0.79</v>
      </c>
      <c r="K26" s="615"/>
      <c r="L26" s="119" t="s">
        <v>112</v>
      </c>
      <c r="M26" s="119" t="s">
        <v>25</v>
      </c>
      <c r="N26" s="216">
        <f t="shared" si="57"/>
        <v>0.1</v>
      </c>
      <c r="O26" s="217">
        <f t="shared" si="47"/>
        <v>0.79</v>
      </c>
      <c r="P26" s="216">
        <f t="shared" si="48"/>
        <v>0.1</v>
      </c>
      <c r="Q26" s="218">
        <f t="shared" si="49"/>
        <v>0.79</v>
      </c>
      <c r="R26" s="219">
        <f t="shared" si="50"/>
        <v>0.1</v>
      </c>
      <c r="S26" s="218">
        <f t="shared" si="51"/>
        <v>0.79</v>
      </c>
      <c r="U26" s="615"/>
      <c r="V26" s="119" t="s">
        <v>112</v>
      </c>
      <c r="W26" s="119" t="s">
        <v>25</v>
      </c>
      <c r="X26" s="216">
        <f>N26</f>
        <v>0.1</v>
      </c>
      <c r="Y26" s="217">
        <f>O26</f>
        <v>0.79</v>
      </c>
      <c r="Z26" s="216">
        <f t="shared" si="52"/>
        <v>0.1</v>
      </c>
      <c r="AA26" s="218">
        <f t="shared" si="52"/>
        <v>0.79</v>
      </c>
      <c r="AB26" s="219">
        <f t="shared" si="52"/>
        <v>0.1</v>
      </c>
      <c r="AC26" s="218">
        <f t="shared" si="52"/>
        <v>0.79</v>
      </c>
      <c r="AE26" s="615"/>
      <c r="AF26" s="119" t="s">
        <v>112</v>
      </c>
      <c r="AG26" s="119" t="s">
        <v>25</v>
      </c>
      <c r="AH26" s="216">
        <f>X26</f>
        <v>0.1</v>
      </c>
      <c r="AI26" s="217">
        <f>Y26</f>
        <v>0.79</v>
      </c>
      <c r="AJ26" s="216">
        <f t="shared" si="53"/>
        <v>0.1</v>
      </c>
      <c r="AK26" s="218">
        <f t="shared" si="54"/>
        <v>0.79</v>
      </c>
      <c r="AL26" s="219">
        <f t="shared" si="55"/>
        <v>0.1</v>
      </c>
      <c r="AM26" s="218">
        <f t="shared" si="56"/>
        <v>0.79</v>
      </c>
    </row>
    <row r="27" spans="1:39" x14ac:dyDescent="0.3">
      <c r="D27" s="62"/>
      <c r="E27" s="62"/>
      <c r="F27" s="62"/>
      <c r="G27" s="62"/>
      <c r="H27" s="62"/>
      <c r="I27" s="62"/>
      <c r="N27" s="62"/>
      <c r="O27" s="62"/>
      <c r="P27" s="62"/>
      <c r="Q27" s="62"/>
      <c r="R27" s="62"/>
      <c r="S27" s="62"/>
      <c r="X27" s="62"/>
      <c r="Y27" s="62"/>
      <c r="Z27" s="62"/>
      <c r="AA27" s="62"/>
      <c r="AB27" s="62"/>
      <c r="AC27" s="62"/>
      <c r="AE27" s="28"/>
      <c r="AF27" s="28"/>
      <c r="AG27" s="28"/>
      <c r="AH27" s="62"/>
      <c r="AI27" s="62"/>
      <c r="AJ27" s="62"/>
      <c r="AK27" s="62"/>
      <c r="AL27" s="62"/>
      <c r="AM27" s="62"/>
    </row>
    <row r="28" spans="1:39" ht="15" customHeight="1" thickBot="1" x14ac:dyDescent="0.35">
      <c r="A28" s="30" t="s">
        <v>75</v>
      </c>
      <c r="D28" s="63"/>
      <c r="E28" s="63"/>
      <c r="F28" s="63"/>
      <c r="G28" s="63"/>
      <c r="H28" s="63"/>
      <c r="I28" s="63"/>
      <c r="K28" s="30" t="s">
        <v>153</v>
      </c>
      <c r="N28" s="63"/>
      <c r="O28" s="63"/>
      <c r="P28" s="63"/>
      <c r="Q28" s="63"/>
      <c r="R28" s="63"/>
      <c r="S28" s="63"/>
      <c r="U28" s="30" t="s">
        <v>86</v>
      </c>
      <c r="X28" s="63"/>
      <c r="Y28" s="63"/>
      <c r="Z28" s="63"/>
      <c r="AA28" s="63"/>
      <c r="AB28" s="63"/>
      <c r="AC28" s="63"/>
      <c r="AE28" s="30" t="s">
        <v>149</v>
      </c>
      <c r="AF28" s="28"/>
      <c r="AG28" s="28"/>
      <c r="AH28" s="63"/>
      <c r="AI28" s="63"/>
      <c r="AJ28" s="63"/>
      <c r="AK28" s="63"/>
      <c r="AL28" s="63"/>
      <c r="AM28" s="63"/>
    </row>
    <row r="29" spans="1:39" ht="14.4" customHeight="1" x14ac:dyDescent="0.3">
      <c r="A29" s="626" t="s">
        <v>21</v>
      </c>
      <c r="B29" s="117" t="s">
        <v>109</v>
      </c>
      <c r="C29" s="117" t="s">
        <v>68</v>
      </c>
      <c r="D29" s="177">
        <f>Indata!E$16*10</f>
        <v>0</v>
      </c>
      <c r="E29" s="202">
        <f>Indata!F$16*10</f>
        <v>0</v>
      </c>
      <c r="F29" s="177">
        <f>Indata!G$16*10</f>
        <v>0</v>
      </c>
      <c r="G29" s="178">
        <f>Indata!H$16*10</f>
        <v>0</v>
      </c>
      <c r="H29" s="179">
        <f>Indata!I$16*10</f>
        <v>0</v>
      </c>
      <c r="I29" s="178">
        <f>Indata!J$16*10</f>
        <v>0</v>
      </c>
      <c r="K29" s="626" t="s">
        <v>21</v>
      </c>
      <c r="L29" s="117" t="s">
        <v>109</v>
      </c>
      <c r="M29" s="117" t="s">
        <v>68</v>
      </c>
      <c r="N29" s="177">
        <f>D29</f>
        <v>0</v>
      </c>
      <c r="O29" s="202">
        <f t="shared" ref="O29:O32" si="61">E29</f>
        <v>0</v>
      </c>
      <c r="P29" s="177">
        <f t="shared" ref="P29:P32" si="62">F29</f>
        <v>0</v>
      </c>
      <c r="Q29" s="178">
        <f t="shared" ref="Q29:Q32" si="63">G29</f>
        <v>0</v>
      </c>
      <c r="R29" s="179">
        <f t="shared" ref="R29:R32" si="64">H29</f>
        <v>0</v>
      </c>
      <c r="S29" s="178">
        <f t="shared" ref="S29:S32" si="65">I29</f>
        <v>0</v>
      </c>
      <c r="U29" s="626" t="s">
        <v>21</v>
      </c>
      <c r="V29" s="117" t="s">
        <v>109</v>
      </c>
      <c r="W29" s="117" t="s">
        <v>68</v>
      </c>
      <c r="X29" s="177">
        <f>N29</f>
        <v>0</v>
      </c>
      <c r="Y29" s="202">
        <f t="shared" ref="Y29:Y32" si="66">O29</f>
        <v>0</v>
      </c>
      <c r="Z29" s="177">
        <f t="shared" ref="Z29:Z32" si="67">P29</f>
        <v>0</v>
      </c>
      <c r="AA29" s="178">
        <f t="shared" ref="AA29:AA32" si="68">Q29</f>
        <v>0</v>
      </c>
      <c r="AB29" s="179">
        <f t="shared" ref="AB29:AB32" si="69">R29</f>
        <v>0</v>
      </c>
      <c r="AC29" s="178">
        <f t="shared" ref="AC29:AC32" si="70">S29</f>
        <v>0</v>
      </c>
      <c r="AE29" s="626" t="s">
        <v>21</v>
      </c>
      <c r="AF29" s="117" t="s">
        <v>109</v>
      </c>
      <c r="AG29" s="117" t="s">
        <v>68</v>
      </c>
      <c r="AH29" s="177">
        <f>X29</f>
        <v>0</v>
      </c>
      <c r="AI29" s="202">
        <f t="shared" ref="AI29:AI32" si="71">Y29</f>
        <v>0</v>
      </c>
      <c r="AJ29" s="177">
        <f t="shared" ref="AJ29:AJ32" si="72">Z29</f>
        <v>0</v>
      </c>
      <c r="AK29" s="178">
        <f t="shared" ref="AK29:AK32" si="73">AA29</f>
        <v>0</v>
      </c>
      <c r="AL29" s="179">
        <f t="shared" ref="AL29:AL32" si="74">AB29</f>
        <v>0</v>
      </c>
      <c r="AM29" s="178">
        <f t="shared" ref="AM29:AM32" si="75">AC29</f>
        <v>0</v>
      </c>
    </row>
    <row r="30" spans="1:39" x14ac:dyDescent="0.3">
      <c r="A30" s="627"/>
      <c r="B30" s="118" t="s">
        <v>110</v>
      </c>
      <c r="C30" s="118" t="s">
        <v>68</v>
      </c>
      <c r="D30" s="180">
        <f>Indata!E$16*10</f>
        <v>0</v>
      </c>
      <c r="E30" s="203">
        <f>Indata!F$16*10</f>
        <v>0</v>
      </c>
      <c r="F30" s="180">
        <f>Indata!G$16*10</f>
        <v>0</v>
      </c>
      <c r="G30" s="181">
        <f>Indata!H$16*10</f>
        <v>0</v>
      </c>
      <c r="H30" s="182">
        <f>Indata!I$16*10</f>
        <v>0</v>
      </c>
      <c r="I30" s="181">
        <f>Indata!J$16*10</f>
        <v>0</v>
      </c>
      <c r="K30" s="627"/>
      <c r="L30" s="118" t="s">
        <v>110</v>
      </c>
      <c r="M30" s="118" t="s">
        <v>68</v>
      </c>
      <c r="N30" s="180">
        <f t="shared" ref="N30:N32" si="76">D30</f>
        <v>0</v>
      </c>
      <c r="O30" s="203">
        <f t="shared" si="61"/>
        <v>0</v>
      </c>
      <c r="P30" s="180">
        <f t="shared" si="62"/>
        <v>0</v>
      </c>
      <c r="Q30" s="181">
        <f t="shared" si="63"/>
        <v>0</v>
      </c>
      <c r="R30" s="182">
        <f t="shared" si="64"/>
        <v>0</v>
      </c>
      <c r="S30" s="181">
        <f t="shared" si="65"/>
        <v>0</v>
      </c>
      <c r="U30" s="627"/>
      <c r="V30" s="118" t="s">
        <v>110</v>
      </c>
      <c r="W30" s="118" t="s">
        <v>68</v>
      </c>
      <c r="X30" s="180">
        <f t="shared" ref="X30:X32" si="77">N30</f>
        <v>0</v>
      </c>
      <c r="Y30" s="203">
        <f t="shared" si="66"/>
        <v>0</v>
      </c>
      <c r="Z30" s="180">
        <f t="shared" si="67"/>
        <v>0</v>
      </c>
      <c r="AA30" s="181">
        <f t="shared" si="68"/>
        <v>0</v>
      </c>
      <c r="AB30" s="182">
        <f t="shared" si="69"/>
        <v>0</v>
      </c>
      <c r="AC30" s="181">
        <f t="shared" si="70"/>
        <v>0</v>
      </c>
      <c r="AE30" s="627"/>
      <c r="AF30" s="118" t="s">
        <v>110</v>
      </c>
      <c r="AG30" s="118" t="s">
        <v>68</v>
      </c>
      <c r="AH30" s="180">
        <f t="shared" ref="AH30:AH32" si="78">X30</f>
        <v>0</v>
      </c>
      <c r="AI30" s="203">
        <f t="shared" si="71"/>
        <v>0</v>
      </c>
      <c r="AJ30" s="180">
        <f t="shared" si="72"/>
        <v>0</v>
      </c>
      <c r="AK30" s="181">
        <f t="shared" si="73"/>
        <v>0</v>
      </c>
      <c r="AL30" s="182">
        <f t="shared" si="74"/>
        <v>0</v>
      </c>
      <c r="AM30" s="181">
        <f t="shared" si="75"/>
        <v>0</v>
      </c>
    </row>
    <row r="31" spans="1:39" x14ac:dyDescent="0.3">
      <c r="A31" s="627"/>
      <c r="B31" s="118" t="s">
        <v>111</v>
      </c>
      <c r="C31" s="118" t="s">
        <v>68</v>
      </c>
      <c r="D31" s="256">
        <f>Indata!E$16*10</f>
        <v>0</v>
      </c>
      <c r="E31" s="257">
        <f>Indata!F$16*10</f>
        <v>0</v>
      </c>
      <c r="F31" s="256">
        <f>Indata!G$16*10</f>
        <v>0</v>
      </c>
      <c r="G31" s="258">
        <f>Indata!H$16*10</f>
        <v>0</v>
      </c>
      <c r="H31" s="259">
        <f>Indata!I$16*10</f>
        <v>0</v>
      </c>
      <c r="I31" s="258">
        <f>Indata!J$16*10</f>
        <v>0</v>
      </c>
      <c r="K31" s="627"/>
      <c r="L31" s="118" t="s">
        <v>111</v>
      </c>
      <c r="M31" s="118" t="s">
        <v>68</v>
      </c>
      <c r="N31" s="256">
        <f t="shared" si="76"/>
        <v>0</v>
      </c>
      <c r="O31" s="257">
        <f t="shared" si="61"/>
        <v>0</v>
      </c>
      <c r="P31" s="256">
        <f t="shared" si="62"/>
        <v>0</v>
      </c>
      <c r="Q31" s="258">
        <f t="shared" si="63"/>
        <v>0</v>
      </c>
      <c r="R31" s="259">
        <f t="shared" si="64"/>
        <v>0</v>
      </c>
      <c r="S31" s="258">
        <f t="shared" si="65"/>
        <v>0</v>
      </c>
      <c r="U31" s="627"/>
      <c r="V31" s="118" t="s">
        <v>111</v>
      </c>
      <c r="W31" s="118" t="s">
        <v>68</v>
      </c>
      <c r="X31" s="256">
        <f t="shared" si="77"/>
        <v>0</v>
      </c>
      <c r="Y31" s="257">
        <f t="shared" si="66"/>
        <v>0</v>
      </c>
      <c r="Z31" s="256">
        <f t="shared" si="67"/>
        <v>0</v>
      </c>
      <c r="AA31" s="258">
        <f t="shared" si="68"/>
        <v>0</v>
      </c>
      <c r="AB31" s="259">
        <f t="shared" si="69"/>
        <v>0</v>
      </c>
      <c r="AC31" s="258">
        <f t="shared" si="70"/>
        <v>0</v>
      </c>
      <c r="AE31" s="627"/>
      <c r="AF31" s="118" t="s">
        <v>111</v>
      </c>
      <c r="AG31" s="118" t="s">
        <v>68</v>
      </c>
      <c r="AH31" s="256">
        <f t="shared" si="78"/>
        <v>0</v>
      </c>
      <c r="AI31" s="257">
        <f t="shared" si="71"/>
        <v>0</v>
      </c>
      <c r="AJ31" s="256">
        <f t="shared" si="72"/>
        <v>0</v>
      </c>
      <c r="AK31" s="258">
        <f t="shared" si="73"/>
        <v>0</v>
      </c>
      <c r="AL31" s="259">
        <f t="shared" si="74"/>
        <v>0</v>
      </c>
      <c r="AM31" s="258">
        <f t="shared" si="75"/>
        <v>0</v>
      </c>
    </row>
    <row r="32" spans="1:39" ht="15" thickBot="1" x14ac:dyDescent="0.35">
      <c r="A32" s="628"/>
      <c r="B32" s="119" t="s">
        <v>112</v>
      </c>
      <c r="C32" s="119" t="s">
        <v>68</v>
      </c>
      <c r="D32" s="204">
        <f>Indata!E$16*10</f>
        <v>0</v>
      </c>
      <c r="E32" s="205">
        <f>Indata!F$16*10</f>
        <v>0</v>
      </c>
      <c r="F32" s="204">
        <f>Indata!G$16*10</f>
        <v>0</v>
      </c>
      <c r="G32" s="206">
        <f>Indata!H$16*10</f>
        <v>0</v>
      </c>
      <c r="H32" s="207">
        <f>Indata!I$16*10</f>
        <v>0</v>
      </c>
      <c r="I32" s="206">
        <f>Indata!J$16*10</f>
        <v>0</v>
      </c>
      <c r="K32" s="628"/>
      <c r="L32" s="119" t="s">
        <v>112</v>
      </c>
      <c r="M32" s="119" t="s">
        <v>68</v>
      </c>
      <c r="N32" s="204">
        <f t="shared" si="76"/>
        <v>0</v>
      </c>
      <c r="O32" s="205">
        <f t="shared" si="61"/>
        <v>0</v>
      </c>
      <c r="P32" s="204">
        <f t="shared" si="62"/>
        <v>0</v>
      </c>
      <c r="Q32" s="206">
        <f t="shared" si="63"/>
        <v>0</v>
      </c>
      <c r="R32" s="207">
        <f t="shared" si="64"/>
        <v>0</v>
      </c>
      <c r="S32" s="206">
        <f t="shared" si="65"/>
        <v>0</v>
      </c>
      <c r="U32" s="628"/>
      <c r="V32" s="119" t="s">
        <v>112</v>
      </c>
      <c r="W32" s="119" t="s">
        <v>68</v>
      </c>
      <c r="X32" s="204">
        <f t="shared" si="77"/>
        <v>0</v>
      </c>
      <c r="Y32" s="205">
        <f t="shared" si="66"/>
        <v>0</v>
      </c>
      <c r="Z32" s="204">
        <f t="shared" si="67"/>
        <v>0</v>
      </c>
      <c r="AA32" s="206">
        <f t="shared" si="68"/>
        <v>0</v>
      </c>
      <c r="AB32" s="207">
        <f t="shared" si="69"/>
        <v>0</v>
      </c>
      <c r="AC32" s="206">
        <f t="shared" si="70"/>
        <v>0</v>
      </c>
      <c r="AE32" s="628"/>
      <c r="AF32" s="119" t="s">
        <v>112</v>
      </c>
      <c r="AG32" s="119" t="s">
        <v>68</v>
      </c>
      <c r="AH32" s="204">
        <f t="shared" si="78"/>
        <v>0</v>
      </c>
      <c r="AI32" s="205">
        <f t="shared" si="71"/>
        <v>0</v>
      </c>
      <c r="AJ32" s="204">
        <f t="shared" si="72"/>
        <v>0</v>
      </c>
      <c r="AK32" s="206">
        <f t="shared" si="73"/>
        <v>0</v>
      </c>
      <c r="AL32" s="207">
        <f t="shared" si="74"/>
        <v>0</v>
      </c>
      <c r="AM32" s="206">
        <f t="shared" si="75"/>
        <v>0</v>
      </c>
    </row>
    <row r="33" spans="1:39" x14ac:dyDescent="0.3">
      <c r="A33" s="14"/>
      <c r="B33" s="14"/>
      <c r="C33" s="14"/>
      <c r="D33" s="14"/>
      <c r="E33" s="14"/>
      <c r="F33" s="14"/>
      <c r="G33" s="14"/>
      <c r="H33" s="14"/>
      <c r="I33" s="14"/>
      <c r="K33" s="14"/>
      <c r="L33" s="14"/>
      <c r="M33" s="14"/>
      <c r="N33" s="14"/>
      <c r="O33" s="14"/>
      <c r="P33" s="14"/>
      <c r="Q33" s="14"/>
      <c r="R33" s="14"/>
      <c r="S33" s="14"/>
      <c r="U33" s="14"/>
      <c r="V33" s="14"/>
      <c r="W33" s="14"/>
      <c r="X33" s="14"/>
      <c r="Y33" s="14"/>
      <c r="Z33" s="14"/>
      <c r="AA33" s="14"/>
      <c r="AB33" s="14"/>
      <c r="AC33" s="14"/>
    </row>
    <row r="34" spans="1:39" x14ac:dyDescent="0.3">
      <c r="A34" s="14"/>
      <c r="B34" s="14"/>
      <c r="C34" s="14"/>
      <c r="D34" s="14"/>
      <c r="E34" s="14"/>
      <c r="F34" s="14"/>
      <c r="G34" s="14"/>
      <c r="H34" s="14"/>
      <c r="I34" s="14"/>
      <c r="K34" s="14"/>
      <c r="L34" s="14"/>
      <c r="M34" s="14"/>
      <c r="N34" s="14"/>
      <c r="O34" s="14"/>
      <c r="P34" s="14"/>
      <c r="Q34" s="14"/>
      <c r="R34" s="14"/>
      <c r="S34" s="14"/>
      <c r="U34" s="14"/>
      <c r="V34" s="14"/>
      <c r="W34" s="14"/>
      <c r="X34" s="14"/>
      <c r="Y34" s="14"/>
      <c r="Z34" s="14"/>
      <c r="AA34" s="14"/>
      <c r="AB34" s="14"/>
      <c r="AC34" s="14"/>
    </row>
    <row r="35" spans="1:39" ht="15" thickBot="1" x14ac:dyDescent="0.35">
      <c r="A35" s="30" t="s">
        <v>78</v>
      </c>
      <c r="K35" s="30" t="s">
        <v>155</v>
      </c>
      <c r="U35" s="30" t="s">
        <v>233</v>
      </c>
      <c r="AE35" s="30" t="s">
        <v>223</v>
      </c>
      <c r="AF35" s="28"/>
      <c r="AG35" s="28"/>
      <c r="AH35" s="28"/>
      <c r="AI35" s="28"/>
      <c r="AJ35" s="28"/>
      <c r="AK35" s="28"/>
      <c r="AL35" s="28"/>
      <c r="AM35" s="28"/>
    </row>
    <row r="36" spans="1:39" ht="15" thickBot="1" x14ac:dyDescent="0.35">
      <c r="A36" s="613" t="s">
        <v>17</v>
      </c>
      <c r="B36" s="117" t="s">
        <v>130</v>
      </c>
      <c r="C36" s="117" t="s">
        <v>36</v>
      </c>
      <c r="D36" s="248">
        <f>Indata!E57*(1+Indata!E$61)*(1-D23)</f>
        <v>0.16571432955128529</v>
      </c>
      <c r="E36" s="221">
        <f>Indata!F57*(1+Indata!F$61)*(1-E23)</f>
        <v>4.1690163863819928E-2</v>
      </c>
      <c r="F36" s="220">
        <f>Indata!G57*(1+Indata!G$61)*(1-F23)</f>
        <v>0.16571432955128529</v>
      </c>
      <c r="G36" s="221">
        <f>Indata!H57*(1+Indata!H$61)*(1-G23)</f>
        <v>4.1690163863819928E-2</v>
      </c>
      <c r="H36" s="222">
        <f>Indata!I57*(1+Indata!I$61)*(1-H23)</f>
        <v>0.16571432955128529</v>
      </c>
      <c r="I36" s="221">
        <f>Indata!J57*(1+Indata!J$61)*(1-I23)</f>
        <v>4.1690163863819928E-2</v>
      </c>
      <c r="K36" s="613" t="s">
        <v>17</v>
      </c>
      <c r="L36" s="117" t="s">
        <v>130</v>
      </c>
      <c r="M36" s="117" t="s">
        <v>36</v>
      </c>
      <c r="N36" s="248">
        <f>D36</f>
        <v>0.16571432955128529</v>
      </c>
      <c r="O36" s="221">
        <f t="shared" ref="O36:O39" si="79">E36</f>
        <v>4.1690163863819928E-2</v>
      </c>
      <c r="P36" s="363">
        <f t="shared" ref="P36:P39" si="80">F36</f>
        <v>0.16571432955128529</v>
      </c>
      <c r="Q36" s="221">
        <f t="shared" ref="Q36:Q39" si="81">G36</f>
        <v>4.1690163863819928E-2</v>
      </c>
      <c r="R36" s="222">
        <f t="shared" ref="R36:R39" si="82">H36</f>
        <v>0.16571432955128529</v>
      </c>
      <c r="S36" s="221">
        <f t="shared" ref="S36:S39" si="83">I36</f>
        <v>4.1690163863819928E-2</v>
      </c>
      <c r="U36" s="613" t="s">
        <v>17</v>
      </c>
      <c r="V36" s="117" t="s">
        <v>130</v>
      </c>
      <c r="W36" s="117" t="s">
        <v>36</v>
      </c>
      <c r="X36" s="248">
        <f>N36/N$50*X$50</f>
        <v>0.16571432955128529</v>
      </c>
      <c r="Y36" s="248">
        <f t="shared" ref="Y36:AC49" si="84">O36/O$50*Y$50</f>
        <v>4.1690163863819928E-2</v>
      </c>
      <c r="Z36" s="248">
        <f t="shared" si="84"/>
        <v>0.16571432955128529</v>
      </c>
      <c r="AA36" s="248">
        <f t="shared" si="84"/>
        <v>4.1690163863819928E-2</v>
      </c>
      <c r="AB36" s="248">
        <f t="shared" si="84"/>
        <v>0.16571432955128529</v>
      </c>
      <c r="AC36" s="248">
        <f t="shared" si="84"/>
        <v>4.1690163863819928E-2</v>
      </c>
      <c r="AE36" s="613" t="s">
        <v>17</v>
      </c>
      <c r="AF36" s="117" t="s">
        <v>130</v>
      </c>
      <c r="AG36" s="117" t="s">
        <v>36</v>
      </c>
      <c r="AH36" s="248">
        <f>X36*(1-Indata!E$22)</f>
        <v>0.16571432955128529</v>
      </c>
      <c r="AI36" s="221">
        <f>Y36*(1-Indata!F$22)</f>
        <v>4.1690163863819928E-2</v>
      </c>
      <c r="AJ36" s="220">
        <f>Z36*(1-Indata!G$22)</f>
        <v>0.16571432955128529</v>
      </c>
      <c r="AK36" s="221">
        <f>AA36*(1-Indata!H$22)</f>
        <v>4.1690163863819928E-2</v>
      </c>
      <c r="AL36" s="222">
        <f>AB36*(1-Indata!I$22)</f>
        <v>0.16571432955128529</v>
      </c>
      <c r="AM36" s="221">
        <f>AC36*(1-Indata!J$22)</f>
        <v>4.1690163863819928E-2</v>
      </c>
    </row>
    <row r="37" spans="1:39" ht="15" thickBot="1" x14ac:dyDescent="0.35">
      <c r="A37" s="614"/>
      <c r="B37" s="118" t="s">
        <v>131</v>
      </c>
      <c r="C37" s="118" t="s">
        <v>36</v>
      </c>
      <c r="D37" s="223">
        <f>Indata!E58*(1+Indata!E$61)*(1-D24)</f>
        <v>0.18036535272896073</v>
      </c>
      <c r="E37" s="224">
        <f>Indata!F58*(1+Indata!F$61)*(1-E24)</f>
        <v>4.5376046422701967E-2</v>
      </c>
      <c r="F37" s="223">
        <f>Indata!G58*(1+Indata!G$61)*(1-F24)</f>
        <v>0.18036535272896073</v>
      </c>
      <c r="G37" s="224">
        <f>Indata!H58*(1+Indata!H$61)*(1-G24)</f>
        <v>4.5376046422701967E-2</v>
      </c>
      <c r="H37" s="225">
        <f>Indata!I58*(1+Indata!I$61)*(1-H24)</f>
        <v>0.18036535272896073</v>
      </c>
      <c r="I37" s="224">
        <f>Indata!J58*(1+Indata!J$61)*(1-I24)</f>
        <v>4.5376046422701967E-2</v>
      </c>
      <c r="K37" s="614"/>
      <c r="L37" s="118" t="s">
        <v>131</v>
      </c>
      <c r="M37" s="118" t="s">
        <v>36</v>
      </c>
      <c r="N37" s="223">
        <f t="shared" ref="N37:N39" si="85">D37</f>
        <v>0.18036535272896073</v>
      </c>
      <c r="O37" s="224">
        <f t="shared" si="79"/>
        <v>4.5376046422701967E-2</v>
      </c>
      <c r="P37" s="223">
        <f t="shared" si="80"/>
        <v>0.18036535272896073</v>
      </c>
      <c r="Q37" s="224">
        <f t="shared" si="81"/>
        <v>4.5376046422701967E-2</v>
      </c>
      <c r="R37" s="225">
        <f t="shared" si="82"/>
        <v>0.18036535272896073</v>
      </c>
      <c r="S37" s="224">
        <f t="shared" si="83"/>
        <v>4.5376046422701967E-2</v>
      </c>
      <c r="U37" s="614"/>
      <c r="V37" s="118" t="s">
        <v>131</v>
      </c>
      <c r="W37" s="118" t="s">
        <v>36</v>
      </c>
      <c r="X37" s="248">
        <f t="shared" ref="X37:X49" si="86">N37/N$50*X$50</f>
        <v>0.18036535272896073</v>
      </c>
      <c r="Y37" s="248">
        <f t="shared" si="84"/>
        <v>4.5376046422701967E-2</v>
      </c>
      <c r="Z37" s="248">
        <f t="shared" si="84"/>
        <v>0.18036535272896073</v>
      </c>
      <c r="AA37" s="248">
        <f t="shared" si="84"/>
        <v>4.5376046422701967E-2</v>
      </c>
      <c r="AB37" s="248">
        <f t="shared" si="84"/>
        <v>0.18036535272896073</v>
      </c>
      <c r="AC37" s="248">
        <f t="shared" si="84"/>
        <v>4.5376046422701967E-2</v>
      </c>
      <c r="AE37" s="614"/>
      <c r="AF37" s="118" t="s">
        <v>131</v>
      </c>
      <c r="AG37" s="118" t="s">
        <v>36</v>
      </c>
      <c r="AH37" s="223">
        <f>X37*(1-Indata!E$22)</f>
        <v>0.18036535272896073</v>
      </c>
      <c r="AI37" s="224">
        <f>Y37*(1-Indata!F$22)</f>
        <v>4.5376046422701967E-2</v>
      </c>
      <c r="AJ37" s="223">
        <f>Z37*(1-Indata!G$22)</f>
        <v>0.18036535272896073</v>
      </c>
      <c r="AK37" s="224">
        <f>AA37*(1-Indata!H$22)</f>
        <v>4.5376046422701967E-2</v>
      </c>
      <c r="AL37" s="225">
        <f>AB37*(1-Indata!I$22)</f>
        <v>0.18036535272896073</v>
      </c>
      <c r="AM37" s="224">
        <f>AC37*(1-Indata!J$22)</f>
        <v>4.5376046422701967E-2</v>
      </c>
    </row>
    <row r="38" spans="1:39" ht="15" thickBot="1" x14ac:dyDescent="0.35">
      <c r="A38" s="614"/>
      <c r="B38" s="118" t="s">
        <v>132</v>
      </c>
      <c r="C38" s="118" t="s">
        <v>36</v>
      </c>
      <c r="D38" s="223">
        <f>Indata!E59*(1+Indata!E$61)*(1-D25)</f>
        <v>1.7713816562744469</v>
      </c>
      <c r="E38" s="224">
        <f>Indata!F59*(1+Indata!F$61)*(1-E25)</f>
        <v>0.44099945551908581</v>
      </c>
      <c r="F38" s="223">
        <f>Indata!G59*(1+Indata!G$61)*(1-F25)</f>
        <v>1.7713816562744469</v>
      </c>
      <c r="G38" s="224">
        <f>Indata!H59*(1+Indata!H$61)*(1-G25)</f>
        <v>0.44099945551908581</v>
      </c>
      <c r="H38" s="225">
        <f>Indata!I59*(1+Indata!I$61)*(1-H25)</f>
        <v>1.7713816562744469</v>
      </c>
      <c r="I38" s="224">
        <f>Indata!J59*(1+Indata!J$61)*(1-I25)</f>
        <v>0.44099945551908581</v>
      </c>
      <c r="K38" s="614"/>
      <c r="L38" s="118" t="s">
        <v>132</v>
      </c>
      <c r="M38" s="118" t="s">
        <v>36</v>
      </c>
      <c r="N38" s="223">
        <f t="shared" si="85"/>
        <v>1.7713816562744469</v>
      </c>
      <c r="O38" s="224">
        <f t="shared" si="79"/>
        <v>0.44099945551908581</v>
      </c>
      <c r="P38" s="223">
        <f t="shared" si="80"/>
        <v>1.7713816562744469</v>
      </c>
      <c r="Q38" s="224">
        <f t="shared" si="81"/>
        <v>0.44099945551908581</v>
      </c>
      <c r="R38" s="225">
        <f t="shared" si="82"/>
        <v>1.7713816562744469</v>
      </c>
      <c r="S38" s="224">
        <f t="shared" si="83"/>
        <v>0.44099945551908581</v>
      </c>
      <c r="U38" s="614"/>
      <c r="V38" s="118" t="s">
        <v>132</v>
      </c>
      <c r="W38" s="118" t="s">
        <v>36</v>
      </c>
      <c r="X38" s="248">
        <f t="shared" si="86"/>
        <v>1.7713816562744469</v>
      </c>
      <c r="Y38" s="248">
        <f t="shared" si="84"/>
        <v>0.44099945551908581</v>
      </c>
      <c r="Z38" s="248">
        <f t="shared" si="84"/>
        <v>1.7713816562744469</v>
      </c>
      <c r="AA38" s="248">
        <f t="shared" si="84"/>
        <v>0.44099945551908581</v>
      </c>
      <c r="AB38" s="248">
        <f t="shared" si="84"/>
        <v>1.7713816562744469</v>
      </c>
      <c r="AC38" s="248">
        <f t="shared" si="84"/>
        <v>0.44099945551908581</v>
      </c>
      <c r="AE38" s="614"/>
      <c r="AF38" s="118" t="s">
        <v>132</v>
      </c>
      <c r="AG38" s="118" t="s">
        <v>36</v>
      </c>
      <c r="AH38" s="223">
        <f>X38*(1-Indata!E$22)</f>
        <v>1.7713816562744469</v>
      </c>
      <c r="AI38" s="224">
        <f>Y38*(1-Indata!F$22)</f>
        <v>0.44099945551908581</v>
      </c>
      <c r="AJ38" s="223">
        <f>Z38*(1-Indata!G$22)</f>
        <v>1.7713816562744469</v>
      </c>
      <c r="AK38" s="224">
        <f>AA38*(1-Indata!H$22)</f>
        <v>0.44099945551908581</v>
      </c>
      <c r="AL38" s="225">
        <f>AB38*(1-Indata!I$22)</f>
        <v>1.7713816562744469</v>
      </c>
      <c r="AM38" s="224">
        <f>AC38*(1-Indata!J$22)</f>
        <v>0.44099945551908581</v>
      </c>
    </row>
    <row r="39" spans="1:39" ht="15" thickBot="1" x14ac:dyDescent="0.35">
      <c r="A39" s="614"/>
      <c r="B39" s="118" t="s">
        <v>133</v>
      </c>
      <c r="C39" s="118" t="s">
        <v>36</v>
      </c>
      <c r="D39" s="249">
        <f>Indata!E60*(1+Indata!E$61)*(1-D26)</f>
        <v>3.192958776569494</v>
      </c>
      <c r="E39" s="250">
        <f>Indata!F60*(1+Indata!F$61)*(1-E26)</f>
        <v>0.87858728855322632</v>
      </c>
      <c r="F39" s="249">
        <f>Indata!G60*(1+Indata!G$61)*(1-F26)</f>
        <v>3.192958776569494</v>
      </c>
      <c r="G39" s="250">
        <f>Indata!H60*(1+Indata!H$61)*(1-G26)</f>
        <v>0.87858728855322632</v>
      </c>
      <c r="H39" s="251">
        <f>Indata!I60*(1+Indata!I$61)*(1-H26)</f>
        <v>3.192958776569494</v>
      </c>
      <c r="I39" s="250">
        <f>Indata!J60*(1+Indata!J$61)*(1-I26)</f>
        <v>0.87858728855322632</v>
      </c>
      <c r="K39" s="614"/>
      <c r="L39" s="118" t="s">
        <v>133</v>
      </c>
      <c r="M39" s="118" t="s">
        <v>36</v>
      </c>
      <c r="N39" s="249">
        <f t="shared" si="85"/>
        <v>3.192958776569494</v>
      </c>
      <c r="O39" s="250">
        <f t="shared" si="79"/>
        <v>0.87858728855322632</v>
      </c>
      <c r="P39" s="249">
        <f t="shared" si="80"/>
        <v>3.192958776569494</v>
      </c>
      <c r="Q39" s="250">
        <f t="shared" si="81"/>
        <v>0.87858728855322632</v>
      </c>
      <c r="R39" s="251">
        <f t="shared" si="82"/>
        <v>3.192958776569494</v>
      </c>
      <c r="S39" s="250">
        <f t="shared" si="83"/>
        <v>0.87858728855322632</v>
      </c>
      <c r="U39" s="614"/>
      <c r="V39" s="118" t="s">
        <v>133</v>
      </c>
      <c r="W39" s="118" t="s">
        <v>36</v>
      </c>
      <c r="X39" s="248">
        <f t="shared" si="86"/>
        <v>3.192958776569494</v>
      </c>
      <c r="Y39" s="248">
        <f t="shared" si="84"/>
        <v>0.87858728855322632</v>
      </c>
      <c r="Z39" s="248">
        <f t="shared" si="84"/>
        <v>3.192958776569494</v>
      </c>
      <c r="AA39" s="248">
        <f t="shared" si="84"/>
        <v>0.87858728855322632</v>
      </c>
      <c r="AB39" s="248">
        <f t="shared" si="84"/>
        <v>3.192958776569494</v>
      </c>
      <c r="AC39" s="248">
        <f t="shared" si="84"/>
        <v>0.87858728855322632</v>
      </c>
      <c r="AE39" s="614"/>
      <c r="AF39" s="118" t="s">
        <v>133</v>
      </c>
      <c r="AG39" s="118" t="s">
        <v>36</v>
      </c>
      <c r="AH39" s="249">
        <f>X39*(1-Indata!E$22)</f>
        <v>3.192958776569494</v>
      </c>
      <c r="AI39" s="250">
        <f>Y39*(1-Indata!F$22)</f>
        <v>0.87858728855322632</v>
      </c>
      <c r="AJ39" s="249">
        <f>Z39*(1-Indata!G$22)</f>
        <v>3.192958776569494</v>
      </c>
      <c r="AK39" s="250">
        <f>AA39*(1-Indata!H$22)</f>
        <v>0.87858728855322632</v>
      </c>
      <c r="AL39" s="251">
        <f>AB39*(1-Indata!I$22)</f>
        <v>3.192958776569494</v>
      </c>
      <c r="AM39" s="250">
        <f>AC39*(1-Indata!J$22)</f>
        <v>0.87858728855322632</v>
      </c>
    </row>
    <row r="40" spans="1:39" ht="15" thickBot="1" x14ac:dyDescent="0.35">
      <c r="A40" s="614"/>
      <c r="B40" s="162" t="s">
        <v>156</v>
      </c>
      <c r="C40" s="162" t="s">
        <v>36</v>
      </c>
      <c r="D40" s="245">
        <f>SUM(D36:D39)</f>
        <v>5.3104201151241863</v>
      </c>
      <c r="E40" s="246">
        <f t="shared" ref="E40:I40" si="87">SUM(E36:E39)</f>
        <v>1.406652954358834</v>
      </c>
      <c r="F40" s="245">
        <f t="shared" si="87"/>
        <v>5.3104201151241863</v>
      </c>
      <c r="G40" s="246">
        <f t="shared" si="87"/>
        <v>1.406652954358834</v>
      </c>
      <c r="H40" s="247">
        <f t="shared" si="87"/>
        <v>5.3104201151241863</v>
      </c>
      <c r="I40" s="246">
        <f t="shared" si="87"/>
        <v>1.406652954358834</v>
      </c>
      <c r="K40" s="614"/>
      <c r="L40" s="162" t="s">
        <v>156</v>
      </c>
      <c r="M40" s="162" t="s">
        <v>36</v>
      </c>
      <c r="N40" s="245">
        <f>SUM(N36:N39)</f>
        <v>5.3104201151241863</v>
      </c>
      <c r="O40" s="246">
        <f t="shared" ref="O40" si="88">SUM(O36:O39)</f>
        <v>1.406652954358834</v>
      </c>
      <c r="P40" s="245">
        <f t="shared" ref="P40" si="89">SUM(P36:P39)</f>
        <v>5.3104201151241863</v>
      </c>
      <c r="Q40" s="246">
        <f t="shared" ref="Q40" si="90">SUM(Q36:Q39)</f>
        <v>1.406652954358834</v>
      </c>
      <c r="R40" s="247">
        <f t="shared" ref="R40" si="91">SUM(R36:R39)</f>
        <v>5.3104201151241863</v>
      </c>
      <c r="S40" s="246">
        <f t="shared" ref="S40" si="92">SUM(S36:S39)</f>
        <v>1.406652954358834</v>
      </c>
      <c r="U40" s="614"/>
      <c r="V40" s="162" t="s">
        <v>156</v>
      </c>
      <c r="W40" s="162" t="s">
        <v>36</v>
      </c>
      <c r="X40" s="248">
        <f t="shared" si="86"/>
        <v>5.3104201151241863</v>
      </c>
      <c r="Y40" s="248">
        <f t="shared" si="84"/>
        <v>1.406652954358834</v>
      </c>
      <c r="Z40" s="248">
        <f t="shared" si="84"/>
        <v>5.3104201151241863</v>
      </c>
      <c r="AA40" s="248">
        <f t="shared" si="84"/>
        <v>1.406652954358834</v>
      </c>
      <c r="AB40" s="248">
        <f t="shared" si="84"/>
        <v>5.3104201151241863</v>
      </c>
      <c r="AC40" s="248">
        <f t="shared" si="84"/>
        <v>1.406652954358834</v>
      </c>
      <c r="AE40" s="614"/>
      <c r="AF40" s="162" t="s">
        <v>156</v>
      </c>
      <c r="AG40" s="162" t="s">
        <v>36</v>
      </c>
      <c r="AH40" s="245">
        <f>SUM(AH36:AH39)</f>
        <v>5.3104201151241863</v>
      </c>
      <c r="AI40" s="246">
        <f>SUM(AI36:AI39)</f>
        <v>1.406652954358834</v>
      </c>
      <c r="AJ40" s="245">
        <f>SUM(AJ36:AJ39)</f>
        <v>5.3104201151241863</v>
      </c>
      <c r="AK40" s="246">
        <f t="shared" ref="AK40" si="93">SUM(AK36:AK39)</f>
        <v>1.406652954358834</v>
      </c>
      <c r="AL40" s="247">
        <f t="shared" ref="AL40" si="94">SUM(AL36:AL39)</f>
        <v>5.3104201151241863</v>
      </c>
      <c r="AM40" s="246">
        <f t="shared" ref="AM40" si="95">SUM(AM36:AM39)</f>
        <v>1.406652954358834</v>
      </c>
    </row>
    <row r="41" spans="1:39" ht="15" thickBot="1" x14ac:dyDescent="0.35">
      <c r="A41" s="614"/>
      <c r="B41" s="118" t="s">
        <v>135</v>
      </c>
      <c r="C41" s="118" t="s">
        <v>36</v>
      </c>
      <c r="D41" s="249">
        <f>Indata!E57*(1+Indata!E$61)*(D23)</f>
        <v>5.523810985042843E-2</v>
      </c>
      <c r="E41" s="250">
        <f>Indata!F57*(1+Indata!F$61)*(E23)</f>
        <v>0.21887336028505458</v>
      </c>
      <c r="F41" s="249">
        <f>Indata!G57*(1+Indata!G$61)*(F23)</f>
        <v>5.523810985042843E-2</v>
      </c>
      <c r="G41" s="250">
        <f>Indata!H57*(1+Indata!H$61)*(G23)</f>
        <v>0.21887336028505458</v>
      </c>
      <c r="H41" s="251">
        <f>Indata!I57*(1+Indata!I$61)*(H23)</f>
        <v>5.523810985042843E-2</v>
      </c>
      <c r="I41" s="250">
        <f>Indata!J57*(1+Indata!J$61)*(I23)</f>
        <v>0.21887336028505458</v>
      </c>
      <c r="K41" s="614"/>
      <c r="L41" s="118" t="s">
        <v>135</v>
      </c>
      <c r="M41" s="118" t="s">
        <v>36</v>
      </c>
      <c r="N41" s="249">
        <f>D41</f>
        <v>5.523810985042843E-2</v>
      </c>
      <c r="O41" s="250">
        <f t="shared" ref="O41:O44" si="96">E41</f>
        <v>0.21887336028505458</v>
      </c>
      <c r="P41" s="364">
        <f t="shared" ref="P41:P44" si="97">F41</f>
        <v>5.523810985042843E-2</v>
      </c>
      <c r="Q41" s="250">
        <f t="shared" ref="Q41:Q44" si="98">G41</f>
        <v>0.21887336028505458</v>
      </c>
      <c r="R41" s="251">
        <f t="shared" ref="R41:R44" si="99">H41</f>
        <v>5.523810985042843E-2</v>
      </c>
      <c r="S41" s="250">
        <f t="shared" ref="S41:S44" si="100">I41</f>
        <v>0.21887336028505458</v>
      </c>
      <c r="U41" s="614"/>
      <c r="V41" s="118" t="s">
        <v>135</v>
      </c>
      <c r="W41" s="118" t="s">
        <v>36</v>
      </c>
      <c r="X41" s="248">
        <f t="shared" si="86"/>
        <v>5.523810985042843E-2</v>
      </c>
      <c r="Y41" s="248">
        <f t="shared" si="84"/>
        <v>0.21887336028505458</v>
      </c>
      <c r="Z41" s="248">
        <f t="shared" si="84"/>
        <v>5.523810985042843E-2</v>
      </c>
      <c r="AA41" s="248">
        <f t="shared" si="84"/>
        <v>0.21887336028505458</v>
      </c>
      <c r="AB41" s="248">
        <f t="shared" si="84"/>
        <v>5.523810985042843E-2</v>
      </c>
      <c r="AC41" s="248">
        <f t="shared" si="84"/>
        <v>0.21887336028505458</v>
      </c>
      <c r="AE41" s="614"/>
      <c r="AF41" s="118" t="s">
        <v>135</v>
      </c>
      <c r="AG41" s="118" t="s">
        <v>36</v>
      </c>
      <c r="AH41" s="249">
        <f>X41*(1-Indata!E$22)</f>
        <v>5.523810985042843E-2</v>
      </c>
      <c r="AI41" s="250">
        <f>Y41*(1-Indata!F$22)</f>
        <v>0.21887336028505458</v>
      </c>
      <c r="AJ41" s="249">
        <f>Z41*(1-Indata!G$22)</f>
        <v>5.523810985042843E-2</v>
      </c>
      <c r="AK41" s="250">
        <f>AA41*(1-Indata!H$22)</f>
        <v>0.21887336028505458</v>
      </c>
      <c r="AL41" s="251">
        <f>AB41*(1-Indata!I$22)</f>
        <v>5.523810985042843E-2</v>
      </c>
      <c r="AM41" s="250">
        <f>AC41*(1-Indata!J$22)</f>
        <v>0.21887336028505458</v>
      </c>
    </row>
    <row r="42" spans="1:39" ht="15" thickBot="1" x14ac:dyDescent="0.35">
      <c r="A42" s="614"/>
      <c r="B42" s="118" t="s">
        <v>136</v>
      </c>
      <c r="C42" s="118" t="s">
        <v>36</v>
      </c>
      <c r="D42" s="249">
        <f>Indata!E58*(1+Indata!E$61)*(D24)</f>
        <v>6.0121784242986913E-2</v>
      </c>
      <c r="E42" s="250">
        <f>Indata!F58*(1+Indata!F$61)*(E24)</f>
        <v>0.2382242437191853</v>
      </c>
      <c r="F42" s="249">
        <f>Indata!G58*(1+Indata!G$61)*(F24)</f>
        <v>6.0121784242986913E-2</v>
      </c>
      <c r="G42" s="250">
        <f>Indata!H58*(1+Indata!H$61)*(G24)</f>
        <v>0.2382242437191853</v>
      </c>
      <c r="H42" s="251">
        <f>Indata!I58*(1+Indata!I$61)*(H24)</f>
        <v>6.0121784242986913E-2</v>
      </c>
      <c r="I42" s="250">
        <f>Indata!J58*(1+Indata!J$61)*(I24)</f>
        <v>0.2382242437191853</v>
      </c>
      <c r="K42" s="614"/>
      <c r="L42" s="118" t="s">
        <v>136</v>
      </c>
      <c r="M42" s="118" t="s">
        <v>36</v>
      </c>
      <c r="N42" s="249">
        <f t="shared" ref="N42:N44" si="101">D42</f>
        <v>6.0121784242986913E-2</v>
      </c>
      <c r="O42" s="250">
        <f t="shared" si="96"/>
        <v>0.2382242437191853</v>
      </c>
      <c r="P42" s="249">
        <f t="shared" si="97"/>
        <v>6.0121784242986913E-2</v>
      </c>
      <c r="Q42" s="250">
        <f t="shared" si="98"/>
        <v>0.2382242437191853</v>
      </c>
      <c r="R42" s="251">
        <f t="shared" si="99"/>
        <v>6.0121784242986913E-2</v>
      </c>
      <c r="S42" s="250">
        <f t="shared" si="100"/>
        <v>0.2382242437191853</v>
      </c>
      <c r="U42" s="614"/>
      <c r="V42" s="118" t="s">
        <v>136</v>
      </c>
      <c r="W42" s="118" t="s">
        <v>36</v>
      </c>
      <c r="X42" s="248">
        <f t="shared" si="86"/>
        <v>6.0121784242986913E-2</v>
      </c>
      <c r="Y42" s="248">
        <f t="shared" si="84"/>
        <v>0.23822424371918532</v>
      </c>
      <c r="Z42" s="248">
        <f t="shared" si="84"/>
        <v>6.0121784242986913E-2</v>
      </c>
      <c r="AA42" s="248">
        <f t="shared" si="84"/>
        <v>0.23822424371918532</v>
      </c>
      <c r="AB42" s="248">
        <f t="shared" si="84"/>
        <v>6.0121784242986913E-2</v>
      </c>
      <c r="AC42" s="248">
        <f t="shared" si="84"/>
        <v>0.23822424371918532</v>
      </c>
      <c r="AE42" s="614"/>
      <c r="AF42" s="118" t="s">
        <v>136</v>
      </c>
      <c r="AG42" s="118" t="s">
        <v>36</v>
      </c>
      <c r="AH42" s="249">
        <f>X42*(1-Indata!E$22)</f>
        <v>6.0121784242986913E-2</v>
      </c>
      <c r="AI42" s="250">
        <f>Y42*(1-Indata!F$22)</f>
        <v>0.23822424371918532</v>
      </c>
      <c r="AJ42" s="249">
        <f>Z42*(1-Indata!G$22)</f>
        <v>6.0121784242986913E-2</v>
      </c>
      <c r="AK42" s="250">
        <f>AA42*(1-Indata!H$22)</f>
        <v>0.23822424371918532</v>
      </c>
      <c r="AL42" s="251">
        <f>AB42*(1-Indata!I$22)</f>
        <v>6.0121784242986913E-2</v>
      </c>
      <c r="AM42" s="250">
        <f>AC42*(1-Indata!J$22)</f>
        <v>0.23822424371918532</v>
      </c>
    </row>
    <row r="43" spans="1:39" ht="15" thickBot="1" x14ac:dyDescent="0.35">
      <c r="A43" s="614"/>
      <c r="B43" s="118" t="s">
        <v>137</v>
      </c>
      <c r="C43" s="118" t="s">
        <v>36</v>
      </c>
      <c r="D43" s="249">
        <f>Indata!E59*(1+Indata!E$61)*(D25)</f>
        <v>0.19682018403049412</v>
      </c>
      <c r="E43" s="250">
        <f>Indata!F59*(1+Indata!F$61)*(E25)</f>
        <v>1.8800503103708401</v>
      </c>
      <c r="F43" s="249">
        <f>Indata!G59*(1+Indata!G$61)*(F25)</f>
        <v>0.19682018403049412</v>
      </c>
      <c r="G43" s="250">
        <f>Indata!H59*(1+Indata!H$61)*(G25)</f>
        <v>1.8800503103708401</v>
      </c>
      <c r="H43" s="251">
        <f>Indata!I59*(1+Indata!I$61)*(H25)</f>
        <v>0.19682018403049412</v>
      </c>
      <c r="I43" s="250">
        <f>Indata!J59*(1+Indata!J$61)*(I25)</f>
        <v>1.8800503103708401</v>
      </c>
      <c r="K43" s="614"/>
      <c r="L43" s="118" t="s">
        <v>137</v>
      </c>
      <c r="M43" s="118" t="s">
        <v>36</v>
      </c>
      <c r="N43" s="249">
        <f t="shared" si="101"/>
        <v>0.19682018403049412</v>
      </c>
      <c r="O43" s="250">
        <f t="shared" si="96"/>
        <v>1.8800503103708401</v>
      </c>
      <c r="P43" s="249">
        <f t="shared" si="97"/>
        <v>0.19682018403049412</v>
      </c>
      <c r="Q43" s="250">
        <f t="shared" si="98"/>
        <v>1.8800503103708401</v>
      </c>
      <c r="R43" s="251">
        <f t="shared" si="99"/>
        <v>0.19682018403049412</v>
      </c>
      <c r="S43" s="250">
        <f t="shared" si="100"/>
        <v>1.8800503103708401</v>
      </c>
      <c r="U43" s="614"/>
      <c r="V43" s="118" t="s">
        <v>137</v>
      </c>
      <c r="W43" s="118" t="s">
        <v>36</v>
      </c>
      <c r="X43" s="248">
        <f t="shared" si="86"/>
        <v>0.19682018403049412</v>
      </c>
      <c r="Y43" s="248">
        <f t="shared" si="84"/>
        <v>1.8800503103708404</v>
      </c>
      <c r="Z43" s="248">
        <f t="shared" si="84"/>
        <v>0.19682018403049412</v>
      </c>
      <c r="AA43" s="248">
        <f t="shared" si="84"/>
        <v>1.8800503103708404</v>
      </c>
      <c r="AB43" s="248">
        <f t="shared" si="84"/>
        <v>0.19682018403049412</v>
      </c>
      <c r="AC43" s="248">
        <f t="shared" si="84"/>
        <v>1.8800503103708404</v>
      </c>
      <c r="AE43" s="614"/>
      <c r="AF43" s="118" t="s">
        <v>137</v>
      </c>
      <c r="AG43" s="118" t="s">
        <v>36</v>
      </c>
      <c r="AH43" s="249">
        <f>X43*(1-Indata!E$22)</f>
        <v>0.19682018403049412</v>
      </c>
      <c r="AI43" s="250">
        <f>Y43*(1-Indata!F$22)</f>
        <v>1.8800503103708404</v>
      </c>
      <c r="AJ43" s="249">
        <f>Z43*(1-Indata!G$22)</f>
        <v>0.19682018403049412</v>
      </c>
      <c r="AK43" s="250">
        <f>AA43*(1-Indata!H$22)</f>
        <v>1.8800503103708404</v>
      </c>
      <c r="AL43" s="251">
        <f>AB43*(1-Indata!I$22)</f>
        <v>0.19682018403049412</v>
      </c>
      <c r="AM43" s="250">
        <f>AC43*(1-Indata!J$22)</f>
        <v>1.8800503103708404</v>
      </c>
    </row>
    <row r="44" spans="1:39" ht="15" thickBot="1" x14ac:dyDescent="0.35">
      <c r="A44" s="614"/>
      <c r="B44" s="118" t="s">
        <v>138</v>
      </c>
      <c r="C44" s="118" t="s">
        <v>36</v>
      </c>
      <c r="D44" s="249">
        <f>Indata!E60*(1+Indata!E$61)*(D26)</f>
        <v>0.35477319739661045</v>
      </c>
      <c r="E44" s="250">
        <f>Indata!F60*(1+Indata!F$61)*(E26)</f>
        <v>3.305161704557376</v>
      </c>
      <c r="F44" s="249">
        <f>Indata!G60*(1+Indata!G$61)*(F26)</f>
        <v>0.35477319739661045</v>
      </c>
      <c r="G44" s="250">
        <f>Indata!H60*(1+Indata!H$61)*(G26)</f>
        <v>3.305161704557376</v>
      </c>
      <c r="H44" s="251">
        <f>Indata!I60*(1+Indata!I$61)*(H26)</f>
        <v>0.35477319739661045</v>
      </c>
      <c r="I44" s="250">
        <f>Indata!J60*(1+Indata!J$61)*(I26)</f>
        <v>3.305161704557376</v>
      </c>
      <c r="K44" s="614"/>
      <c r="L44" s="118" t="s">
        <v>138</v>
      </c>
      <c r="M44" s="118" t="s">
        <v>36</v>
      </c>
      <c r="N44" s="249">
        <f t="shared" si="101"/>
        <v>0.35477319739661045</v>
      </c>
      <c r="O44" s="250">
        <f t="shared" si="96"/>
        <v>3.305161704557376</v>
      </c>
      <c r="P44" s="249">
        <f t="shared" si="97"/>
        <v>0.35477319739661045</v>
      </c>
      <c r="Q44" s="250">
        <f t="shared" si="98"/>
        <v>3.305161704557376</v>
      </c>
      <c r="R44" s="251">
        <f t="shared" si="99"/>
        <v>0.35477319739661045</v>
      </c>
      <c r="S44" s="250">
        <f t="shared" si="100"/>
        <v>3.305161704557376</v>
      </c>
      <c r="U44" s="614"/>
      <c r="V44" s="118" t="s">
        <v>138</v>
      </c>
      <c r="W44" s="118" t="s">
        <v>36</v>
      </c>
      <c r="X44" s="248">
        <f t="shared" si="86"/>
        <v>0.35477319739661045</v>
      </c>
      <c r="Y44" s="248">
        <f t="shared" si="84"/>
        <v>3.305161704557376</v>
      </c>
      <c r="Z44" s="248">
        <f t="shared" si="84"/>
        <v>0.35477319739661045</v>
      </c>
      <c r="AA44" s="248">
        <f t="shared" si="84"/>
        <v>3.305161704557376</v>
      </c>
      <c r="AB44" s="248">
        <f t="shared" si="84"/>
        <v>0.35477319739661045</v>
      </c>
      <c r="AC44" s="248">
        <f t="shared" si="84"/>
        <v>3.305161704557376</v>
      </c>
      <c r="AE44" s="614"/>
      <c r="AF44" s="118" t="s">
        <v>138</v>
      </c>
      <c r="AG44" s="118" t="s">
        <v>36</v>
      </c>
      <c r="AH44" s="249">
        <f>X44*(1-Indata!E$22)</f>
        <v>0.35477319739661045</v>
      </c>
      <c r="AI44" s="250">
        <f>Y44*(1-Indata!F$22)</f>
        <v>3.305161704557376</v>
      </c>
      <c r="AJ44" s="249">
        <f>Z44*(1-Indata!G$22)</f>
        <v>0.35477319739661045</v>
      </c>
      <c r="AK44" s="250">
        <f>AA44*(1-Indata!H$22)</f>
        <v>3.305161704557376</v>
      </c>
      <c r="AL44" s="251">
        <f>AB44*(1-Indata!I$22)</f>
        <v>0.35477319739661045</v>
      </c>
      <c r="AM44" s="250">
        <f>AC44*(1-Indata!J$22)</f>
        <v>3.305161704557376</v>
      </c>
    </row>
    <row r="45" spans="1:39" ht="15" thickBot="1" x14ac:dyDescent="0.35">
      <c r="A45" s="614"/>
      <c r="B45" s="162" t="s">
        <v>157</v>
      </c>
      <c r="C45" s="162" t="s">
        <v>36</v>
      </c>
      <c r="D45" s="245">
        <f>SUM(D41:D44)</f>
        <v>0.66695327552051986</v>
      </c>
      <c r="E45" s="246">
        <f t="shared" ref="E45:I45" si="102">SUM(E41:E44)</f>
        <v>5.6423096189324564</v>
      </c>
      <c r="F45" s="245">
        <f t="shared" si="102"/>
        <v>0.66695327552051986</v>
      </c>
      <c r="G45" s="246">
        <f t="shared" si="102"/>
        <v>5.6423096189324564</v>
      </c>
      <c r="H45" s="247">
        <f t="shared" si="102"/>
        <v>0.66695327552051986</v>
      </c>
      <c r="I45" s="246">
        <f t="shared" si="102"/>
        <v>5.6423096189324564</v>
      </c>
      <c r="K45" s="614"/>
      <c r="L45" s="162" t="s">
        <v>157</v>
      </c>
      <c r="M45" s="162" t="s">
        <v>36</v>
      </c>
      <c r="N45" s="245">
        <f>SUM(N41:N44)</f>
        <v>0.66695327552051986</v>
      </c>
      <c r="O45" s="246">
        <f t="shared" ref="O45" si="103">SUM(O41:O44)</f>
        <v>5.6423096189324564</v>
      </c>
      <c r="P45" s="245">
        <f t="shared" ref="P45" si="104">SUM(P41:P44)</f>
        <v>0.66695327552051986</v>
      </c>
      <c r="Q45" s="246">
        <f t="shared" ref="Q45" si="105">SUM(Q41:Q44)</f>
        <v>5.6423096189324564</v>
      </c>
      <c r="R45" s="247">
        <f t="shared" ref="R45" si="106">SUM(R41:R44)</f>
        <v>0.66695327552051986</v>
      </c>
      <c r="S45" s="246">
        <f t="shared" ref="S45" si="107">SUM(S41:S44)</f>
        <v>5.6423096189324564</v>
      </c>
      <c r="U45" s="614"/>
      <c r="V45" s="162" t="s">
        <v>157</v>
      </c>
      <c r="W45" s="162" t="s">
        <v>36</v>
      </c>
      <c r="X45" s="248">
        <f t="shared" si="86"/>
        <v>0.66695327552051986</v>
      </c>
      <c r="Y45" s="248">
        <f t="shared" si="84"/>
        <v>5.6423096189324564</v>
      </c>
      <c r="Z45" s="248">
        <f t="shared" si="84"/>
        <v>0.66695327552051986</v>
      </c>
      <c r="AA45" s="248">
        <f t="shared" si="84"/>
        <v>5.6423096189324564</v>
      </c>
      <c r="AB45" s="248">
        <f t="shared" si="84"/>
        <v>0.66695327552051986</v>
      </c>
      <c r="AC45" s="248">
        <f t="shared" si="84"/>
        <v>5.6423096189324564</v>
      </c>
      <c r="AE45" s="614"/>
      <c r="AF45" s="162" t="s">
        <v>157</v>
      </c>
      <c r="AG45" s="162" t="s">
        <v>36</v>
      </c>
      <c r="AH45" s="245">
        <f>SUM(AH41:AH44)</f>
        <v>0.66695327552051986</v>
      </c>
      <c r="AI45" s="246">
        <f>SUM(AI41:AI44)</f>
        <v>5.6423096189324564</v>
      </c>
      <c r="AJ45" s="245">
        <f t="shared" ref="AJ45" si="108">SUM(AJ41:AJ44)</f>
        <v>0.66695327552051986</v>
      </c>
      <c r="AK45" s="246">
        <f t="shared" ref="AK45" si="109">SUM(AK41:AK44)</f>
        <v>5.6423096189324564</v>
      </c>
      <c r="AL45" s="247">
        <f t="shared" ref="AL45" si="110">SUM(AL41:AL44)</f>
        <v>0.66695327552051986</v>
      </c>
      <c r="AM45" s="246">
        <f t="shared" ref="AM45" si="111">SUM(AM41:AM44)</f>
        <v>5.6423096189324564</v>
      </c>
    </row>
    <row r="46" spans="1:39" ht="15" thickBot="1" x14ac:dyDescent="0.35">
      <c r="A46" s="614"/>
      <c r="B46" s="118" t="s">
        <v>158</v>
      </c>
      <c r="C46" s="118" t="s">
        <v>36</v>
      </c>
      <c r="D46" s="249">
        <f>D36+D41</f>
        <v>0.22095243940171372</v>
      </c>
      <c r="E46" s="250">
        <f t="shared" ref="E46:I46" si="112">E36+E41</f>
        <v>0.26056352414887451</v>
      </c>
      <c r="F46" s="249">
        <f t="shared" si="112"/>
        <v>0.22095243940171372</v>
      </c>
      <c r="G46" s="250">
        <f t="shared" si="112"/>
        <v>0.26056352414887451</v>
      </c>
      <c r="H46" s="251">
        <f t="shared" si="112"/>
        <v>0.22095243940171372</v>
      </c>
      <c r="I46" s="250">
        <f t="shared" si="112"/>
        <v>0.26056352414887451</v>
      </c>
      <c r="K46" s="614"/>
      <c r="L46" s="118" t="s">
        <v>158</v>
      </c>
      <c r="M46" s="118" t="s">
        <v>36</v>
      </c>
      <c r="N46" s="249">
        <f>N36+N41</f>
        <v>0.22095243940171372</v>
      </c>
      <c r="O46" s="250">
        <f t="shared" ref="O46:S46" si="113">O36+O41</f>
        <v>0.26056352414887451</v>
      </c>
      <c r="P46" s="249">
        <f t="shared" si="113"/>
        <v>0.22095243940171372</v>
      </c>
      <c r="Q46" s="250">
        <f t="shared" si="113"/>
        <v>0.26056352414887451</v>
      </c>
      <c r="R46" s="251">
        <f t="shared" si="113"/>
        <v>0.22095243940171372</v>
      </c>
      <c r="S46" s="250">
        <f t="shared" si="113"/>
        <v>0.26056352414887451</v>
      </c>
      <c r="U46" s="614"/>
      <c r="V46" s="118" t="s">
        <v>158</v>
      </c>
      <c r="W46" s="118" t="s">
        <v>36</v>
      </c>
      <c r="X46" s="248">
        <f t="shared" si="86"/>
        <v>0.22095243940171372</v>
      </c>
      <c r="Y46" s="248">
        <f t="shared" si="84"/>
        <v>0.26056352414887451</v>
      </c>
      <c r="Z46" s="248">
        <f t="shared" si="84"/>
        <v>0.22095243940171372</v>
      </c>
      <c r="AA46" s="248">
        <f t="shared" si="84"/>
        <v>0.26056352414887451</v>
      </c>
      <c r="AB46" s="248">
        <f t="shared" si="84"/>
        <v>0.22095243940171372</v>
      </c>
      <c r="AC46" s="248">
        <f t="shared" si="84"/>
        <v>0.26056352414887451</v>
      </c>
      <c r="AE46" s="614"/>
      <c r="AF46" s="118" t="s">
        <v>158</v>
      </c>
      <c r="AG46" s="118" t="s">
        <v>36</v>
      </c>
      <c r="AH46" s="249">
        <f>AH36+AH41</f>
        <v>0.22095243940171372</v>
      </c>
      <c r="AI46" s="250">
        <f t="shared" ref="AI46:AM46" si="114">AI36+AI41</f>
        <v>0.26056352414887451</v>
      </c>
      <c r="AJ46" s="249">
        <f t="shared" si="114"/>
        <v>0.22095243940171372</v>
      </c>
      <c r="AK46" s="250">
        <f t="shared" si="114"/>
        <v>0.26056352414887451</v>
      </c>
      <c r="AL46" s="251">
        <f t="shared" si="114"/>
        <v>0.22095243940171372</v>
      </c>
      <c r="AM46" s="250">
        <f t="shared" si="114"/>
        <v>0.26056352414887451</v>
      </c>
    </row>
    <row r="47" spans="1:39" ht="15" thickBot="1" x14ac:dyDescent="0.35">
      <c r="A47" s="614"/>
      <c r="B47" s="118" t="s">
        <v>159</v>
      </c>
      <c r="C47" s="118" t="s">
        <v>36</v>
      </c>
      <c r="D47" s="223">
        <f t="shared" ref="D47:I47" si="115">D37+D42</f>
        <v>0.24048713697194765</v>
      </c>
      <c r="E47" s="224">
        <f t="shared" si="115"/>
        <v>0.28360029014188726</v>
      </c>
      <c r="F47" s="223">
        <f t="shared" si="115"/>
        <v>0.24048713697194765</v>
      </c>
      <c r="G47" s="224">
        <f t="shared" si="115"/>
        <v>0.28360029014188726</v>
      </c>
      <c r="H47" s="225">
        <f t="shared" si="115"/>
        <v>0.24048713697194765</v>
      </c>
      <c r="I47" s="224">
        <f t="shared" si="115"/>
        <v>0.28360029014188726</v>
      </c>
      <c r="K47" s="614"/>
      <c r="L47" s="118" t="s">
        <v>159</v>
      </c>
      <c r="M47" s="118" t="s">
        <v>36</v>
      </c>
      <c r="N47" s="223">
        <f t="shared" ref="N47:S47" si="116">N37+N42</f>
        <v>0.24048713697194765</v>
      </c>
      <c r="O47" s="224">
        <f t="shared" si="116"/>
        <v>0.28360029014188726</v>
      </c>
      <c r="P47" s="223">
        <f t="shared" si="116"/>
        <v>0.24048713697194765</v>
      </c>
      <c r="Q47" s="224">
        <f t="shared" si="116"/>
        <v>0.28360029014188726</v>
      </c>
      <c r="R47" s="225">
        <f t="shared" si="116"/>
        <v>0.24048713697194765</v>
      </c>
      <c r="S47" s="224">
        <f t="shared" si="116"/>
        <v>0.28360029014188726</v>
      </c>
      <c r="U47" s="614"/>
      <c r="V47" s="118" t="s">
        <v>159</v>
      </c>
      <c r="W47" s="118" t="s">
        <v>36</v>
      </c>
      <c r="X47" s="248">
        <f t="shared" si="86"/>
        <v>0.24048713697194765</v>
      </c>
      <c r="Y47" s="248">
        <f t="shared" si="84"/>
        <v>0.28360029014188726</v>
      </c>
      <c r="Z47" s="248">
        <f t="shared" si="84"/>
        <v>0.24048713697194765</v>
      </c>
      <c r="AA47" s="248">
        <f t="shared" si="84"/>
        <v>0.28360029014188726</v>
      </c>
      <c r="AB47" s="248">
        <f t="shared" si="84"/>
        <v>0.24048713697194765</v>
      </c>
      <c r="AC47" s="248">
        <f t="shared" si="84"/>
        <v>0.28360029014188726</v>
      </c>
      <c r="AE47" s="614"/>
      <c r="AF47" s="118" t="s">
        <v>159</v>
      </c>
      <c r="AG47" s="118" t="s">
        <v>36</v>
      </c>
      <c r="AH47" s="223">
        <f t="shared" ref="AH47:AM47" si="117">AH37+AH42</f>
        <v>0.24048713697194765</v>
      </c>
      <c r="AI47" s="224">
        <f t="shared" si="117"/>
        <v>0.28360029014188731</v>
      </c>
      <c r="AJ47" s="223">
        <f t="shared" si="117"/>
        <v>0.24048713697194765</v>
      </c>
      <c r="AK47" s="224">
        <f t="shared" si="117"/>
        <v>0.28360029014188731</v>
      </c>
      <c r="AL47" s="225">
        <f t="shared" si="117"/>
        <v>0.24048713697194765</v>
      </c>
      <c r="AM47" s="224">
        <f t="shared" si="117"/>
        <v>0.28360029014188731</v>
      </c>
    </row>
    <row r="48" spans="1:39" ht="15" thickBot="1" x14ac:dyDescent="0.35">
      <c r="A48" s="614"/>
      <c r="B48" s="118" t="s">
        <v>160</v>
      </c>
      <c r="C48" s="118" t="s">
        <v>36</v>
      </c>
      <c r="D48" s="223">
        <f t="shared" ref="D48:I48" si="118">D38+D43</f>
        <v>1.9682018403049411</v>
      </c>
      <c r="E48" s="224">
        <f t="shared" si="118"/>
        <v>2.3210497658899261</v>
      </c>
      <c r="F48" s="223">
        <f t="shared" si="118"/>
        <v>1.9682018403049411</v>
      </c>
      <c r="G48" s="224">
        <f t="shared" si="118"/>
        <v>2.3210497658899261</v>
      </c>
      <c r="H48" s="225">
        <f t="shared" si="118"/>
        <v>1.9682018403049411</v>
      </c>
      <c r="I48" s="224">
        <f t="shared" si="118"/>
        <v>2.3210497658899261</v>
      </c>
      <c r="K48" s="614"/>
      <c r="L48" s="118" t="s">
        <v>160</v>
      </c>
      <c r="M48" s="118" t="s">
        <v>36</v>
      </c>
      <c r="N48" s="223">
        <f t="shared" ref="N48:S48" si="119">N38+N43</f>
        <v>1.9682018403049411</v>
      </c>
      <c r="O48" s="224">
        <f t="shared" si="119"/>
        <v>2.3210497658899261</v>
      </c>
      <c r="P48" s="223">
        <f t="shared" si="119"/>
        <v>1.9682018403049411</v>
      </c>
      <c r="Q48" s="224">
        <f t="shared" si="119"/>
        <v>2.3210497658899261</v>
      </c>
      <c r="R48" s="225">
        <f t="shared" si="119"/>
        <v>1.9682018403049411</v>
      </c>
      <c r="S48" s="224">
        <f t="shared" si="119"/>
        <v>2.3210497658899261</v>
      </c>
      <c r="U48" s="614"/>
      <c r="V48" s="118" t="s">
        <v>160</v>
      </c>
      <c r="W48" s="118" t="s">
        <v>36</v>
      </c>
      <c r="X48" s="248">
        <f t="shared" si="86"/>
        <v>1.9682018403049411</v>
      </c>
      <c r="Y48" s="248">
        <f t="shared" si="84"/>
        <v>2.3210497658899261</v>
      </c>
      <c r="Z48" s="248">
        <f t="shared" si="84"/>
        <v>1.9682018403049411</v>
      </c>
      <c r="AA48" s="248">
        <f t="shared" si="84"/>
        <v>2.3210497658899261</v>
      </c>
      <c r="AB48" s="248">
        <f t="shared" si="84"/>
        <v>1.9682018403049411</v>
      </c>
      <c r="AC48" s="248">
        <f t="shared" si="84"/>
        <v>2.3210497658899261</v>
      </c>
      <c r="AE48" s="614"/>
      <c r="AF48" s="118" t="s">
        <v>160</v>
      </c>
      <c r="AG48" s="118" t="s">
        <v>36</v>
      </c>
      <c r="AH48" s="223">
        <f t="shared" ref="AH48:AM48" si="120">AH38+AH43</f>
        <v>1.9682018403049411</v>
      </c>
      <c r="AI48" s="224">
        <f t="shared" si="120"/>
        <v>2.3210497658899261</v>
      </c>
      <c r="AJ48" s="223">
        <f t="shared" si="120"/>
        <v>1.9682018403049411</v>
      </c>
      <c r="AK48" s="224">
        <f t="shared" si="120"/>
        <v>2.3210497658899261</v>
      </c>
      <c r="AL48" s="225">
        <f t="shared" si="120"/>
        <v>1.9682018403049411</v>
      </c>
      <c r="AM48" s="224">
        <f t="shared" si="120"/>
        <v>2.3210497658899261</v>
      </c>
    </row>
    <row r="49" spans="1:39" x14ac:dyDescent="0.3">
      <c r="A49" s="614"/>
      <c r="B49" s="118" t="s">
        <v>161</v>
      </c>
      <c r="C49" s="118" t="s">
        <v>36</v>
      </c>
      <c r="D49" s="249">
        <f t="shared" ref="D49:I49" si="121">D39+D44</f>
        <v>3.5477319739661044</v>
      </c>
      <c r="E49" s="250">
        <f t="shared" si="121"/>
        <v>4.1837489931106022</v>
      </c>
      <c r="F49" s="249">
        <f t="shared" si="121"/>
        <v>3.5477319739661044</v>
      </c>
      <c r="G49" s="250">
        <f t="shared" si="121"/>
        <v>4.1837489931106022</v>
      </c>
      <c r="H49" s="251">
        <f t="shared" si="121"/>
        <v>3.5477319739661044</v>
      </c>
      <c r="I49" s="250">
        <f t="shared" si="121"/>
        <v>4.1837489931106022</v>
      </c>
      <c r="K49" s="614"/>
      <c r="L49" s="118" t="s">
        <v>161</v>
      </c>
      <c r="M49" s="118" t="s">
        <v>36</v>
      </c>
      <c r="N49" s="249">
        <f t="shared" ref="N49:S49" si="122">N39+N44</f>
        <v>3.5477319739661044</v>
      </c>
      <c r="O49" s="250">
        <f t="shared" si="122"/>
        <v>4.1837489931106022</v>
      </c>
      <c r="P49" s="249">
        <f t="shared" si="122"/>
        <v>3.5477319739661044</v>
      </c>
      <c r="Q49" s="250">
        <f t="shared" si="122"/>
        <v>4.1837489931106022</v>
      </c>
      <c r="R49" s="251">
        <f t="shared" si="122"/>
        <v>3.5477319739661044</v>
      </c>
      <c r="S49" s="250">
        <f t="shared" si="122"/>
        <v>4.1837489931106022</v>
      </c>
      <c r="U49" s="614"/>
      <c r="V49" s="118" t="s">
        <v>161</v>
      </c>
      <c r="W49" s="118" t="s">
        <v>36</v>
      </c>
      <c r="X49" s="248">
        <f t="shared" si="86"/>
        <v>3.5477319739661044</v>
      </c>
      <c r="Y49" s="248">
        <f t="shared" si="84"/>
        <v>4.1837489931106022</v>
      </c>
      <c r="Z49" s="248">
        <f t="shared" si="84"/>
        <v>3.5477319739661044</v>
      </c>
      <c r="AA49" s="248">
        <f t="shared" si="84"/>
        <v>4.1837489931106022</v>
      </c>
      <c r="AB49" s="248">
        <f t="shared" si="84"/>
        <v>3.5477319739661044</v>
      </c>
      <c r="AC49" s="248">
        <f t="shared" si="84"/>
        <v>4.1837489931106022</v>
      </c>
      <c r="AE49" s="614"/>
      <c r="AF49" s="118" t="s">
        <v>161</v>
      </c>
      <c r="AG49" s="118" t="s">
        <v>36</v>
      </c>
      <c r="AH49" s="249">
        <f t="shared" ref="AH49:AM49" si="123">AH39+AH44</f>
        <v>3.5477319739661044</v>
      </c>
      <c r="AI49" s="250">
        <f t="shared" si="123"/>
        <v>4.1837489931106022</v>
      </c>
      <c r="AJ49" s="249">
        <f t="shared" si="123"/>
        <v>3.5477319739661044</v>
      </c>
      <c r="AK49" s="250">
        <f t="shared" si="123"/>
        <v>4.1837489931106022</v>
      </c>
      <c r="AL49" s="251">
        <f t="shared" si="123"/>
        <v>3.5477319739661044</v>
      </c>
      <c r="AM49" s="250">
        <f t="shared" si="123"/>
        <v>4.1837489931106022</v>
      </c>
    </row>
    <row r="50" spans="1:39" ht="15" thickBot="1" x14ac:dyDescent="0.35">
      <c r="A50" s="615"/>
      <c r="B50" s="164" t="s">
        <v>162</v>
      </c>
      <c r="C50" s="164" t="s">
        <v>36</v>
      </c>
      <c r="D50" s="183">
        <f>SUM(D46:D49)</f>
        <v>5.9773733906447069</v>
      </c>
      <c r="E50" s="185">
        <f t="shared" ref="E50:I50" si="124">SUM(E46:E49)</f>
        <v>7.0489625732912895</v>
      </c>
      <c r="F50" s="183">
        <f t="shared" si="124"/>
        <v>5.9773733906447069</v>
      </c>
      <c r="G50" s="185">
        <f t="shared" si="124"/>
        <v>7.0489625732912895</v>
      </c>
      <c r="H50" s="186">
        <f t="shared" si="124"/>
        <v>5.9773733906447069</v>
      </c>
      <c r="I50" s="185">
        <f t="shared" si="124"/>
        <v>7.0489625732912895</v>
      </c>
      <c r="K50" s="615"/>
      <c r="L50" s="164" t="s">
        <v>162</v>
      </c>
      <c r="M50" s="164" t="s">
        <v>36</v>
      </c>
      <c r="N50" s="183">
        <f>SUM(N46:N49)</f>
        <v>5.9773733906447069</v>
      </c>
      <c r="O50" s="185">
        <f t="shared" ref="O50" si="125">SUM(O46:O49)</f>
        <v>7.0489625732912895</v>
      </c>
      <c r="P50" s="183">
        <f t="shared" ref="P50" si="126">SUM(P46:P49)</f>
        <v>5.9773733906447069</v>
      </c>
      <c r="Q50" s="185">
        <f t="shared" ref="Q50" si="127">SUM(Q46:Q49)</f>
        <v>7.0489625732912895</v>
      </c>
      <c r="R50" s="186">
        <f t="shared" ref="R50" si="128">SUM(R46:R49)</f>
        <v>5.9773733906447069</v>
      </c>
      <c r="S50" s="185">
        <f t="shared" ref="S50" si="129">SUM(S46:S49)</f>
        <v>7.0489625732912895</v>
      </c>
      <c r="U50" s="615"/>
      <c r="V50" s="164" t="s">
        <v>162</v>
      </c>
      <c r="W50" s="164" t="s">
        <v>36</v>
      </c>
      <c r="X50" s="183">
        <f>N50*(1+N$68*'Indata - Effektsamband-Faktorer'!$D$9)</f>
        <v>5.9773733906447069</v>
      </c>
      <c r="Y50" s="183">
        <f>O50*(1+O$68*'Indata - Effektsamband-Faktorer'!$D$9)</f>
        <v>7.0489625732912895</v>
      </c>
      <c r="Z50" s="183">
        <f>P50*(1+P$68*'Indata - Effektsamband-Faktorer'!$D$9)</f>
        <v>5.9773733906447069</v>
      </c>
      <c r="AA50" s="183">
        <f>Q50*(1+Q$68*'Indata - Effektsamband-Faktorer'!$D$9)</f>
        <v>7.0489625732912895</v>
      </c>
      <c r="AB50" s="183">
        <f>R50*(1+R$68*'Indata - Effektsamband-Faktorer'!$D$9)</f>
        <v>5.9773733906447069</v>
      </c>
      <c r="AC50" s="183">
        <f>S50*(1+S$68*'Indata - Effektsamband-Faktorer'!$D$9)</f>
        <v>7.0489625732912895</v>
      </c>
      <c r="AE50" s="615"/>
      <c r="AF50" s="164" t="s">
        <v>162</v>
      </c>
      <c r="AG50" s="164" t="s">
        <v>36</v>
      </c>
      <c r="AH50" s="183">
        <f>SUM(AH46:AH49)</f>
        <v>5.9773733906447069</v>
      </c>
      <c r="AI50" s="185">
        <f t="shared" ref="AI50" si="130">SUM(AI46:AI49)</f>
        <v>7.0489625732912904</v>
      </c>
      <c r="AJ50" s="183">
        <f t="shared" ref="AJ50" si="131">SUM(AJ46:AJ49)</f>
        <v>5.9773733906447069</v>
      </c>
      <c r="AK50" s="185">
        <f t="shared" ref="AK50" si="132">SUM(AK46:AK49)</f>
        <v>7.0489625732912904</v>
      </c>
      <c r="AL50" s="186">
        <f t="shared" ref="AL50" si="133">SUM(AL46:AL49)</f>
        <v>5.9773733906447069</v>
      </c>
      <c r="AM50" s="185">
        <f t="shared" ref="AM50" si="134">SUM(AM46:AM49)</f>
        <v>7.0489625732912904</v>
      </c>
    </row>
    <row r="51" spans="1:39" x14ac:dyDescent="0.3">
      <c r="Y51" s="279"/>
      <c r="AE51" s="28"/>
      <c r="AF51" s="28"/>
      <c r="AG51" s="28"/>
      <c r="AH51" s="28"/>
      <c r="AI51" s="28"/>
      <c r="AJ51" s="28"/>
      <c r="AK51" s="28"/>
      <c r="AL51" s="28"/>
      <c r="AM51" s="28"/>
    </row>
    <row r="52" spans="1:39" ht="15" customHeight="1" thickBot="1" x14ac:dyDescent="0.35">
      <c r="A52" s="30" t="s">
        <v>79</v>
      </c>
      <c r="D52" s="62"/>
      <c r="E52" s="62"/>
      <c r="F52" s="62"/>
      <c r="G52" s="62"/>
      <c r="H52" s="62"/>
      <c r="I52" s="62"/>
      <c r="K52" s="30" t="s">
        <v>224</v>
      </c>
      <c r="N52" s="62"/>
      <c r="O52" s="62"/>
      <c r="P52" s="62"/>
      <c r="Q52" s="62"/>
      <c r="R52" s="62"/>
      <c r="S52" s="62"/>
      <c r="U52" s="30" t="s">
        <v>82</v>
      </c>
      <c r="X52" s="62"/>
      <c r="Y52" s="62"/>
      <c r="Z52" s="62"/>
      <c r="AA52" s="62"/>
      <c r="AB52" s="62"/>
      <c r="AC52" s="62"/>
      <c r="AE52" s="30" t="s">
        <v>151</v>
      </c>
      <c r="AF52" s="28"/>
      <c r="AG52" s="28"/>
      <c r="AH52" s="62"/>
      <c r="AI52" s="62"/>
      <c r="AJ52" s="62"/>
      <c r="AK52" s="62"/>
      <c r="AL52" s="62"/>
      <c r="AM52" s="62"/>
    </row>
    <row r="53" spans="1:39" ht="15" thickBot="1" x14ac:dyDescent="0.35">
      <c r="A53" s="613" t="s">
        <v>71</v>
      </c>
      <c r="B53" s="117" t="s">
        <v>130</v>
      </c>
      <c r="C53" s="117" t="s">
        <v>68</v>
      </c>
      <c r="D53" s="248">
        <f>D$6*D11+D29</f>
        <v>39.408344996750571</v>
      </c>
      <c r="E53" s="248">
        <f t="shared" ref="E53:I53" si="135">E$6*E11+E29</f>
        <v>36.204338707708885</v>
      </c>
      <c r="F53" s="248">
        <f t="shared" si="135"/>
        <v>39.408344996750571</v>
      </c>
      <c r="G53" s="248">
        <f t="shared" si="135"/>
        <v>36.204338707708885</v>
      </c>
      <c r="H53" s="248">
        <f t="shared" si="135"/>
        <v>39.408344996750571</v>
      </c>
      <c r="I53" s="248">
        <f t="shared" si="135"/>
        <v>36.204338707708885</v>
      </c>
      <c r="K53" s="613" t="s">
        <v>71</v>
      </c>
      <c r="L53" s="117" t="s">
        <v>130</v>
      </c>
      <c r="M53" s="117" t="s">
        <v>68</v>
      </c>
      <c r="N53" s="248">
        <f>N$6*N11+N29</f>
        <v>39.408344996750571</v>
      </c>
      <c r="O53" s="248">
        <f t="shared" ref="O53:S53" si="136">O$6*O11+O29</f>
        <v>36.204338707708885</v>
      </c>
      <c r="P53" s="248">
        <f t="shared" si="136"/>
        <v>39.408344996750571</v>
      </c>
      <c r="Q53" s="248">
        <f t="shared" si="136"/>
        <v>36.204338707708885</v>
      </c>
      <c r="R53" s="248">
        <f t="shared" si="136"/>
        <v>39.408344996750571</v>
      </c>
      <c r="S53" s="248">
        <f t="shared" si="136"/>
        <v>36.204338707708885</v>
      </c>
      <c r="U53" s="613" t="s">
        <v>71</v>
      </c>
      <c r="V53" s="117" t="s">
        <v>130</v>
      </c>
      <c r="W53" s="117" t="s">
        <v>68</v>
      </c>
      <c r="X53" s="248">
        <f>N53</f>
        <v>39.408344996750571</v>
      </c>
      <c r="Y53" s="221">
        <f t="shared" ref="Y53:Y56" si="137">O53</f>
        <v>36.204338707708885</v>
      </c>
      <c r="Z53" s="220">
        <f t="shared" ref="Z53:Z56" si="138">P53</f>
        <v>39.408344996750571</v>
      </c>
      <c r="AA53" s="221">
        <f t="shared" ref="AA53:AA56" si="139">Q53</f>
        <v>36.204338707708885</v>
      </c>
      <c r="AB53" s="222">
        <f t="shared" ref="AB53:AB56" si="140">R53</f>
        <v>39.408344996750571</v>
      </c>
      <c r="AC53" s="221">
        <f t="shared" ref="AC53:AC56" si="141">S53</f>
        <v>36.204338707708885</v>
      </c>
      <c r="AE53" s="613" t="s">
        <v>71</v>
      </c>
      <c r="AF53" s="117" t="s">
        <v>130</v>
      </c>
      <c r="AG53" s="117" t="s">
        <v>68</v>
      </c>
      <c r="AH53" s="248">
        <f>X53</f>
        <v>39.408344996750571</v>
      </c>
      <c r="AI53" s="221">
        <f t="shared" ref="AI53:AI56" si="142">Y53</f>
        <v>36.204338707708885</v>
      </c>
      <c r="AJ53" s="220">
        <f>Z53</f>
        <v>39.408344996750571</v>
      </c>
      <c r="AK53" s="221">
        <f t="shared" ref="AK53:AK56" si="143">AA53</f>
        <v>36.204338707708885</v>
      </c>
      <c r="AL53" s="222">
        <f t="shared" ref="AL53:AL56" si="144">AB53</f>
        <v>39.408344996750571</v>
      </c>
      <c r="AM53" s="221">
        <f t="shared" ref="AM53:AM56" si="145">AC53</f>
        <v>36.204338707708885</v>
      </c>
    </row>
    <row r="54" spans="1:39" ht="15" thickBot="1" x14ac:dyDescent="0.35">
      <c r="A54" s="614"/>
      <c r="B54" s="118" t="s">
        <v>131</v>
      </c>
      <c r="C54" s="118" t="s">
        <v>68</v>
      </c>
      <c r="D54" s="248">
        <f t="shared" ref="D54:I54" si="146">D$6*D12+D30</f>
        <v>49.43319202180183</v>
      </c>
      <c r="E54" s="248">
        <f t="shared" si="146"/>
        <v>45.410744705475373</v>
      </c>
      <c r="F54" s="248">
        <f t="shared" si="146"/>
        <v>49.43319202180183</v>
      </c>
      <c r="G54" s="248">
        <f t="shared" si="146"/>
        <v>45.410744705475373</v>
      </c>
      <c r="H54" s="248">
        <f t="shared" si="146"/>
        <v>49.43319202180183</v>
      </c>
      <c r="I54" s="248">
        <f t="shared" si="146"/>
        <v>45.410744705475373</v>
      </c>
      <c r="K54" s="614"/>
      <c r="L54" s="118" t="s">
        <v>131</v>
      </c>
      <c r="M54" s="118" t="s">
        <v>68</v>
      </c>
      <c r="N54" s="248">
        <f t="shared" ref="N54:S56" si="147">N$6*N12+N30</f>
        <v>49.43319202180183</v>
      </c>
      <c r="O54" s="248">
        <f t="shared" si="147"/>
        <v>45.410744705475373</v>
      </c>
      <c r="P54" s="248">
        <f t="shared" si="147"/>
        <v>49.43319202180183</v>
      </c>
      <c r="Q54" s="248">
        <f t="shared" si="147"/>
        <v>45.410744705475373</v>
      </c>
      <c r="R54" s="248">
        <f t="shared" si="147"/>
        <v>49.43319202180183</v>
      </c>
      <c r="S54" s="248">
        <f t="shared" si="147"/>
        <v>45.410744705475373</v>
      </c>
      <c r="U54" s="614"/>
      <c r="V54" s="118" t="s">
        <v>131</v>
      </c>
      <c r="W54" s="118" t="s">
        <v>68</v>
      </c>
      <c r="X54" s="223">
        <f>N54</f>
        <v>49.43319202180183</v>
      </c>
      <c r="Y54" s="224">
        <f t="shared" si="137"/>
        <v>45.410744705475373</v>
      </c>
      <c r="Z54" s="223">
        <f t="shared" si="138"/>
        <v>49.43319202180183</v>
      </c>
      <c r="AA54" s="224">
        <f t="shared" si="139"/>
        <v>45.410744705475373</v>
      </c>
      <c r="AB54" s="225">
        <f t="shared" si="140"/>
        <v>49.43319202180183</v>
      </c>
      <c r="AC54" s="224">
        <f t="shared" si="141"/>
        <v>45.410744705475373</v>
      </c>
      <c r="AE54" s="614"/>
      <c r="AF54" s="118" t="s">
        <v>131</v>
      </c>
      <c r="AG54" s="118" t="s">
        <v>68</v>
      </c>
      <c r="AH54" s="223">
        <f>X54</f>
        <v>49.43319202180183</v>
      </c>
      <c r="AI54" s="224">
        <f t="shared" si="142"/>
        <v>45.410744705475373</v>
      </c>
      <c r="AJ54" s="223">
        <f t="shared" ref="AJ54:AJ56" si="148">Z54</f>
        <v>49.43319202180183</v>
      </c>
      <c r="AK54" s="224">
        <f t="shared" si="143"/>
        <v>45.410744705475373</v>
      </c>
      <c r="AL54" s="225">
        <f t="shared" si="144"/>
        <v>49.43319202180183</v>
      </c>
      <c r="AM54" s="224">
        <f t="shared" si="145"/>
        <v>45.410744705475373</v>
      </c>
    </row>
    <row r="55" spans="1:39" ht="15" thickBot="1" x14ac:dyDescent="0.35">
      <c r="A55" s="614"/>
      <c r="B55" s="118" t="s">
        <v>132</v>
      </c>
      <c r="C55" s="118" t="s">
        <v>68</v>
      </c>
      <c r="D55" s="248">
        <f t="shared" ref="D55:I55" si="149">D$6*D13+D31</f>
        <v>64.45256204779831</v>
      </c>
      <c r="E55" s="248">
        <f t="shared" si="149"/>
        <v>60.43161612961061</v>
      </c>
      <c r="F55" s="248">
        <f t="shared" si="149"/>
        <v>64.45256204779831</v>
      </c>
      <c r="G55" s="248">
        <f t="shared" si="149"/>
        <v>60.43161612961061</v>
      </c>
      <c r="H55" s="248">
        <f t="shared" si="149"/>
        <v>64.45256204779831</v>
      </c>
      <c r="I55" s="248">
        <f t="shared" si="149"/>
        <v>60.43161612961061</v>
      </c>
      <c r="K55" s="614"/>
      <c r="L55" s="118" t="s">
        <v>132</v>
      </c>
      <c r="M55" s="118" t="s">
        <v>68</v>
      </c>
      <c r="N55" s="248">
        <f t="shared" si="147"/>
        <v>64.45256204779831</v>
      </c>
      <c r="O55" s="248">
        <f t="shared" si="147"/>
        <v>60.43161612961061</v>
      </c>
      <c r="P55" s="248">
        <f t="shared" si="147"/>
        <v>64.45256204779831</v>
      </c>
      <c r="Q55" s="248">
        <f t="shared" si="147"/>
        <v>60.43161612961061</v>
      </c>
      <c r="R55" s="248">
        <f t="shared" si="147"/>
        <v>64.45256204779831</v>
      </c>
      <c r="S55" s="248">
        <f t="shared" si="147"/>
        <v>60.43161612961061</v>
      </c>
      <c r="U55" s="614"/>
      <c r="V55" s="118" t="s">
        <v>132</v>
      </c>
      <c r="W55" s="118" t="s">
        <v>68</v>
      </c>
      <c r="X55" s="223">
        <f>N55</f>
        <v>64.45256204779831</v>
      </c>
      <c r="Y55" s="224">
        <f t="shared" si="137"/>
        <v>60.43161612961061</v>
      </c>
      <c r="Z55" s="223">
        <f t="shared" si="138"/>
        <v>64.45256204779831</v>
      </c>
      <c r="AA55" s="224">
        <f t="shared" si="139"/>
        <v>60.43161612961061</v>
      </c>
      <c r="AB55" s="225">
        <f t="shared" si="140"/>
        <v>64.45256204779831</v>
      </c>
      <c r="AC55" s="224">
        <f t="shared" si="141"/>
        <v>60.43161612961061</v>
      </c>
      <c r="AE55" s="614"/>
      <c r="AF55" s="118" t="s">
        <v>132</v>
      </c>
      <c r="AG55" s="118" t="s">
        <v>68</v>
      </c>
      <c r="AH55" s="223">
        <f>X55</f>
        <v>64.45256204779831</v>
      </c>
      <c r="AI55" s="224">
        <f t="shared" si="142"/>
        <v>60.43161612961061</v>
      </c>
      <c r="AJ55" s="223">
        <f t="shared" si="148"/>
        <v>64.45256204779831</v>
      </c>
      <c r="AK55" s="224">
        <f t="shared" si="143"/>
        <v>60.43161612961061</v>
      </c>
      <c r="AL55" s="225">
        <f t="shared" si="144"/>
        <v>64.45256204779831</v>
      </c>
      <c r="AM55" s="224">
        <f t="shared" si="145"/>
        <v>60.43161612961061</v>
      </c>
    </row>
    <row r="56" spans="1:39" x14ac:dyDescent="0.3">
      <c r="A56" s="614"/>
      <c r="B56" s="118" t="s">
        <v>133</v>
      </c>
      <c r="C56" s="118" t="s">
        <v>68</v>
      </c>
      <c r="D56" s="248">
        <f t="shared" ref="D56:I56" si="150">D$6*D14+D32</f>
        <v>89.556899051936767</v>
      </c>
      <c r="E56" s="248">
        <f t="shared" si="150"/>
        <v>83.946592336317835</v>
      </c>
      <c r="F56" s="248">
        <f t="shared" si="150"/>
        <v>89.556899051936767</v>
      </c>
      <c r="G56" s="248">
        <f t="shared" si="150"/>
        <v>83.946592336317835</v>
      </c>
      <c r="H56" s="248">
        <f t="shared" si="150"/>
        <v>89.556899051936767</v>
      </c>
      <c r="I56" s="248">
        <f t="shared" si="150"/>
        <v>83.946592336317835</v>
      </c>
      <c r="K56" s="614"/>
      <c r="L56" s="118" t="s">
        <v>133</v>
      </c>
      <c r="M56" s="118" t="s">
        <v>68</v>
      </c>
      <c r="N56" s="248">
        <f t="shared" si="147"/>
        <v>89.556899051936767</v>
      </c>
      <c r="O56" s="248">
        <f t="shared" si="147"/>
        <v>83.946592336317835</v>
      </c>
      <c r="P56" s="248">
        <f t="shared" si="147"/>
        <v>89.556899051936767</v>
      </c>
      <c r="Q56" s="248">
        <f t="shared" si="147"/>
        <v>83.946592336317835</v>
      </c>
      <c r="R56" s="248">
        <f t="shared" si="147"/>
        <v>89.556899051936767</v>
      </c>
      <c r="S56" s="248">
        <f t="shared" si="147"/>
        <v>83.946592336317835</v>
      </c>
      <c r="U56" s="614"/>
      <c r="V56" s="118" t="s">
        <v>133</v>
      </c>
      <c r="W56" s="118" t="s">
        <v>68</v>
      </c>
      <c r="X56" s="249">
        <f t="shared" ref="X56" si="151">N56</f>
        <v>89.556899051936767</v>
      </c>
      <c r="Y56" s="250">
        <f t="shared" si="137"/>
        <v>83.946592336317835</v>
      </c>
      <c r="Z56" s="249">
        <f t="shared" si="138"/>
        <v>89.556899051936767</v>
      </c>
      <c r="AA56" s="250">
        <f t="shared" si="139"/>
        <v>83.946592336317835</v>
      </c>
      <c r="AB56" s="251">
        <f t="shared" si="140"/>
        <v>89.556899051936767</v>
      </c>
      <c r="AC56" s="250">
        <f t="shared" si="141"/>
        <v>83.946592336317835</v>
      </c>
      <c r="AE56" s="614"/>
      <c r="AF56" s="118" t="s">
        <v>133</v>
      </c>
      <c r="AG56" s="118" t="s">
        <v>68</v>
      </c>
      <c r="AH56" s="249">
        <f t="shared" ref="AH56" si="152">X56</f>
        <v>89.556899051936767</v>
      </c>
      <c r="AI56" s="250">
        <f t="shared" si="142"/>
        <v>83.946592336317835</v>
      </c>
      <c r="AJ56" s="249">
        <f t="shared" si="148"/>
        <v>89.556899051936767</v>
      </c>
      <c r="AK56" s="250">
        <f t="shared" si="143"/>
        <v>83.946592336317835</v>
      </c>
      <c r="AL56" s="251">
        <f t="shared" si="144"/>
        <v>89.556899051936767</v>
      </c>
      <c r="AM56" s="250">
        <f t="shared" si="145"/>
        <v>83.946592336317835</v>
      </c>
    </row>
    <row r="57" spans="1:39" x14ac:dyDescent="0.3">
      <c r="A57" s="614"/>
      <c r="B57" s="162" t="s">
        <v>179</v>
      </c>
      <c r="C57" s="162" t="s">
        <v>68</v>
      </c>
      <c r="D57" s="245">
        <f>SUMPRODUCT(D53:D56,D36:D39)/D40</f>
        <v>78.255227744305316</v>
      </c>
      <c r="E57" s="246">
        <f t="shared" ref="E57" si="153">SUMPRODUCT(E53:E56,E36:E39)/E40</f>
        <v>73.916343974046256</v>
      </c>
      <c r="F57" s="245">
        <f t="shared" ref="F57" si="154">SUMPRODUCT(F53:F56,F36:F39)/F40</f>
        <v>78.255227744305316</v>
      </c>
      <c r="G57" s="246">
        <f t="shared" ref="G57" si="155">SUMPRODUCT(G53:G56,G36:G39)/G40</f>
        <v>73.916343974046256</v>
      </c>
      <c r="H57" s="247">
        <f t="shared" ref="H57" si="156">SUMPRODUCT(H53:H56,H36:H39)/H40</f>
        <v>78.255227744305316</v>
      </c>
      <c r="I57" s="246">
        <f t="shared" ref="I57" si="157">SUMPRODUCT(I53:I56,I36:I39)/I40</f>
        <v>73.916343974046256</v>
      </c>
      <c r="K57" s="614"/>
      <c r="L57" s="162" t="s">
        <v>179</v>
      </c>
      <c r="M57" s="162" t="s">
        <v>68</v>
      </c>
      <c r="N57" s="245">
        <f>SUMPRODUCT(N53:N56,N36:N39)/N40</f>
        <v>78.255227744305316</v>
      </c>
      <c r="O57" s="246">
        <f t="shared" ref="O57:S57" si="158">SUMPRODUCT(O53:O56,O36:O39)/O40</f>
        <v>73.916343974046256</v>
      </c>
      <c r="P57" s="245">
        <f t="shared" si="158"/>
        <v>78.255227744305316</v>
      </c>
      <c r="Q57" s="246">
        <f t="shared" si="158"/>
        <v>73.916343974046256</v>
      </c>
      <c r="R57" s="247">
        <f t="shared" si="158"/>
        <v>78.255227744305316</v>
      </c>
      <c r="S57" s="246">
        <f t="shared" si="158"/>
        <v>73.916343974046256</v>
      </c>
      <c r="U57" s="614"/>
      <c r="V57" s="162" t="s">
        <v>179</v>
      </c>
      <c r="W57" s="162" t="s">
        <v>68</v>
      </c>
      <c r="X57" s="245">
        <f>SUMPRODUCT(X53:X56,X36:X39)/X40</f>
        <v>78.255227744305316</v>
      </c>
      <c r="Y57" s="246">
        <f t="shared" ref="Y57" si="159">SUMPRODUCT(Y53:Y56,Y36:Y39)/Y40</f>
        <v>73.916343974046256</v>
      </c>
      <c r="Z57" s="245">
        <f t="shared" ref="Z57" si="160">SUMPRODUCT(Z53:Z56,Z36:Z39)/Z40</f>
        <v>78.255227744305316</v>
      </c>
      <c r="AA57" s="246">
        <f t="shared" ref="AA57" si="161">SUMPRODUCT(AA53:AA56,AA36:AA39)/AA40</f>
        <v>73.916343974046256</v>
      </c>
      <c r="AB57" s="247">
        <f t="shared" ref="AB57" si="162">SUMPRODUCT(AB53:AB56,AB36:AB39)/AB40</f>
        <v>78.255227744305316</v>
      </c>
      <c r="AC57" s="246">
        <f t="shared" ref="AC57" si="163">SUMPRODUCT(AC53:AC56,AC36:AC39)/AC40</f>
        <v>73.916343974046256</v>
      </c>
      <c r="AE57" s="614"/>
      <c r="AF57" s="162" t="s">
        <v>179</v>
      </c>
      <c r="AG57" s="162" t="s">
        <v>68</v>
      </c>
      <c r="AH57" s="245">
        <f>SUMPRODUCT(AH53:AH56,AH36:AH39)/AH40</f>
        <v>78.255227744305316</v>
      </c>
      <c r="AI57" s="246">
        <f t="shared" ref="AI57" si="164">SUMPRODUCT(AI53:AI56,AI36:AI39)/AI40</f>
        <v>73.916343974046256</v>
      </c>
      <c r="AJ57" s="245">
        <f>SUMPRODUCT(AJ53:AJ56,AJ36:AJ39)/AJ40</f>
        <v>78.255227744305316</v>
      </c>
      <c r="AK57" s="246">
        <f t="shared" ref="AK57" si="165">SUMPRODUCT(AK53:AK56,AK36:AK39)/AK40</f>
        <v>73.916343974046256</v>
      </c>
      <c r="AL57" s="247">
        <f t="shared" ref="AL57" si="166">SUMPRODUCT(AL53:AL56,AL36:AL39)/AL40</f>
        <v>78.255227744305316</v>
      </c>
      <c r="AM57" s="246">
        <f t="shared" ref="AM57" si="167">SUMPRODUCT(AM53:AM56,AM36:AM39)/AM40</f>
        <v>73.916343974046256</v>
      </c>
    </row>
    <row r="58" spans="1:39" x14ac:dyDescent="0.3">
      <c r="A58" s="614"/>
      <c r="B58" s="118" t="s">
        <v>135</v>
      </c>
      <c r="C58" s="118" t="s">
        <v>68</v>
      </c>
      <c r="D58" s="249">
        <f>D$7*D16+D29</f>
        <v>15.72076010147882</v>
      </c>
      <c r="E58" s="249">
        <f t="shared" ref="E58:I58" si="168">E$7*E16+E29</f>
        <v>16.50107579149266</v>
      </c>
      <c r="F58" s="249">
        <f t="shared" si="168"/>
        <v>15.72076010147882</v>
      </c>
      <c r="G58" s="249">
        <f t="shared" si="168"/>
        <v>16.50107579149266</v>
      </c>
      <c r="H58" s="249">
        <f t="shared" si="168"/>
        <v>15.72076010147882</v>
      </c>
      <c r="I58" s="249">
        <f t="shared" si="168"/>
        <v>16.50107579149266</v>
      </c>
      <c r="K58" s="614"/>
      <c r="L58" s="118" t="s">
        <v>135</v>
      </c>
      <c r="M58" s="118" t="s">
        <v>68</v>
      </c>
      <c r="N58" s="249">
        <f>N$7*N16+N29</f>
        <v>15.72076010147882</v>
      </c>
      <c r="O58" s="249">
        <f t="shared" ref="O58:S58" si="169">O$7*O16+O29</f>
        <v>16.50107579149266</v>
      </c>
      <c r="P58" s="249">
        <f>P$7*P16+P29</f>
        <v>15.72076010147882</v>
      </c>
      <c r="Q58" s="249">
        <f t="shared" si="169"/>
        <v>16.50107579149266</v>
      </c>
      <c r="R58" s="249">
        <f t="shared" si="169"/>
        <v>15.72076010147882</v>
      </c>
      <c r="S58" s="249">
        <f t="shared" si="169"/>
        <v>16.50107579149266</v>
      </c>
      <c r="U58" s="614"/>
      <c r="V58" s="118" t="s">
        <v>135</v>
      </c>
      <c r="W58" s="118" t="s">
        <v>68</v>
      </c>
      <c r="X58" s="249">
        <f>N58</f>
        <v>15.72076010147882</v>
      </c>
      <c r="Y58" s="250">
        <f t="shared" ref="Y58:Y61" si="170">O58</f>
        <v>16.50107579149266</v>
      </c>
      <c r="Z58" s="249">
        <f t="shared" ref="Z58:Z61" si="171">P58</f>
        <v>15.72076010147882</v>
      </c>
      <c r="AA58" s="250">
        <f t="shared" ref="AA58:AA61" si="172">Q58</f>
        <v>16.50107579149266</v>
      </c>
      <c r="AB58" s="251">
        <f t="shared" ref="AB58:AB61" si="173">R58</f>
        <v>15.72076010147882</v>
      </c>
      <c r="AC58" s="250">
        <f t="shared" ref="AC58:AC61" si="174">S58</f>
        <v>16.50107579149266</v>
      </c>
      <c r="AE58" s="614"/>
      <c r="AF58" s="118" t="s">
        <v>135</v>
      </c>
      <c r="AG58" s="118" t="s">
        <v>68</v>
      </c>
      <c r="AH58" s="249">
        <f>X58</f>
        <v>15.72076010147882</v>
      </c>
      <c r="AI58" s="250">
        <f t="shared" ref="AI58:AI61" si="175">Y58</f>
        <v>16.50107579149266</v>
      </c>
      <c r="AJ58" s="249">
        <f>Z58</f>
        <v>15.72076010147882</v>
      </c>
      <c r="AK58" s="250">
        <f t="shared" ref="AK58:AK61" si="176">AA58</f>
        <v>16.50107579149266</v>
      </c>
      <c r="AL58" s="251">
        <f>AB58</f>
        <v>15.72076010147882</v>
      </c>
      <c r="AM58" s="250">
        <f t="shared" ref="AM58:AM61" si="177">AC58</f>
        <v>16.50107579149266</v>
      </c>
    </row>
    <row r="59" spans="1:39" x14ac:dyDescent="0.3">
      <c r="A59" s="614"/>
      <c r="B59" s="118" t="s">
        <v>136</v>
      </c>
      <c r="C59" s="118" t="s">
        <v>68</v>
      </c>
      <c r="D59" s="249">
        <f t="shared" ref="D59:I61" si="178">D$7*D17+D30</f>
        <v>19.719141690926637</v>
      </c>
      <c r="E59" s="249">
        <f t="shared" si="178"/>
        <v>20.697921060099041</v>
      </c>
      <c r="F59" s="249">
        <f t="shared" si="178"/>
        <v>19.719141690926637</v>
      </c>
      <c r="G59" s="249">
        <f t="shared" si="178"/>
        <v>20.697921060099041</v>
      </c>
      <c r="H59" s="249">
        <f t="shared" si="178"/>
        <v>19.719141690926637</v>
      </c>
      <c r="I59" s="249">
        <f t="shared" si="178"/>
        <v>20.697921060099041</v>
      </c>
      <c r="K59" s="614"/>
      <c r="L59" s="118" t="s">
        <v>136</v>
      </c>
      <c r="M59" s="118" t="s">
        <v>68</v>
      </c>
      <c r="N59" s="249">
        <f t="shared" ref="N59:S61" si="179">N$7*N17+N30</f>
        <v>19.719141690926637</v>
      </c>
      <c r="O59" s="249">
        <f t="shared" si="179"/>
        <v>20.697921060099041</v>
      </c>
      <c r="P59" s="249">
        <f t="shared" si="179"/>
        <v>19.719141690926637</v>
      </c>
      <c r="Q59" s="249">
        <f t="shared" si="179"/>
        <v>20.697921060099041</v>
      </c>
      <c r="R59" s="249">
        <f t="shared" si="179"/>
        <v>19.719141690926637</v>
      </c>
      <c r="S59" s="249">
        <f t="shared" si="179"/>
        <v>20.697921060099041</v>
      </c>
      <c r="U59" s="614"/>
      <c r="V59" s="118" t="s">
        <v>136</v>
      </c>
      <c r="W59" s="118" t="s">
        <v>68</v>
      </c>
      <c r="X59" s="249">
        <f>N59</f>
        <v>19.719141690926637</v>
      </c>
      <c r="Y59" s="250">
        <f t="shared" si="170"/>
        <v>20.697921060099041</v>
      </c>
      <c r="Z59" s="249">
        <f t="shared" si="171"/>
        <v>19.719141690926637</v>
      </c>
      <c r="AA59" s="250">
        <f t="shared" si="172"/>
        <v>20.697921060099041</v>
      </c>
      <c r="AB59" s="251">
        <f t="shared" si="173"/>
        <v>19.719141690926637</v>
      </c>
      <c r="AC59" s="250">
        <f t="shared" si="174"/>
        <v>20.697921060099041</v>
      </c>
      <c r="AE59" s="614"/>
      <c r="AF59" s="118" t="s">
        <v>136</v>
      </c>
      <c r="AG59" s="118" t="s">
        <v>68</v>
      </c>
      <c r="AH59" s="249">
        <f>X59</f>
        <v>19.719141690926637</v>
      </c>
      <c r="AI59" s="250">
        <f t="shared" si="175"/>
        <v>20.697921060099041</v>
      </c>
      <c r="AJ59" s="249">
        <f t="shared" ref="AJ59:AJ61" si="180">Z59</f>
        <v>19.719141690926637</v>
      </c>
      <c r="AK59" s="250">
        <f t="shared" si="176"/>
        <v>20.697921060099041</v>
      </c>
      <c r="AL59" s="251">
        <f t="shared" ref="AL59:AL61" si="181">AB59</f>
        <v>19.719141690926637</v>
      </c>
      <c r="AM59" s="250">
        <f t="shared" si="177"/>
        <v>20.697921060099041</v>
      </c>
    </row>
    <row r="60" spans="1:39" x14ac:dyDescent="0.3">
      <c r="A60" s="614"/>
      <c r="B60" s="118" t="s">
        <v>137</v>
      </c>
      <c r="C60" s="118" t="s">
        <v>68</v>
      </c>
      <c r="D60" s="249">
        <f t="shared" si="178"/>
        <v>25.580560326024955</v>
      </c>
      <c r="E60" s="249">
        <f t="shared" si="178"/>
        <v>26.850277086085757</v>
      </c>
      <c r="F60" s="249">
        <f t="shared" si="178"/>
        <v>25.580560326024955</v>
      </c>
      <c r="G60" s="249">
        <f t="shared" si="178"/>
        <v>26.850277086085757</v>
      </c>
      <c r="H60" s="249">
        <f t="shared" si="178"/>
        <v>25.580560326024955</v>
      </c>
      <c r="I60" s="249">
        <f t="shared" si="178"/>
        <v>26.850277086085757</v>
      </c>
      <c r="K60" s="614"/>
      <c r="L60" s="118" t="s">
        <v>137</v>
      </c>
      <c r="M60" s="118" t="s">
        <v>68</v>
      </c>
      <c r="N60" s="249">
        <f t="shared" si="179"/>
        <v>25.580560326024955</v>
      </c>
      <c r="O60" s="249">
        <f t="shared" si="179"/>
        <v>26.850277086085757</v>
      </c>
      <c r="P60" s="249">
        <f t="shared" si="179"/>
        <v>25.580560326024955</v>
      </c>
      <c r="Q60" s="249">
        <f t="shared" si="179"/>
        <v>26.850277086085757</v>
      </c>
      <c r="R60" s="249">
        <f t="shared" si="179"/>
        <v>25.580560326024955</v>
      </c>
      <c r="S60" s="249">
        <f t="shared" si="179"/>
        <v>26.850277086085757</v>
      </c>
      <c r="U60" s="614"/>
      <c r="V60" s="118" t="s">
        <v>137</v>
      </c>
      <c r="W60" s="118" t="s">
        <v>68</v>
      </c>
      <c r="X60" s="249">
        <f>N60</f>
        <v>25.580560326024955</v>
      </c>
      <c r="Y60" s="250">
        <f t="shared" si="170"/>
        <v>26.850277086085757</v>
      </c>
      <c r="Z60" s="249">
        <f t="shared" si="171"/>
        <v>25.580560326024955</v>
      </c>
      <c r="AA60" s="250">
        <f t="shared" si="172"/>
        <v>26.850277086085757</v>
      </c>
      <c r="AB60" s="251">
        <f t="shared" si="173"/>
        <v>25.580560326024955</v>
      </c>
      <c r="AC60" s="250">
        <f t="shared" si="174"/>
        <v>26.850277086085757</v>
      </c>
      <c r="AE60" s="614"/>
      <c r="AF60" s="118" t="s">
        <v>137</v>
      </c>
      <c r="AG60" s="118" t="s">
        <v>68</v>
      </c>
      <c r="AH60" s="249">
        <f>X60</f>
        <v>25.580560326024955</v>
      </c>
      <c r="AI60" s="250">
        <f t="shared" si="175"/>
        <v>26.850277086085757</v>
      </c>
      <c r="AJ60" s="249">
        <f t="shared" si="180"/>
        <v>25.580560326024955</v>
      </c>
      <c r="AK60" s="250">
        <f t="shared" si="176"/>
        <v>26.850277086085757</v>
      </c>
      <c r="AL60" s="251">
        <f t="shared" si="181"/>
        <v>25.580560326024955</v>
      </c>
      <c r="AM60" s="250">
        <f t="shared" si="177"/>
        <v>26.850277086085757</v>
      </c>
    </row>
    <row r="61" spans="1:39" x14ac:dyDescent="0.3">
      <c r="A61" s="614"/>
      <c r="B61" s="118" t="s">
        <v>138</v>
      </c>
      <c r="C61" s="118" t="s">
        <v>68</v>
      </c>
      <c r="D61" s="249">
        <f t="shared" si="178"/>
        <v>35.534394195544323</v>
      </c>
      <c r="E61" s="249">
        <f t="shared" si="178"/>
        <v>37.298179479902913</v>
      </c>
      <c r="F61" s="249">
        <f t="shared" si="178"/>
        <v>35.534394195544323</v>
      </c>
      <c r="G61" s="249">
        <f t="shared" si="178"/>
        <v>37.298179479902913</v>
      </c>
      <c r="H61" s="249">
        <f t="shared" si="178"/>
        <v>35.534394195544323</v>
      </c>
      <c r="I61" s="249">
        <f t="shared" si="178"/>
        <v>37.298179479902913</v>
      </c>
      <c r="K61" s="614"/>
      <c r="L61" s="118" t="s">
        <v>138</v>
      </c>
      <c r="M61" s="118" t="s">
        <v>68</v>
      </c>
      <c r="N61" s="249">
        <f t="shared" si="179"/>
        <v>35.534394195544323</v>
      </c>
      <c r="O61" s="249">
        <f t="shared" si="179"/>
        <v>37.298179479902913</v>
      </c>
      <c r="P61" s="249">
        <f t="shared" si="179"/>
        <v>35.534394195544323</v>
      </c>
      <c r="Q61" s="249">
        <f t="shared" si="179"/>
        <v>37.298179479902913</v>
      </c>
      <c r="R61" s="249">
        <f t="shared" si="179"/>
        <v>35.534394195544323</v>
      </c>
      <c r="S61" s="249">
        <f t="shared" si="179"/>
        <v>37.298179479902913</v>
      </c>
      <c r="U61" s="614"/>
      <c r="V61" s="118" t="s">
        <v>138</v>
      </c>
      <c r="W61" s="118" t="s">
        <v>68</v>
      </c>
      <c r="X61" s="249">
        <f t="shared" ref="X61" si="182">N61</f>
        <v>35.534394195544323</v>
      </c>
      <c r="Y61" s="250">
        <f t="shared" si="170"/>
        <v>37.298179479902913</v>
      </c>
      <c r="Z61" s="249">
        <f t="shared" si="171"/>
        <v>35.534394195544323</v>
      </c>
      <c r="AA61" s="250">
        <f t="shared" si="172"/>
        <v>37.298179479902913</v>
      </c>
      <c r="AB61" s="251">
        <f t="shared" si="173"/>
        <v>35.534394195544323</v>
      </c>
      <c r="AC61" s="250">
        <f t="shared" si="174"/>
        <v>37.298179479902913</v>
      </c>
      <c r="AE61" s="614"/>
      <c r="AF61" s="118" t="s">
        <v>138</v>
      </c>
      <c r="AG61" s="118" t="s">
        <v>68</v>
      </c>
      <c r="AH61" s="249">
        <f t="shared" ref="AH61" si="183">X61</f>
        <v>35.534394195544323</v>
      </c>
      <c r="AI61" s="250">
        <f t="shared" si="175"/>
        <v>37.298179479902913</v>
      </c>
      <c r="AJ61" s="249">
        <f t="shared" si="180"/>
        <v>35.534394195544323</v>
      </c>
      <c r="AK61" s="250">
        <f t="shared" si="176"/>
        <v>37.298179479902913</v>
      </c>
      <c r="AL61" s="251">
        <f t="shared" si="181"/>
        <v>35.534394195544323</v>
      </c>
      <c r="AM61" s="250">
        <f t="shared" si="177"/>
        <v>37.298179479902913</v>
      </c>
    </row>
    <row r="62" spans="1:39" x14ac:dyDescent="0.3">
      <c r="A62" s="614"/>
      <c r="B62" s="162" t="s">
        <v>180</v>
      </c>
      <c r="C62" s="162" t="s">
        <v>68</v>
      </c>
      <c r="D62" s="245">
        <f>SUMPRODUCT(D58:D61,D41:D44)/D45</f>
        <v>29.530338954436608</v>
      </c>
      <c r="E62" s="246">
        <f t="shared" ref="E62" si="184">SUMPRODUCT(E58:E61,E41:E44)/E45</f>
        <v>32.309247638968962</v>
      </c>
      <c r="F62" s="245">
        <f>SUMPRODUCT(F58:F61,F41:F44)/F45</f>
        <v>29.530338954436608</v>
      </c>
      <c r="G62" s="246">
        <f t="shared" ref="G62" si="185">SUMPRODUCT(G58:G61,G41:G44)/G45</f>
        <v>32.309247638968962</v>
      </c>
      <c r="H62" s="247">
        <f t="shared" ref="H62" si="186">SUMPRODUCT(H58:H61,H41:H44)/H45</f>
        <v>29.530338954436608</v>
      </c>
      <c r="I62" s="246">
        <f t="shared" ref="I62" si="187">SUMPRODUCT(I58:I61,I41:I44)/I45</f>
        <v>32.309247638968962</v>
      </c>
      <c r="K62" s="614"/>
      <c r="L62" s="162" t="s">
        <v>180</v>
      </c>
      <c r="M62" s="162" t="s">
        <v>68</v>
      </c>
      <c r="N62" s="245">
        <f>SUMPRODUCT(N58:N61,N41:N44)/N45</f>
        <v>29.530338954436608</v>
      </c>
      <c r="O62" s="246">
        <f t="shared" ref="O62:S62" si="188">SUMPRODUCT(O58:O61,O41:O44)/O45</f>
        <v>32.309247638968962</v>
      </c>
      <c r="P62" s="245">
        <f t="shared" si="188"/>
        <v>29.530338954436608</v>
      </c>
      <c r="Q62" s="246">
        <f t="shared" si="188"/>
        <v>32.309247638968962</v>
      </c>
      <c r="R62" s="247">
        <f t="shared" si="188"/>
        <v>29.530338954436608</v>
      </c>
      <c r="S62" s="246">
        <f t="shared" si="188"/>
        <v>32.309247638968962</v>
      </c>
      <c r="U62" s="614"/>
      <c r="V62" s="162" t="s">
        <v>180</v>
      </c>
      <c r="W62" s="162" t="s">
        <v>68</v>
      </c>
      <c r="X62" s="245">
        <f>SUMPRODUCT(X58:X61,X41:X44)/X45</f>
        <v>29.530338954436608</v>
      </c>
      <c r="Y62" s="246">
        <f t="shared" ref="Y62" si="189">SUMPRODUCT(Y58:Y61,Y41:Y44)/Y45</f>
        <v>32.309247638968962</v>
      </c>
      <c r="Z62" s="245">
        <f t="shared" ref="Z62" si="190">SUMPRODUCT(Z58:Z61,Z41:Z44)/Z45</f>
        <v>29.530338954436608</v>
      </c>
      <c r="AA62" s="246">
        <f t="shared" ref="AA62" si="191">SUMPRODUCT(AA58:AA61,AA41:AA44)/AA45</f>
        <v>32.309247638968962</v>
      </c>
      <c r="AB62" s="247">
        <f t="shared" ref="AB62" si="192">SUMPRODUCT(AB58:AB61,AB41:AB44)/AB45</f>
        <v>29.530338954436608</v>
      </c>
      <c r="AC62" s="246">
        <f t="shared" ref="AC62" si="193">SUMPRODUCT(AC58:AC61,AC41:AC44)/AC45</f>
        <v>32.309247638968962</v>
      </c>
      <c r="AE62" s="614"/>
      <c r="AF62" s="162" t="s">
        <v>180</v>
      </c>
      <c r="AG62" s="162" t="s">
        <v>68</v>
      </c>
      <c r="AH62" s="245">
        <f>SUMPRODUCT(AH58:AH61,AH41:AH44)/AH45</f>
        <v>29.530338954436608</v>
      </c>
      <c r="AI62" s="246">
        <f t="shared" ref="AI62" si="194">SUMPRODUCT(AI58:AI61,AI41:AI44)/AI45</f>
        <v>32.309247638968962</v>
      </c>
      <c r="AJ62" s="245">
        <f>SUMPRODUCT(AJ58:AJ61,AJ41:AJ44)/AJ45</f>
        <v>29.530338954436608</v>
      </c>
      <c r="AK62" s="246">
        <f t="shared" ref="AK62" si="195">SUMPRODUCT(AK58:AK61,AK41:AK44)/AK45</f>
        <v>32.309247638968962</v>
      </c>
      <c r="AL62" s="247">
        <f>SUMPRODUCT(AL58:AL61,AL41:AL44)/AL45</f>
        <v>29.530338954436608</v>
      </c>
      <c r="AM62" s="246">
        <f t="shared" ref="AM62" si="196">SUMPRODUCT(AM58:AM61,AM41:AM44)/AM45</f>
        <v>32.309247638968962</v>
      </c>
    </row>
    <row r="63" spans="1:39" x14ac:dyDescent="0.3">
      <c r="A63" s="614"/>
      <c r="B63" s="118" t="s">
        <v>158</v>
      </c>
      <c r="C63" s="118" t="s">
        <v>68</v>
      </c>
      <c r="D63" s="249">
        <f>(1-D23)*D$6*D11+D23*D$7*D16+D29</f>
        <v>33.48644877293264</v>
      </c>
      <c r="E63" s="249">
        <f t="shared" ref="E63:I63" si="197">(1-E23)*E$6*E11+E23*E$7*E16+E29</f>
        <v>19.653597858087256</v>
      </c>
      <c r="F63" s="249">
        <f t="shared" si="197"/>
        <v>33.48644877293264</v>
      </c>
      <c r="G63" s="249">
        <f t="shared" si="197"/>
        <v>19.653597858087256</v>
      </c>
      <c r="H63" s="249">
        <f t="shared" si="197"/>
        <v>33.48644877293264</v>
      </c>
      <c r="I63" s="249">
        <f t="shared" si="197"/>
        <v>19.653597858087256</v>
      </c>
      <c r="K63" s="614"/>
      <c r="L63" s="118" t="s">
        <v>158</v>
      </c>
      <c r="M63" s="118" t="s">
        <v>68</v>
      </c>
      <c r="N63" s="249">
        <f>(1-N23)*N$6*N11+N23*N$7*N16+N29</f>
        <v>33.48644877293264</v>
      </c>
      <c r="O63" s="249">
        <f t="shared" ref="O63:S63" si="198">(1-O23)*O$6*O11+O23*O$7*O16+O29</f>
        <v>19.653597858087256</v>
      </c>
      <c r="P63" s="249">
        <f t="shared" si="198"/>
        <v>33.48644877293264</v>
      </c>
      <c r="Q63" s="249">
        <f t="shared" si="198"/>
        <v>19.653597858087256</v>
      </c>
      <c r="R63" s="249">
        <f>(1-R23)*R$6*R11+R23*R$7*R16+R29</f>
        <v>33.48644877293264</v>
      </c>
      <c r="S63" s="249">
        <f t="shared" si="198"/>
        <v>19.653597858087256</v>
      </c>
      <c r="U63" s="614"/>
      <c r="V63" s="118" t="s">
        <v>158</v>
      </c>
      <c r="W63" s="118" t="s">
        <v>68</v>
      </c>
      <c r="X63" s="249">
        <f>N63</f>
        <v>33.48644877293264</v>
      </c>
      <c r="Y63" s="250">
        <f t="shared" ref="Y63:Y66" si="199">O63</f>
        <v>19.653597858087256</v>
      </c>
      <c r="Z63" s="249">
        <f t="shared" ref="Z63:Z66" si="200">P63</f>
        <v>33.48644877293264</v>
      </c>
      <c r="AA63" s="250">
        <f t="shared" ref="AA63:AA66" si="201">Q63</f>
        <v>19.653597858087256</v>
      </c>
      <c r="AB63" s="251">
        <f>R63</f>
        <v>33.48644877293264</v>
      </c>
      <c r="AC63" s="250">
        <f t="shared" ref="AC63:AC66" si="202">S63</f>
        <v>19.653597858087256</v>
      </c>
      <c r="AE63" s="614"/>
      <c r="AF63" s="118" t="s">
        <v>158</v>
      </c>
      <c r="AG63" s="118" t="s">
        <v>68</v>
      </c>
      <c r="AH63" s="249">
        <f>X63</f>
        <v>33.48644877293264</v>
      </c>
      <c r="AI63" s="250">
        <f t="shared" ref="AI63:AI66" si="203">Y63</f>
        <v>19.653597858087256</v>
      </c>
      <c r="AJ63" s="249">
        <f>Z63</f>
        <v>33.48644877293264</v>
      </c>
      <c r="AK63" s="250">
        <f t="shared" ref="AK63:AK66" si="204">AA63</f>
        <v>19.653597858087256</v>
      </c>
      <c r="AL63" s="251">
        <f>AB63</f>
        <v>33.48644877293264</v>
      </c>
      <c r="AM63" s="250">
        <f t="shared" ref="AM63:AM66" si="205">AC63</f>
        <v>19.653597858087256</v>
      </c>
    </row>
    <row r="64" spans="1:39" x14ac:dyDescent="0.3">
      <c r="A64" s="614"/>
      <c r="B64" s="118" t="s">
        <v>159</v>
      </c>
      <c r="C64" s="118" t="s">
        <v>68</v>
      </c>
      <c r="D64" s="249">
        <f t="shared" ref="D64:I66" si="206">(1-D24)*D$6*D12+D24*D$7*D17+D30</f>
        <v>42.004679439083034</v>
      </c>
      <c r="E64" s="249">
        <f t="shared" si="206"/>
        <v>24.651972843359257</v>
      </c>
      <c r="F64" s="249">
        <f t="shared" si="206"/>
        <v>42.004679439083034</v>
      </c>
      <c r="G64" s="249">
        <f t="shared" si="206"/>
        <v>24.651972843359257</v>
      </c>
      <c r="H64" s="249">
        <f t="shared" si="206"/>
        <v>42.004679439083034</v>
      </c>
      <c r="I64" s="249">
        <f t="shared" si="206"/>
        <v>24.651972843359257</v>
      </c>
      <c r="K64" s="614"/>
      <c r="L64" s="118" t="s">
        <v>159</v>
      </c>
      <c r="M64" s="118" t="s">
        <v>68</v>
      </c>
      <c r="N64" s="249">
        <f t="shared" ref="N64:S66" si="207">(1-N24)*N$6*N12+N24*N$7*N17+N30</f>
        <v>42.004679439083034</v>
      </c>
      <c r="O64" s="249">
        <f t="shared" si="207"/>
        <v>24.651972843359257</v>
      </c>
      <c r="P64" s="249">
        <f t="shared" si="207"/>
        <v>42.004679439083034</v>
      </c>
      <c r="Q64" s="249">
        <f t="shared" si="207"/>
        <v>24.651972843359257</v>
      </c>
      <c r="R64" s="249">
        <f t="shared" si="207"/>
        <v>42.004679439083034</v>
      </c>
      <c r="S64" s="249">
        <f t="shared" si="207"/>
        <v>24.651972843359257</v>
      </c>
      <c r="U64" s="614"/>
      <c r="V64" s="118" t="s">
        <v>159</v>
      </c>
      <c r="W64" s="118" t="s">
        <v>68</v>
      </c>
      <c r="X64" s="223">
        <f>N64</f>
        <v>42.004679439083034</v>
      </c>
      <c r="Y64" s="224">
        <f t="shared" si="199"/>
        <v>24.651972843359257</v>
      </c>
      <c r="Z64" s="223">
        <f t="shared" si="200"/>
        <v>42.004679439083034</v>
      </c>
      <c r="AA64" s="224">
        <f t="shared" si="201"/>
        <v>24.651972843359257</v>
      </c>
      <c r="AB64" s="225">
        <f t="shared" ref="AB64:AB66" si="208">R64</f>
        <v>42.004679439083034</v>
      </c>
      <c r="AC64" s="224">
        <f t="shared" si="202"/>
        <v>24.651972843359257</v>
      </c>
      <c r="AE64" s="614"/>
      <c r="AF64" s="118" t="s">
        <v>159</v>
      </c>
      <c r="AG64" s="118" t="s">
        <v>68</v>
      </c>
      <c r="AH64" s="223">
        <f>X64</f>
        <v>42.004679439083034</v>
      </c>
      <c r="AI64" s="224">
        <f t="shared" si="203"/>
        <v>24.651972843359257</v>
      </c>
      <c r="AJ64" s="223">
        <f t="shared" ref="AJ64:AJ66" si="209">Z64</f>
        <v>42.004679439083034</v>
      </c>
      <c r="AK64" s="224">
        <f t="shared" si="204"/>
        <v>24.651972843359257</v>
      </c>
      <c r="AL64" s="225">
        <f t="shared" ref="AL64:AL66" si="210">AB64</f>
        <v>42.004679439083034</v>
      </c>
      <c r="AM64" s="224">
        <f t="shared" si="205"/>
        <v>24.651972843359257</v>
      </c>
    </row>
    <row r="65" spans="1:39" x14ac:dyDescent="0.3">
      <c r="A65" s="614"/>
      <c r="B65" s="118" t="s">
        <v>160</v>
      </c>
      <c r="C65" s="118" t="s">
        <v>68</v>
      </c>
      <c r="D65" s="249">
        <f t="shared" si="206"/>
        <v>60.565361875620972</v>
      </c>
      <c r="E65" s="249">
        <f t="shared" si="206"/>
        <v>33.230731504355482</v>
      </c>
      <c r="F65" s="249">
        <f t="shared" si="206"/>
        <v>60.565361875620972</v>
      </c>
      <c r="G65" s="249">
        <f t="shared" si="206"/>
        <v>33.230731504355482</v>
      </c>
      <c r="H65" s="249">
        <f t="shared" si="206"/>
        <v>60.565361875620972</v>
      </c>
      <c r="I65" s="249">
        <f t="shared" si="206"/>
        <v>33.230731504355482</v>
      </c>
      <c r="K65" s="614"/>
      <c r="L65" s="118" t="s">
        <v>160</v>
      </c>
      <c r="M65" s="118" t="s">
        <v>68</v>
      </c>
      <c r="N65" s="249">
        <f t="shared" si="207"/>
        <v>60.565361875620972</v>
      </c>
      <c r="O65" s="249">
        <f t="shared" si="207"/>
        <v>33.230731504355482</v>
      </c>
      <c r="P65" s="249">
        <f t="shared" si="207"/>
        <v>60.565361875620972</v>
      </c>
      <c r="Q65" s="249">
        <f t="shared" si="207"/>
        <v>33.230731504355482</v>
      </c>
      <c r="R65" s="249">
        <f t="shared" si="207"/>
        <v>60.565361875620972</v>
      </c>
      <c r="S65" s="249">
        <f t="shared" si="207"/>
        <v>33.230731504355482</v>
      </c>
      <c r="U65" s="614"/>
      <c r="V65" s="118" t="s">
        <v>160</v>
      </c>
      <c r="W65" s="118" t="s">
        <v>68</v>
      </c>
      <c r="X65" s="223">
        <f>N65</f>
        <v>60.565361875620972</v>
      </c>
      <c r="Y65" s="224">
        <f t="shared" si="199"/>
        <v>33.230731504355482</v>
      </c>
      <c r="Z65" s="223">
        <f t="shared" si="200"/>
        <v>60.565361875620972</v>
      </c>
      <c r="AA65" s="224">
        <f t="shared" si="201"/>
        <v>33.230731504355482</v>
      </c>
      <c r="AB65" s="225">
        <f t="shared" si="208"/>
        <v>60.565361875620972</v>
      </c>
      <c r="AC65" s="224">
        <f t="shared" si="202"/>
        <v>33.230731504355482</v>
      </c>
      <c r="AE65" s="614"/>
      <c r="AF65" s="118" t="s">
        <v>160</v>
      </c>
      <c r="AG65" s="118" t="s">
        <v>68</v>
      </c>
      <c r="AH65" s="223">
        <f>X65</f>
        <v>60.565361875620972</v>
      </c>
      <c r="AI65" s="224">
        <f t="shared" si="203"/>
        <v>33.230731504355482</v>
      </c>
      <c r="AJ65" s="223">
        <f t="shared" si="209"/>
        <v>60.565361875620972</v>
      </c>
      <c r="AK65" s="224">
        <f t="shared" si="204"/>
        <v>33.230731504355482</v>
      </c>
      <c r="AL65" s="225">
        <f t="shared" si="210"/>
        <v>60.565361875620972</v>
      </c>
      <c r="AM65" s="224">
        <f t="shared" si="205"/>
        <v>33.230731504355482</v>
      </c>
    </row>
    <row r="66" spans="1:39" x14ac:dyDescent="0.3">
      <c r="A66" s="614"/>
      <c r="B66" s="118" t="s">
        <v>161</v>
      </c>
      <c r="C66" s="118" t="s">
        <v>68</v>
      </c>
      <c r="D66" s="249">
        <f t="shared" si="206"/>
        <v>84.154648566297524</v>
      </c>
      <c r="E66" s="249">
        <f t="shared" si="206"/>
        <v>47.094346179750048</v>
      </c>
      <c r="F66" s="249">
        <f t="shared" si="206"/>
        <v>84.154648566297524</v>
      </c>
      <c r="G66" s="249">
        <f t="shared" si="206"/>
        <v>47.094346179750048</v>
      </c>
      <c r="H66" s="249">
        <f t="shared" si="206"/>
        <v>84.154648566297524</v>
      </c>
      <c r="I66" s="249">
        <f t="shared" si="206"/>
        <v>47.094346179750048</v>
      </c>
      <c r="K66" s="614"/>
      <c r="L66" s="118" t="s">
        <v>161</v>
      </c>
      <c r="M66" s="118" t="s">
        <v>68</v>
      </c>
      <c r="N66" s="249">
        <f t="shared" si="207"/>
        <v>84.154648566297524</v>
      </c>
      <c r="O66" s="249">
        <f t="shared" si="207"/>
        <v>47.094346179750048</v>
      </c>
      <c r="P66" s="249">
        <f t="shared" si="207"/>
        <v>84.154648566297524</v>
      </c>
      <c r="Q66" s="249">
        <f t="shared" si="207"/>
        <v>47.094346179750048</v>
      </c>
      <c r="R66" s="249">
        <f t="shared" si="207"/>
        <v>84.154648566297524</v>
      </c>
      <c r="S66" s="249">
        <f t="shared" si="207"/>
        <v>47.094346179750048</v>
      </c>
      <c r="U66" s="614"/>
      <c r="V66" s="118" t="s">
        <v>161</v>
      </c>
      <c r="W66" s="118" t="s">
        <v>68</v>
      </c>
      <c r="X66" s="249">
        <f t="shared" ref="X66" si="211">N66</f>
        <v>84.154648566297524</v>
      </c>
      <c r="Y66" s="250">
        <f t="shared" si="199"/>
        <v>47.094346179750048</v>
      </c>
      <c r="Z66" s="249">
        <f t="shared" si="200"/>
        <v>84.154648566297524</v>
      </c>
      <c r="AA66" s="250">
        <f t="shared" si="201"/>
        <v>47.094346179750048</v>
      </c>
      <c r="AB66" s="251">
        <f t="shared" si="208"/>
        <v>84.154648566297524</v>
      </c>
      <c r="AC66" s="250">
        <f t="shared" si="202"/>
        <v>47.094346179750048</v>
      </c>
      <c r="AE66" s="614"/>
      <c r="AF66" s="118" t="s">
        <v>161</v>
      </c>
      <c r="AG66" s="118" t="s">
        <v>68</v>
      </c>
      <c r="AH66" s="249">
        <f t="shared" ref="AH66" si="212">X66</f>
        <v>84.154648566297524</v>
      </c>
      <c r="AI66" s="250">
        <f t="shared" si="203"/>
        <v>47.094346179750048</v>
      </c>
      <c r="AJ66" s="249">
        <f t="shared" si="209"/>
        <v>84.154648566297524</v>
      </c>
      <c r="AK66" s="250">
        <f t="shared" si="204"/>
        <v>47.094346179750048</v>
      </c>
      <c r="AL66" s="251">
        <f t="shared" si="210"/>
        <v>84.154648566297524</v>
      </c>
      <c r="AM66" s="250">
        <f t="shared" si="205"/>
        <v>47.094346179750048</v>
      </c>
    </row>
    <row r="67" spans="1:39" x14ac:dyDescent="0.3">
      <c r="A67" s="614"/>
      <c r="B67" s="162" t="s">
        <v>181</v>
      </c>
      <c r="C67" s="162" t="s">
        <v>68</v>
      </c>
      <c r="D67" s="173">
        <f t="shared" ref="D67:I67" si="213">SUMPRODUCT(D63:D66,D46:D49)/D50</f>
        <v>72.818521342687831</v>
      </c>
      <c r="E67" s="174">
        <f t="shared" si="213"/>
        <v>40.612135386421123</v>
      </c>
      <c r="F67" s="173">
        <f t="shared" si="213"/>
        <v>72.818521342687831</v>
      </c>
      <c r="G67" s="174">
        <f t="shared" si="213"/>
        <v>40.612135386421123</v>
      </c>
      <c r="H67" s="175">
        <f t="shared" si="213"/>
        <v>72.818521342687831</v>
      </c>
      <c r="I67" s="174">
        <f t="shared" si="213"/>
        <v>40.612135386421123</v>
      </c>
      <c r="K67" s="614"/>
      <c r="L67" s="162" t="s">
        <v>181</v>
      </c>
      <c r="M67" s="162" t="s">
        <v>68</v>
      </c>
      <c r="N67" s="173">
        <f t="shared" ref="N67:S67" si="214">SUMPRODUCT(N63:N66,N46:N49)/N50</f>
        <v>72.818521342687831</v>
      </c>
      <c r="O67" s="174">
        <f t="shared" si="214"/>
        <v>40.612135386421123</v>
      </c>
      <c r="P67" s="173">
        <f t="shared" si="214"/>
        <v>72.818521342687831</v>
      </c>
      <c r="Q67" s="174">
        <f t="shared" si="214"/>
        <v>40.612135386421123</v>
      </c>
      <c r="R67" s="175">
        <f t="shared" si="214"/>
        <v>72.818521342687831</v>
      </c>
      <c r="S67" s="174">
        <f t="shared" si="214"/>
        <v>40.612135386421123</v>
      </c>
      <c r="U67" s="614"/>
      <c r="V67" s="162" t="s">
        <v>181</v>
      </c>
      <c r="W67" s="162" t="s">
        <v>68</v>
      </c>
      <c r="X67" s="173">
        <f>SUMPRODUCT(X63:X66,X46:X49)/X50</f>
        <v>72.818521342687831</v>
      </c>
      <c r="Y67" s="174">
        <f t="shared" ref="Y67:AC67" si="215">SUMPRODUCT(Y63:Y66,Y46:Y49)/Y50</f>
        <v>40.612135386421123</v>
      </c>
      <c r="Z67" s="173">
        <f t="shared" si="215"/>
        <v>72.818521342687831</v>
      </c>
      <c r="AA67" s="174">
        <f t="shared" si="215"/>
        <v>40.612135386421123</v>
      </c>
      <c r="AB67" s="175">
        <f t="shared" si="215"/>
        <v>72.818521342687831</v>
      </c>
      <c r="AC67" s="174">
        <f t="shared" si="215"/>
        <v>40.612135386421123</v>
      </c>
      <c r="AE67" s="614"/>
      <c r="AF67" s="162" t="s">
        <v>181</v>
      </c>
      <c r="AG67" s="162" t="s">
        <v>68</v>
      </c>
      <c r="AH67" s="173">
        <f t="shared" ref="AH67:AM67" si="216">SUMPRODUCT(AH63:AH66,AH46:AH49)/AH50</f>
        <v>72.818521342687831</v>
      </c>
      <c r="AI67" s="174">
        <f t="shared" si="216"/>
        <v>40.612135386421116</v>
      </c>
      <c r="AJ67" s="173">
        <f>SUMPRODUCT(AJ63:AJ66,AJ46:AJ49)/AJ50</f>
        <v>72.818521342687831</v>
      </c>
      <c r="AK67" s="174">
        <f t="shared" si="216"/>
        <v>40.612135386421116</v>
      </c>
      <c r="AL67" s="175">
        <f>SUMPRODUCT(AL63:AL66,AL46:AL49)/AL50</f>
        <v>72.818521342687831</v>
      </c>
      <c r="AM67" s="174">
        <f t="shared" si="216"/>
        <v>40.612135386421116</v>
      </c>
    </row>
    <row r="68" spans="1:39" ht="15" thickBot="1" x14ac:dyDescent="0.35">
      <c r="A68" s="615"/>
      <c r="B68" s="163" t="s">
        <v>225</v>
      </c>
      <c r="C68" s="163" t="s">
        <v>25</v>
      </c>
      <c r="D68" s="199" t="s">
        <v>72</v>
      </c>
      <c r="E68" s="200" t="s">
        <v>72</v>
      </c>
      <c r="F68" s="199" t="s">
        <v>72</v>
      </c>
      <c r="G68" s="200" t="s">
        <v>72</v>
      </c>
      <c r="H68" s="201" t="s">
        <v>72</v>
      </c>
      <c r="I68" s="200" t="s">
        <v>72</v>
      </c>
      <c r="K68" s="615"/>
      <c r="L68" s="163" t="s">
        <v>225</v>
      </c>
      <c r="M68" s="163" t="s">
        <v>25</v>
      </c>
      <c r="N68" s="199">
        <f>N67/D67-1</f>
        <v>0</v>
      </c>
      <c r="O68" s="200">
        <f t="shared" ref="O68" si="217">O67/E67-1</f>
        <v>0</v>
      </c>
      <c r="P68" s="199">
        <f>P67/D67-1</f>
        <v>0</v>
      </c>
      <c r="Q68" s="200">
        <f>Q67/E67-1</f>
        <v>0</v>
      </c>
      <c r="R68" s="201">
        <f>R67/D67-1</f>
        <v>0</v>
      </c>
      <c r="S68" s="200">
        <f>S67/E67-1</f>
        <v>0</v>
      </c>
      <c r="U68" s="615"/>
      <c r="V68" s="163" t="s">
        <v>225</v>
      </c>
      <c r="W68" s="163" t="s">
        <v>25</v>
      </c>
      <c r="X68" s="199">
        <f>X67/D67-1</f>
        <v>0</v>
      </c>
      <c r="Y68" s="200">
        <f t="shared" ref="Y68" si="218">Y67/E67-1</f>
        <v>0</v>
      </c>
      <c r="Z68" s="199">
        <f>Z67/D67-1</f>
        <v>0</v>
      </c>
      <c r="AA68" s="200">
        <f>AA67/E67-1</f>
        <v>0</v>
      </c>
      <c r="AB68" s="201">
        <f>AB67/D67-1</f>
        <v>0</v>
      </c>
      <c r="AC68" s="200">
        <f>AC67/E67-1</f>
        <v>0</v>
      </c>
      <c r="AE68" s="615"/>
      <c r="AF68" s="163" t="s">
        <v>225</v>
      </c>
      <c r="AG68" s="163" t="s">
        <v>25</v>
      </c>
      <c r="AH68" s="199">
        <f>AH67/D67-1</f>
        <v>0</v>
      </c>
      <c r="AI68" s="200">
        <f t="shared" ref="AI68" si="219">AI67/E67-1</f>
        <v>0</v>
      </c>
      <c r="AJ68" s="199">
        <f>AJ67/D67-1</f>
        <v>0</v>
      </c>
      <c r="AK68" s="200">
        <f>AK67/E67-1</f>
        <v>0</v>
      </c>
      <c r="AL68" s="201">
        <f>AL67/D67-1</f>
        <v>0</v>
      </c>
      <c r="AM68" s="200">
        <f>AM67/E67-1</f>
        <v>0</v>
      </c>
    </row>
    <row r="69" spans="1:39" x14ac:dyDescent="0.3">
      <c r="A69" s="14"/>
      <c r="B69" s="14"/>
      <c r="C69" s="14"/>
      <c r="D69" s="14"/>
      <c r="E69" s="14"/>
      <c r="F69" s="14"/>
      <c r="G69" s="14"/>
      <c r="H69" s="14"/>
      <c r="I69" s="14"/>
      <c r="K69" s="14"/>
      <c r="L69" s="14"/>
      <c r="M69" s="14"/>
      <c r="N69" s="14"/>
      <c r="O69" s="14"/>
      <c r="P69" s="14"/>
      <c r="Q69" s="14"/>
      <c r="R69" s="14"/>
      <c r="S69" s="14"/>
      <c r="U69" s="14"/>
      <c r="V69" s="14"/>
      <c r="W69" s="14"/>
      <c r="X69" s="14"/>
      <c r="Y69" s="14"/>
      <c r="Z69" s="14"/>
      <c r="AA69" s="14"/>
      <c r="AB69" s="14"/>
      <c r="AC69" s="14"/>
    </row>
    <row r="70" spans="1:39" ht="15" thickBot="1" x14ac:dyDescent="0.35">
      <c r="AE70" s="353" t="s">
        <v>255</v>
      </c>
      <c r="AF70" s="354"/>
      <c r="AG70" s="354"/>
      <c r="AH70" s="28"/>
      <c r="AI70" s="28"/>
      <c r="AJ70" s="28"/>
      <c r="AK70" s="28"/>
      <c r="AL70" s="28"/>
      <c r="AM70" s="28"/>
    </row>
    <row r="71" spans="1:39" x14ac:dyDescent="0.3">
      <c r="AE71" s="613" t="s">
        <v>253</v>
      </c>
      <c r="AF71" s="117" t="s">
        <v>9</v>
      </c>
      <c r="AG71" s="117" t="s">
        <v>121</v>
      </c>
      <c r="AH71" s="220">
        <f>(1-Indata!E$11-Indata!E$12)*'Indata - Effektsamband-Faktorer'!$D$11*'Modell - Tunga fordon'!AH$15*'Modell - Tunga fordon'!AH$40/10</f>
        <v>3.8529328580570188</v>
      </c>
      <c r="AI71" s="221">
        <f>(1-Indata!F$11-Indata!F$12)*'Indata - Effektsamband-Faktorer'!$E$11*'Modell - Tunga fordon'!AI$15*'Modell - Tunga fordon'!AI$40/10</f>
        <v>0</v>
      </c>
      <c r="AJ71" s="220">
        <f>(1-Indata!G$11-Indata!G$12)*'Indata - Effektsamband-Faktorer'!$D$11*'Modell - Tunga fordon'!AJ$15*'Modell - Tunga fordon'!AJ$40/10</f>
        <v>3.8529328580570188</v>
      </c>
      <c r="AK71" s="221">
        <f>(1-Indata!H$11-Indata!H$12)*'Indata - Effektsamband-Faktorer'!$E$11*'Modell - Tunga fordon'!AK$15*'Modell - Tunga fordon'!AK$40/10</f>
        <v>0</v>
      </c>
      <c r="AL71" s="220">
        <f>(1-Indata!I$11-Indata!I$12)*'Indata - Effektsamband-Faktorer'!$D$11*'Modell - Tunga fordon'!AL$15*'Modell - Tunga fordon'!AL$40/10</f>
        <v>3.8529328580570188</v>
      </c>
      <c r="AM71" s="221">
        <f>(1-Indata!J$11-Indata!J$12)*'Indata - Effektsamband-Faktorer'!$E$11*'Modell - Tunga fordon'!AM$15*'Modell - Tunga fordon'!AM$40/10</f>
        <v>0</v>
      </c>
    </row>
    <row r="72" spans="1:39" x14ac:dyDescent="0.3">
      <c r="AE72" s="614"/>
      <c r="AF72" s="118" t="s">
        <v>7</v>
      </c>
      <c r="AG72" s="118" t="s">
        <v>121</v>
      </c>
      <c r="AH72" s="351">
        <f>'Indata - Effektsamband-Faktorer'!$D$12*'Modell - Tunga fordon'!AH$20*'Modell - Tunga fordon'!AH$45/10</f>
        <v>0</v>
      </c>
      <c r="AI72" s="352">
        <f>'Indata - Effektsamband-Faktorer'!$E$12*'Modell - Tunga fordon'!AI$20*'Modell - Tunga fordon'!AI$45/10</f>
        <v>0</v>
      </c>
      <c r="AJ72" s="351">
        <f>'Indata - Effektsamband-Faktorer'!$D$12*'Modell - Tunga fordon'!AJ$20*'Modell - Tunga fordon'!AJ$45/10</f>
        <v>0</v>
      </c>
      <c r="AK72" s="352">
        <f>'Indata - Effektsamband-Faktorer'!$E$12*'Modell - Tunga fordon'!AK$20*'Modell - Tunga fordon'!AK$45/10</f>
        <v>0</v>
      </c>
      <c r="AL72" s="351">
        <f>'Indata - Effektsamband-Faktorer'!$D$12*'Modell - Tunga fordon'!AL$20*'Modell - Tunga fordon'!AL$45/10</f>
        <v>0</v>
      </c>
      <c r="AM72" s="352">
        <f>'Indata - Effektsamband-Faktorer'!$E$12*'Modell - Tunga fordon'!AM$20*'Modell - Tunga fordon'!AM$45/10</f>
        <v>0</v>
      </c>
    </row>
    <row r="73" spans="1:39" ht="15" thickBot="1" x14ac:dyDescent="0.35">
      <c r="AE73" s="615"/>
      <c r="AF73" s="164" t="s">
        <v>16</v>
      </c>
      <c r="AG73" s="164" t="s">
        <v>121</v>
      </c>
      <c r="AH73" s="196">
        <f>SUM(AH71:AH72)</f>
        <v>3.8529328580570188</v>
      </c>
      <c r="AI73" s="197">
        <f t="shared" ref="AI73:AM73" si="220">SUM(AI71:AI72)</f>
        <v>0</v>
      </c>
      <c r="AJ73" s="196">
        <f t="shared" si="220"/>
        <v>3.8529328580570188</v>
      </c>
      <c r="AK73" s="197">
        <f>SUM(AK71:AK72)</f>
        <v>0</v>
      </c>
      <c r="AL73" s="196">
        <f t="shared" si="220"/>
        <v>3.8529328580570188</v>
      </c>
      <c r="AM73" s="197">
        <f t="shared" si="220"/>
        <v>0</v>
      </c>
    </row>
    <row r="74" spans="1:39" x14ac:dyDescent="0.3">
      <c r="AE74" s="613" t="s">
        <v>264</v>
      </c>
      <c r="AF74" s="117" t="s">
        <v>9</v>
      </c>
      <c r="AG74" s="117" t="s">
        <v>312</v>
      </c>
      <c r="AH74" s="220">
        <f>'Indata - Effektsamband-Faktorer'!$D$15*'Modell - Tunga fordon'!AH$40</f>
        <v>3.7811909666603856</v>
      </c>
      <c r="AI74" s="221">
        <f>'Indata - Effektsamband-Faktorer'!$E$15*'Modell - Tunga fordon'!AI$40</f>
        <v>0.91397760926781557</v>
      </c>
      <c r="AJ74" s="220">
        <f>'Indata - Effektsamband-Faktorer'!$D$15*'Modell - Tunga fordon'!AJ$40</f>
        <v>3.7811909666603856</v>
      </c>
      <c r="AK74" s="221">
        <f>'Indata - Effektsamband-Faktorer'!$E$15*'Modell - Tunga fordon'!AK$40</f>
        <v>0.91397760926781557</v>
      </c>
      <c r="AL74" s="220">
        <f>'Indata - Effektsamband-Faktorer'!$D$15*'Modell - Tunga fordon'!AL$40</f>
        <v>3.7811909666603856</v>
      </c>
      <c r="AM74" s="221">
        <f>'Indata - Effektsamband-Faktorer'!$E$15*'Modell - Tunga fordon'!AM$40</f>
        <v>0.91397760926781557</v>
      </c>
    </row>
    <row r="75" spans="1:39" x14ac:dyDescent="0.3">
      <c r="AE75" s="614"/>
      <c r="AF75" s="118" t="s">
        <v>7</v>
      </c>
      <c r="AG75" s="118" t="s">
        <v>312</v>
      </c>
      <c r="AH75" s="351">
        <v>0</v>
      </c>
      <c r="AI75" s="352">
        <v>0</v>
      </c>
      <c r="AJ75" s="351">
        <v>0</v>
      </c>
      <c r="AK75" s="352">
        <v>0</v>
      </c>
      <c r="AL75" s="351">
        <v>0</v>
      </c>
      <c r="AM75" s="352">
        <v>0</v>
      </c>
    </row>
    <row r="76" spans="1:39" ht="15" thickBot="1" x14ac:dyDescent="0.35">
      <c r="AE76" s="615"/>
      <c r="AF76" s="164" t="s">
        <v>16</v>
      </c>
      <c r="AG76" s="164" t="s">
        <v>312</v>
      </c>
      <c r="AH76" s="196">
        <f t="shared" ref="AH76:AM76" si="221">SUM(AH74:AH75)</f>
        <v>3.7811909666603856</v>
      </c>
      <c r="AI76" s="197">
        <f t="shared" si="221"/>
        <v>0.91397760926781557</v>
      </c>
      <c r="AJ76" s="196">
        <f t="shared" si="221"/>
        <v>3.7811909666603856</v>
      </c>
      <c r="AK76" s="197">
        <f t="shared" si="221"/>
        <v>0.91397760926781557</v>
      </c>
      <c r="AL76" s="196">
        <f t="shared" si="221"/>
        <v>3.7811909666603856</v>
      </c>
      <c r="AM76" s="197">
        <f t="shared" si="221"/>
        <v>0.91397760926781557</v>
      </c>
    </row>
    <row r="77" spans="1:39" x14ac:dyDescent="0.3">
      <c r="AE77" s="613" t="s">
        <v>258</v>
      </c>
      <c r="AF77" s="117" t="s">
        <v>9</v>
      </c>
      <c r="AG77" s="117" t="s">
        <v>312</v>
      </c>
      <c r="AH77" s="220">
        <f>'Indata - Effektsamband-Faktorer'!$D$18*'Modell - Tunga fordon'!AH$40</f>
        <v>3.3787914724198294E-2</v>
      </c>
      <c r="AI77" s="221">
        <f>'Indata - Effektsamband-Faktorer'!$E$18*'Modell - Tunga fordon'!AI$40</f>
        <v>5.7672771128712197E-3</v>
      </c>
      <c r="AJ77" s="220">
        <f>'Indata - Effektsamband-Faktorer'!$D$18*'Modell - Tunga fordon'!AJ$40</f>
        <v>3.3787914724198294E-2</v>
      </c>
      <c r="AK77" s="221">
        <f>'Indata - Effektsamband-Faktorer'!$E$18*'Modell - Tunga fordon'!AK$40</f>
        <v>5.7672771128712197E-3</v>
      </c>
      <c r="AL77" s="220">
        <f>'Indata - Effektsamband-Faktorer'!$D$18*'Modell - Tunga fordon'!AL$40</f>
        <v>3.3787914724198294E-2</v>
      </c>
      <c r="AM77" s="221">
        <f>'Indata - Effektsamband-Faktorer'!$E$18*'Modell - Tunga fordon'!AM$40</f>
        <v>5.7672771128712197E-3</v>
      </c>
    </row>
    <row r="78" spans="1:39" x14ac:dyDescent="0.3">
      <c r="AE78" s="614"/>
      <c r="AF78" s="118" t="s">
        <v>7</v>
      </c>
      <c r="AG78" s="118" t="s">
        <v>312</v>
      </c>
      <c r="AH78" s="351">
        <v>0</v>
      </c>
      <c r="AI78" s="352">
        <v>0</v>
      </c>
      <c r="AJ78" s="351">
        <v>0</v>
      </c>
      <c r="AK78" s="352">
        <v>0</v>
      </c>
      <c r="AL78" s="351">
        <v>0</v>
      </c>
      <c r="AM78" s="352">
        <v>0</v>
      </c>
    </row>
    <row r="79" spans="1:39" ht="15" thickBot="1" x14ac:dyDescent="0.35">
      <c r="AE79" s="615"/>
      <c r="AF79" s="164" t="s">
        <v>16</v>
      </c>
      <c r="AG79" s="164" t="s">
        <v>312</v>
      </c>
      <c r="AH79" s="196">
        <f t="shared" ref="AH79:AM79" si="222">SUM(AH77:AH78)</f>
        <v>3.3787914724198294E-2</v>
      </c>
      <c r="AI79" s="197">
        <f t="shared" si="222"/>
        <v>5.7672771128712197E-3</v>
      </c>
      <c r="AJ79" s="196">
        <f t="shared" si="222"/>
        <v>3.3787914724198294E-2</v>
      </c>
      <c r="AK79" s="197">
        <f t="shared" si="222"/>
        <v>5.7672771128712197E-3</v>
      </c>
      <c r="AL79" s="196">
        <f t="shared" si="222"/>
        <v>3.3787914724198294E-2</v>
      </c>
      <c r="AM79" s="197">
        <f t="shared" si="222"/>
        <v>5.7672771128712197E-3</v>
      </c>
    </row>
    <row r="80" spans="1:39" ht="15" customHeight="1" x14ac:dyDescent="0.3">
      <c r="AE80" s="338" t="s">
        <v>259</v>
      </c>
      <c r="AF80" s="117" t="s">
        <v>16</v>
      </c>
      <c r="AG80" s="117" t="s">
        <v>312</v>
      </c>
      <c r="AH80" s="404">
        <f>'Indata - Effektsamband-Faktorer'!$D$20*'Modell - Tunga fordon'!AH$50</f>
        <v>2.2116281545385417</v>
      </c>
      <c r="AI80" s="405">
        <f>'Indata - Effektsamband-Faktorer'!$E$20*'Modell - Tunga fordon'!AI$50</f>
        <v>2.6081161521177774</v>
      </c>
      <c r="AJ80" s="404">
        <f>'Indata - Effektsamband-Faktorer'!$D$20*'Modell - Tunga fordon'!AJ$50</f>
        <v>2.2116281545385417</v>
      </c>
      <c r="AK80" s="405">
        <f>'Indata - Effektsamband-Faktorer'!$E$20*'Modell - Tunga fordon'!AK$50</f>
        <v>2.6081161521177774</v>
      </c>
      <c r="AL80" s="404">
        <f>'Indata - Effektsamband-Faktorer'!$D$20*'Modell - Tunga fordon'!AL$50</f>
        <v>2.2116281545385417</v>
      </c>
      <c r="AM80" s="405">
        <f>'Indata - Effektsamband-Faktorer'!$E$20*'Modell - Tunga fordon'!AM$50</f>
        <v>2.6081161521177774</v>
      </c>
    </row>
    <row r="82" spans="31:39" ht="15" thickBot="1" x14ac:dyDescent="0.35">
      <c r="AE82" s="30" t="s">
        <v>256</v>
      </c>
      <c r="AF82" s="28"/>
      <c r="AG82" s="28"/>
      <c r="AH82" s="28"/>
      <c r="AI82" s="28"/>
      <c r="AJ82" s="28"/>
      <c r="AK82" s="28"/>
      <c r="AL82" s="28"/>
      <c r="AM82" s="28"/>
    </row>
    <row r="83" spans="31:39" x14ac:dyDescent="0.3">
      <c r="AE83" s="613" t="s">
        <v>123</v>
      </c>
      <c r="AF83" s="117" t="s">
        <v>91</v>
      </c>
      <c r="AG83" s="165" t="s">
        <v>122</v>
      </c>
      <c r="AH83" s="220">
        <f>(1-Indata!E$11-Indata!E$12)*'Indata - Effektsamband-Faktorer'!$D22*'Modell - Tunga fordon'!AH$15*'Modell - Tunga fordon'!AH$40/10</f>
        <v>14.865646460219995</v>
      </c>
      <c r="AI83" s="221">
        <f>(1-Indata!F$11-Indata!F$12)*'Indata - Effektsamband-Faktorer'!$E22*'Modell - Tunga fordon'!AI$15*'Modell - Tunga fordon'!AI$40/10</f>
        <v>0</v>
      </c>
      <c r="AJ83" s="220">
        <f>(1-Indata!G$11-Indata!G$12)*'Indata - Effektsamband-Faktorer'!$D22*'Modell - Tunga fordon'!AJ$15*'Modell - Tunga fordon'!AJ$40/10</f>
        <v>14.865646460219995</v>
      </c>
      <c r="AK83" s="221">
        <f>(1-Indata!H$11-Indata!H$12)*'Indata - Effektsamband-Faktorer'!$E22*'Modell - Tunga fordon'!AK$15*'Modell - Tunga fordon'!AK$40/10</f>
        <v>0</v>
      </c>
      <c r="AL83" s="222">
        <f>(1-Indata!I$11-Indata!I$12)*'Indata - Effektsamband-Faktorer'!$D22*'Modell - Tunga fordon'!AL$15*'Modell - Tunga fordon'!AL$40/10</f>
        <v>14.865646460219995</v>
      </c>
      <c r="AM83" s="221">
        <f>(1-Indata!J$11-Indata!J$12)*'Indata - Effektsamband-Faktorer'!$E22*'Modell - Tunga fordon'!AM$15*'Modell - Tunga fordon'!AM$40/10</f>
        <v>0</v>
      </c>
    </row>
    <row r="84" spans="31:39" x14ac:dyDescent="0.3">
      <c r="AE84" s="614"/>
      <c r="AF84" s="118" t="s">
        <v>94</v>
      </c>
      <c r="AG84" s="166" t="s">
        <v>122</v>
      </c>
      <c r="AH84" s="223">
        <f>(Indata!E$11*'Indata - Effektsamband-Faktorer'!$D$25+Indata!E$12*'Indata - Effektsamband-Faktorer'!$D$26)*'Modell - Tunga fordon'!AH$15*'Modell - Tunga fordon'!AH$40/10</f>
        <v>2.2303034443825434</v>
      </c>
      <c r="AI84" s="224">
        <f>(Indata!F$11*'Indata - Effektsamband-Faktorer'!$E$25+Indata!F$12*'Indata - Effektsamband-Faktorer'!$E$26)*'Modell - Tunga fordon'!AI$15*'Modell - Tunga fordon'!AI$40/10</f>
        <v>3.9975257329277172</v>
      </c>
      <c r="AJ84" s="223">
        <f>(Indata!G$11*'Indata - Effektsamband-Faktorer'!$D$25+Indata!G$12*'Indata - Effektsamband-Faktorer'!$D$26)*'Modell - Tunga fordon'!AJ$15*'Modell - Tunga fordon'!AJ$40/10</f>
        <v>2.2303034443825434</v>
      </c>
      <c r="AK84" s="224">
        <f>(Indata!H$11*'Indata - Effektsamband-Faktorer'!$E$25+Indata!H$12*'Indata - Effektsamband-Faktorer'!$E$26)*'Modell - Tunga fordon'!AK$15*'Modell - Tunga fordon'!AK$40/10</f>
        <v>3.9975257329277172</v>
      </c>
      <c r="AL84" s="225">
        <f>(Indata!I$11*'Indata - Effektsamband-Faktorer'!$D$25+Indata!I$12*'Indata - Effektsamband-Faktorer'!$D$26)*'Modell - Tunga fordon'!AL$15*'Modell - Tunga fordon'!AL$40/10</f>
        <v>2.2303034443825434</v>
      </c>
      <c r="AM84" s="224">
        <f>(Indata!J$11*'Indata - Effektsamband-Faktorer'!$E$25+Indata!J$12*'Indata - Effektsamband-Faktorer'!$E$26)*'Modell - Tunga fordon'!AM$15*'Modell - Tunga fordon'!AM$40/10</f>
        <v>3.9975257329277172</v>
      </c>
    </row>
    <row r="85" spans="31:39" ht="15" thickBot="1" x14ac:dyDescent="0.35">
      <c r="AE85" s="615"/>
      <c r="AF85" s="119" t="s">
        <v>7</v>
      </c>
      <c r="AG85" s="168" t="s">
        <v>122</v>
      </c>
      <c r="AH85" s="226">
        <f t="shared" ref="AH85:AM85" si="223">AH20*AH45/10</f>
        <v>1.1296696748625858</v>
      </c>
      <c r="AI85" s="227">
        <f t="shared" si="223"/>
        <v>9.9616818980232402</v>
      </c>
      <c r="AJ85" s="226">
        <f t="shared" si="223"/>
        <v>1.1296696748625858</v>
      </c>
      <c r="AK85" s="227">
        <f t="shared" si="223"/>
        <v>9.9616818980232402</v>
      </c>
      <c r="AL85" s="228">
        <f t="shared" si="223"/>
        <v>1.1296696748625858</v>
      </c>
      <c r="AM85" s="227">
        <f t="shared" si="223"/>
        <v>9.9616818980232402</v>
      </c>
    </row>
    <row r="87" spans="31:39" ht="15" thickBot="1" x14ac:dyDescent="0.35">
      <c r="AE87" s="30" t="s">
        <v>263</v>
      </c>
      <c r="AF87" s="28"/>
      <c r="AG87" s="28"/>
      <c r="AH87" s="28"/>
      <c r="AI87" s="28"/>
      <c r="AJ87" s="28"/>
      <c r="AK87" s="28"/>
      <c r="AL87" s="28"/>
      <c r="AM87" s="28"/>
    </row>
    <row r="88" spans="31:39" ht="14.4" customHeight="1" x14ac:dyDescent="0.3">
      <c r="AE88" s="613" t="s">
        <v>234</v>
      </c>
      <c r="AF88" s="117" t="s">
        <v>91</v>
      </c>
      <c r="AG88" s="117" t="s">
        <v>129</v>
      </c>
      <c r="AH88" s="220">
        <f>(1-Indata!E$11-Indata!E$12)*'Modell - Drivmedelpriser'!C$56*'Modell - Tunga fordon'!AH$15*'Modell - Tunga fordon'!AH$40/10</f>
        <v>7.0232595011039365</v>
      </c>
      <c r="AI88" s="408">
        <f>(1-Indata!F$11-Indata!F$12)*'Modell - Drivmedelpriser'!D$56*'Modell - Tunga fordon'!AI$15*'Modell - Tunga fordon'!AI$40/10</f>
        <v>0</v>
      </c>
      <c r="AJ88" s="220">
        <f>(1-Indata!G$11-Indata!G$12)*'Modell - Drivmedelpriser'!E$56*'Modell - Tunga fordon'!AJ$15*'Modell - Tunga fordon'!AJ$40/10</f>
        <v>7.0232595011039365</v>
      </c>
      <c r="AK88" s="408">
        <f>(1-Indata!H$11-Indata!H$12)*'Modell - Drivmedelpriser'!F$56*'Modell - Tunga fordon'!AK$15*'Modell - Tunga fordon'!AK$40/10</f>
        <v>0</v>
      </c>
      <c r="AL88" s="220">
        <f>(1-Indata!I$11-Indata!I$12)*'Modell - Drivmedelpriser'!G$56*'Modell - Tunga fordon'!AL$15*'Modell - Tunga fordon'!AL$40/10</f>
        <v>7.0232595011039365</v>
      </c>
      <c r="AM88" s="221">
        <f>(1-Indata!J$11-Indata!J$12)*'Modell - Drivmedelpriser'!H$56*'Modell - Tunga fordon'!AM$15*'Modell - Tunga fordon'!AM$40/10</f>
        <v>0</v>
      </c>
    </row>
    <row r="89" spans="31:39" x14ac:dyDescent="0.3">
      <c r="AE89" s="614"/>
      <c r="AF89" s="118" t="s">
        <v>94</v>
      </c>
      <c r="AG89" s="118" t="s">
        <v>129</v>
      </c>
      <c r="AH89" s="223">
        <f>(Indata!E$11+Indata!E$12)*'Modell - Drivmedelpriser'!C$56*'Modell - Tunga fordon'!AH$15*'Modell - Tunga fordon'!AH$40/10</f>
        <v>1.1055130696182123</v>
      </c>
      <c r="AI89" s="409">
        <f>(Indata!F$11+Indata!F$12)*'Modell - Drivmedelpriser'!D$56*'Modell - Tunga fordon'!AI$15*'Modell - Tunga fordon'!AI$40/10</f>
        <v>1.9657109023710748</v>
      </c>
      <c r="AJ89" s="223">
        <f>(Indata!G$11+Indata!G$12)*'Modell - Drivmedelpriser'!E$56*'Modell - Tunga fordon'!AJ$15*'Modell - Tunga fordon'!AJ$40/10</f>
        <v>1.1055130696182123</v>
      </c>
      <c r="AK89" s="409">
        <f>(Indata!H$11+Indata!H$12)*'Modell - Drivmedelpriser'!F$56*'Modell - Tunga fordon'!AK$15*'Modell - Tunga fordon'!AK$40/10</f>
        <v>1.9657109023710748</v>
      </c>
      <c r="AL89" s="223">
        <f>(Indata!I$11+Indata!I$12)*'Modell - Drivmedelpriser'!G$56*'Modell - Tunga fordon'!AL$15*'Modell - Tunga fordon'!AL$40/10</f>
        <v>1.1055130696182123</v>
      </c>
      <c r="AM89" s="224">
        <f>(Indata!J$11+Indata!J$12)*'Modell - Drivmedelpriser'!H$56*'Modell - Tunga fordon'!AM$15*'Modell - Tunga fordon'!AM$40/10</f>
        <v>1.9657109023710748</v>
      </c>
    </row>
    <row r="90" spans="31:39" x14ac:dyDescent="0.3">
      <c r="AE90" s="614"/>
      <c r="AF90" s="118" t="s">
        <v>7</v>
      </c>
      <c r="AG90" s="118" t="s">
        <v>129</v>
      </c>
      <c r="AH90" s="223">
        <f>'Modell - Drivmedelpriser'!C82*'Modell - Tunga fordon'!AH$20*'Modell - Tunga fordon'!AH$45/10</f>
        <v>0.39538438620190502</v>
      </c>
      <c r="AI90" s="409">
        <f>'Modell - Drivmedelpriser'!D82*'Modell - Tunga fordon'!AI$20*'Modell - Tunga fordon'!AI$45/10</f>
        <v>3.4865886643081341</v>
      </c>
      <c r="AJ90" s="223">
        <f>'Modell - Drivmedelpriser'!E82*'Modell - Tunga fordon'!AJ$20*'Modell - Tunga fordon'!AJ$45/10</f>
        <v>0.39538438620190502</v>
      </c>
      <c r="AK90" s="409">
        <f>'Modell - Drivmedelpriser'!F82*'Modell - Tunga fordon'!AK$20*'Modell - Tunga fordon'!AK$45/10</f>
        <v>3.4865886643081341</v>
      </c>
      <c r="AL90" s="223">
        <f>'Modell - Drivmedelpriser'!G82*'Modell - Tunga fordon'!AL$20*'Modell - Tunga fordon'!AL$45/10</f>
        <v>0.39538438620190502</v>
      </c>
      <c r="AM90" s="224">
        <f>'Modell - Drivmedelpriser'!H82*'Modell - Tunga fordon'!AM$20*'Modell - Tunga fordon'!AM$45/10</f>
        <v>3.4865886643081341</v>
      </c>
    </row>
    <row r="91" spans="31:39" ht="15" thickBot="1" x14ac:dyDescent="0.35">
      <c r="AE91" s="614"/>
      <c r="AF91" s="162" t="s">
        <v>16</v>
      </c>
      <c r="AG91" s="162" t="s">
        <v>129</v>
      </c>
      <c r="AH91" s="196">
        <f>SUM(AH88:AH90)</f>
        <v>8.5241569569240525</v>
      </c>
      <c r="AI91" s="410">
        <f t="shared" ref="AI91:AM91" si="224">SUM(AI88:AI90)</f>
        <v>5.4522995666792085</v>
      </c>
      <c r="AJ91" s="196">
        <f t="shared" si="224"/>
        <v>8.5241569569240525</v>
      </c>
      <c r="AK91" s="410">
        <f t="shared" si="224"/>
        <v>5.4522995666792085</v>
      </c>
      <c r="AL91" s="196">
        <f t="shared" si="224"/>
        <v>8.5241569569240525</v>
      </c>
      <c r="AM91" s="197">
        <f t="shared" si="224"/>
        <v>5.4522995666792085</v>
      </c>
    </row>
    <row r="92" spans="31:39" ht="14.4" customHeight="1" x14ac:dyDescent="0.3">
      <c r="AE92" s="613" t="s">
        <v>192</v>
      </c>
      <c r="AF92" s="117" t="s">
        <v>109</v>
      </c>
      <c r="AG92" s="117" t="s">
        <v>129</v>
      </c>
      <c r="AH92" s="406">
        <f t="shared" ref="AH92:AM95" si="225">AH46/10*AH29</f>
        <v>0</v>
      </c>
      <c r="AI92" s="407">
        <f t="shared" si="225"/>
        <v>0</v>
      </c>
      <c r="AJ92" s="406">
        <f t="shared" si="225"/>
        <v>0</v>
      </c>
      <c r="AK92" s="407">
        <f t="shared" si="225"/>
        <v>0</v>
      </c>
      <c r="AL92" s="411">
        <f t="shared" si="225"/>
        <v>0</v>
      </c>
      <c r="AM92" s="407">
        <f t="shared" si="225"/>
        <v>0</v>
      </c>
    </row>
    <row r="93" spans="31:39" x14ac:dyDescent="0.3">
      <c r="AE93" s="614"/>
      <c r="AF93" s="118" t="s">
        <v>110</v>
      </c>
      <c r="AG93" s="118" t="s">
        <v>129</v>
      </c>
      <c r="AH93" s="180">
        <f t="shared" si="225"/>
        <v>0</v>
      </c>
      <c r="AI93" s="181">
        <f t="shared" si="225"/>
        <v>0</v>
      </c>
      <c r="AJ93" s="180">
        <f t="shared" si="225"/>
        <v>0</v>
      </c>
      <c r="AK93" s="181">
        <f t="shared" si="225"/>
        <v>0</v>
      </c>
      <c r="AL93" s="182">
        <f t="shared" si="225"/>
        <v>0</v>
      </c>
      <c r="AM93" s="181">
        <f t="shared" si="225"/>
        <v>0</v>
      </c>
    </row>
    <row r="94" spans="31:39" x14ac:dyDescent="0.3">
      <c r="AE94" s="614"/>
      <c r="AF94" s="118" t="s">
        <v>111</v>
      </c>
      <c r="AG94" s="118" t="s">
        <v>129</v>
      </c>
      <c r="AH94" s="180">
        <f t="shared" si="225"/>
        <v>0</v>
      </c>
      <c r="AI94" s="181">
        <f t="shared" si="225"/>
        <v>0</v>
      </c>
      <c r="AJ94" s="180">
        <f t="shared" si="225"/>
        <v>0</v>
      </c>
      <c r="AK94" s="181">
        <f t="shared" si="225"/>
        <v>0</v>
      </c>
      <c r="AL94" s="182">
        <f t="shared" si="225"/>
        <v>0</v>
      </c>
      <c r="AM94" s="181">
        <f t="shared" si="225"/>
        <v>0</v>
      </c>
    </row>
    <row r="95" spans="31:39" x14ac:dyDescent="0.3">
      <c r="AE95" s="614"/>
      <c r="AF95" s="118" t="s">
        <v>112</v>
      </c>
      <c r="AG95" s="118" t="s">
        <v>129</v>
      </c>
      <c r="AH95" s="180">
        <f t="shared" si="225"/>
        <v>0</v>
      </c>
      <c r="AI95" s="181">
        <f t="shared" si="225"/>
        <v>0</v>
      </c>
      <c r="AJ95" s="180">
        <f t="shared" si="225"/>
        <v>0</v>
      </c>
      <c r="AK95" s="181">
        <f t="shared" si="225"/>
        <v>0</v>
      </c>
      <c r="AL95" s="182">
        <f t="shared" si="225"/>
        <v>0</v>
      </c>
      <c r="AM95" s="181">
        <f t="shared" si="225"/>
        <v>0</v>
      </c>
    </row>
    <row r="96" spans="31:39" ht="15" thickBot="1" x14ac:dyDescent="0.35">
      <c r="AE96" s="615"/>
      <c r="AF96" s="164" t="s">
        <v>16</v>
      </c>
      <c r="AG96" s="164" t="s">
        <v>129</v>
      </c>
      <c r="AH96" s="183">
        <f>SUM(AH92:AH95)</f>
        <v>0</v>
      </c>
      <c r="AI96" s="185">
        <f t="shared" ref="AI96:AM96" si="226">SUM(AI92:AI95)</f>
        <v>0</v>
      </c>
      <c r="AJ96" s="183">
        <f t="shared" si="226"/>
        <v>0</v>
      </c>
      <c r="AK96" s="185">
        <f t="shared" si="226"/>
        <v>0</v>
      </c>
      <c r="AL96" s="186">
        <f t="shared" si="226"/>
        <v>0</v>
      </c>
      <c r="AM96" s="185">
        <f t="shared" si="226"/>
        <v>0</v>
      </c>
    </row>
    <row r="99" spans="33:33" x14ac:dyDescent="0.3">
      <c r="AG99" s="15"/>
    </row>
  </sheetData>
  <mergeCells count="50">
    <mergeCell ref="AE6:AE8"/>
    <mergeCell ref="AE11:AE20"/>
    <mergeCell ref="U29:U32"/>
    <mergeCell ref="AE29:AE32"/>
    <mergeCell ref="U23:U26"/>
    <mergeCell ref="AE23:AE26"/>
    <mergeCell ref="U6:U8"/>
    <mergeCell ref="AE88:AE91"/>
    <mergeCell ref="AE74:AE76"/>
    <mergeCell ref="AE77:AE79"/>
    <mergeCell ref="A11:A20"/>
    <mergeCell ref="K11:K20"/>
    <mergeCell ref="AE71:AE73"/>
    <mergeCell ref="AE83:AE85"/>
    <mergeCell ref="A36:A50"/>
    <mergeCell ref="K36:K50"/>
    <mergeCell ref="U36:U50"/>
    <mergeCell ref="AE36:AE50"/>
    <mergeCell ref="A29:A32"/>
    <mergeCell ref="K29:K32"/>
    <mergeCell ref="U11:U20"/>
    <mergeCell ref="AH3:AI3"/>
    <mergeCell ref="AJ3:AK3"/>
    <mergeCell ref="AL3:AM3"/>
    <mergeCell ref="D3:E3"/>
    <mergeCell ref="F3:G3"/>
    <mergeCell ref="H3:I3"/>
    <mergeCell ref="N3:O3"/>
    <mergeCell ref="P3:Q3"/>
    <mergeCell ref="R3:S3"/>
    <mergeCell ref="AF3:AG4"/>
    <mergeCell ref="X3:Y3"/>
    <mergeCell ref="Z3:AA3"/>
    <mergeCell ref="AB3:AC3"/>
    <mergeCell ref="AE92:AE96"/>
    <mergeCell ref="A3:A4"/>
    <mergeCell ref="B3:C4"/>
    <mergeCell ref="K3:K4"/>
    <mergeCell ref="L3:M4"/>
    <mergeCell ref="U3:U4"/>
    <mergeCell ref="V3:W4"/>
    <mergeCell ref="AE3:AE4"/>
    <mergeCell ref="K53:K68"/>
    <mergeCell ref="A53:A68"/>
    <mergeCell ref="U53:U68"/>
    <mergeCell ref="AE53:AE68"/>
    <mergeCell ref="A6:A8"/>
    <mergeCell ref="K6:K8"/>
    <mergeCell ref="A23:A26"/>
    <mergeCell ref="K23:K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T65"/>
  <sheetViews>
    <sheetView zoomScale="90" zoomScaleNormal="90" workbookViewId="0">
      <pane xSplit="3" ySplit="7" topLeftCell="D8" activePane="bottomRight" state="frozen"/>
      <selection pane="topRight" activeCell="D1" sqref="D1"/>
      <selection pane="bottomLeft" activeCell="A8" sqref="A8"/>
      <selection pane="bottomRight" activeCell="E13" sqref="E13"/>
    </sheetView>
  </sheetViews>
  <sheetFormatPr defaultColWidth="8.88671875" defaultRowHeight="14.4" x14ac:dyDescent="0.3"/>
  <cols>
    <col min="1" max="1" width="38.109375" style="28" customWidth="1"/>
    <col min="2" max="2" width="22.44140625" style="28" bestFit="1" customWidth="1"/>
    <col min="3" max="3" width="31.44140625" style="28" bestFit="1" customWidth="1"/>
    <col min="4" max="4" width="15.33203125" style="28" customWidth="1"/>
    <col min="5" max="10" width="21.6640625" style="28" customWidth="1"/>
    <col min="11" max="11" width="108.109375" style="28" bestFit="1" customWidth="1"/>
    <col min="12" max="20" width="8.88671875" style="28"/>
    <col min="21" max="16384" width="8.88671875" style="14"/>
  </cols>
  <sheetData>
    <row r="1" spans="1:20" ht="17.399999999999999" x14ac:dyDescent="0.3">
      <c r="A1" s="108" t="s">
        <v>53</v>
      </c>
      <c r="G1" s="367"/>
      <c r="H1" s="367"/>
      <c r="I1" s="367"/>
      <c r="J1" s="367"/>
    </row>
    <row r="2" spans="1:20" x14ac:dyDescent="0.3">
      <c r="A2" s="130" t="s">
        <v>55</v>
      </c>
      <c r="E2" s="366"/>
      <c r="F2" s="366"/>
      <c r="G2" s="366"/>
      <c r="H2" s="366"/>
      <c r="I2" s="366"/>
      <c r="J2" s="366"/>
    </row>
    <row r="3" spans="1:20" x14ac:dyDescent="0.3">
      <c r="A3" s="131" t="s">
        <v>197</v>
      </c>
      <c r="E3" s="365"/>
      <c r="F3" s="365"/>
      <c r="G3" s="365"/>
      <c r="H3" s="365"/>
      <c r="I3" s="365"/>
      <c r="J3" s="365"/>
    </row>
    <row r="4" spans="1:20" ht="15" thickBot="1" x14ac:dyDescent="0.35"/>
    <row r="5" spans="1:20" s="110" customFormat="1" ht="16.2" thickBot="1" x14ac:dyDescent="0.35">
      <c r="A5" s="113"/>
      <c r="B5" s="114"/>
      <c r="C5" s="114"/>
      <c r="D5" s="495"/>
      <c r="E5" s="565" t="s">
        <v>364</v>
      </c>
      <c r="F5" s="566"/>
      <c r="G5" s="565" t="s">
        <v>59</v>
      </c>
      <c r="H5" s="566"/>
      <c r="I5" s="565" t="s">
        <v>60</v>
      </c>
      <c r="J5" s="566"/>
      <c r="K5" s="573" t="s">
        <v>15</v>
      </c>
      <c r="L5" s="574"/>
      <c r="M5" s="109"/>
      <c r="N5" s="109"/>
      <c r="O5" s="109"/>
      <c r="P5" s="109"/>
      <c r="Q5" s="109"/>
      <c r="R5" s="109"/>
      <c r="S5" s="109"/>
      <c r="T5" s="109"/>
    </row>
    <row r="6" spans="1:20" s="53" customFormat="1" ht="61.5" customHeight="1" thickBot="1" x14ac:dyDescent="0.35">
      <c r="A6" s="61" t="s">
        <v>198</v>
      </c>
      <c r="B6" s="120"/>
      <c r="C6" s="121"/>
      <c r="D6" s="120"/>
      <c r="E6" s="569" t="s">
        <v>320</v>
      </c>
      <c r="F6" s="570"/>
      <c r="G6" s="571" t="s">
        <v>362</v>
      </c>
      <c r="H6" s="572"/>
      <c r="I6" s="571" t="s">
        <v>362</v>
      </c>
      <c r="J6" s="572"/>
      <c r="K6" s="51"/>
      <c r="L6" s="52"/>
      <c r="M6" s="52"/>
      <c r="N6" s="52"/>
      <c r="O6" s="52"/>
      <c r="P6" s="52"/>
      <c r="Q6" s="52"/>
      <c r="R6" s="52"/>
      <c r="S6" s="52"/>
      <c r="T6" s="52"/>
    </row>
    <row r="7" spans="1:20" s="110" customFormat="1" ht="16.2" thickBot="1" x14ac:dyDescent="0.35">
      <c r="A7" s="113" t="s">
        <v>172</v>
      </c>
      <c r="B7" s="114" t="s">
        <v>18</v>
      </c>
      <c r="C7" s="114" t="s">
        <v>14</v>
      </c>
      <c r="D7" s="115">
        <v>2019</v>
      </c>
      <c r="E7" s="115">
        <v>2030</v>
      </c>
      <c r="F7" s="116">
        <v>2045</v>
      </c>
      <c r="G7" s="115">
        <v>2030</v>
      </c>
      <c r="H7" s="116">
        <v>2045</v>
      </c>
      <c r="I7" s="115">
        <v>2030</v>
      </c>
      <c r="J7" s="116">
        <v>2045</v>
      </c>
      <c r="K7" s="573" t="s">
        <v>15</v>
      </c>
      <c r="L7" s="574"/>
      <c r="M7" s="109"/>
      <c r="N7" s="109"/>
      <c r="O7" s="109"/>
      <c r="P7" s="109"/>
      <c r="Q7" s="109"/>
      <c r="R7" s="109"/>
      <c r="S7" s="109"/>
      <c r="T7" s="109"/>
    </row>
    <row r="8" spans="1:20" s="110" customFormat="1" ht="16.2" thickBot="1" x14ac:dyDescent="0.35">
      <c r="A8" s="113" t="s">
        <v>26</v>
      </c>
      <c r="B8" s="114" t="s">
        <v>18</v>
      </c>
      <c r="C8" s="114" t="s">
        <v>14</v>
      </c>
      <c r="D8" s="115">
        <v>2019</v>
      </c>
      <c r="E8" s="115">
        <v>2030</v>
      </c>
      <c r="F8" s="116">
        <v>2040</v>
      </c>
      <c r="G8" s="115">
        <v>2030</v>
      </c>
      <c r="H8" s="116">
        <v>2045</v>
      </c>
      <c r="I8" s="115">
        <v>2030</v>
      </c>
      <c r="J8" s="116">
        <v>2045</v>
      </c>
      <c r="K8" s="573" t="s">
        <v>15</v>
      </c>
      <c r="L8" s="574"/>
      <c r="M8" s="109"/>
      <c r="N8" s="109"/>
      <c r="O8" s="109"/>
      <c r="P8" s="109"/>
      <c r="Q8" s="109"/>
      <c r="R8" s="109"/>
      <c r="S8" s="109"/>
      <c r="T8" s="109"/>
    </row>
    <row r="9" spans="1:20" x14ac:dyDescent="0.3">
      <c r="A9" s="567" t="s">
        <v>1</v>
      </c>
      <c r="B9" s="88" t="s">
        <v>11</v>
      </c>
      <c r="C9" s="88" t="s">
        <v>10</v>
      </c>
      <c r="D9" s="33">
        <v>4.7E-2</v>
      </c>
      <c r="E9" s="537">
        <v>0.05</v>
      </c>
      <c r="F9" s="34">
        <v>7.0000000000000007E-2</v>
      </c>
      <c r="G9" s="94">
        <v>0.05</v>
      </c>
      <c r="H9" s="95">
        <v>7.0000000000000007E-2</v>
      </c>
      <c r="I9" s="94">
        <v>0.05</v>
      </c>
      <c r="J9" s="95">
        <v>7.0000000000000007E-2</v>
      </c>
      <c r="K9" s="28" t="s">
        <v>344</v>
      </c>
    </row>
    <row r="10" spans="1:20" x14ac:dyDescent="0.3">
      <c r="A10" s="568"/>
      <c r="B10" s="31" t="s">
        <v>12</v>
      </c>
      <c r="C10" s="31" t="s">
        <v>10</v>
      </c>
      <c r="D10" s="36">
        <v>4.0000000000000001E-3</v>
      </c>
      <c r="E10" s="538">
        <v>2.9000000000000001E-2</v>
      </c>
      <c r="F10" s="37">
        <v>0.93</v>
      </c>
      <c r="G10" s="96">
        <v>2.9000000000000001E-2</v>
      </c>
      <c r="H10" s="97">
        <v>0.93</v>
      </c>
      <c r="I10" s="96">
        <v>2.9000000000000001E-2</v>
      </c>
      <c r="J10" s="97">
        <v>0.93</v>
      </c>
      <c r="K10" s="28" t="s">
        <v>344</v>
      </c>
    </row>
    <row r="11" spans="1:20" x14ac:dyDescent="0.3">
      <c r="A11" s="568"/>
      <c r="B11" s="31" t="s">
        <v>13</v>
      </c>
      <c r="C11" s="31" t="s">
        <v>10</v>
      </c>
      <c r="D11" s="36">
        <v>5.7000000000000002E-2</v>
      </c>
      <c r="E11" s="538">
        <v>0.05</v>
      </c>
      <c r="F11" s="37">
        <v>0.09</v>
      </c>
      <c r="G11" s="96">
        <v>0.05</v>
      </c>
      <c r="H11" s="97">
        <v>0.09</v>
      </c>
      <c r="I11" s="96">
        <v>0.05</v>
      </c>
      <c r="J11" s="97">
        <v>0.09</v>
      </c>
      <c r="K11" s="28" t="s">
        <v>344</v>
      </c>
    </row>
    <row r="12" spans="1:20" ht="15" thickBot="1" x14ac:dyDescent="0.35">
      <c r="A12" s="568"/>
      <c r="B12" s="31" t="s">
        <v>37</v>
      </c>
      <c r="C12" s="31" t="s">
        <v>10</v>
      </c>
      <c r="D12" s="54">
        <v>0.17399999999999999</v>
      </c>
      <c r="E12" s="539">
        <v>8.5999999999999993E-2</v>
      </c>
      <c r="F12" s="55">
        <v>0.91</v>
      </c>
      <c r="G12" s="98">
        <v>8.5999999999999993E-2</v>
      </c>
      <c r="H12" s="99">
        <v>0.91</v>
      </c>
      <c r="I12" s="98">
        <v>8.5999999999999993E-2</v>
      </c>
      <c r="J12" s="99">
        <v>0.91</v>
      </c>
      <c r="K12" s="28" t="s">
        <v>344</v>
      </c>
    </row>
    <row r="13" spans="1:20" x14ac:dyDescent="0.3">
      <c r="A13" s="567" t="s">
        <v>41</v>
      </c>
      <c r="B13" s="88" t="s">
        <v>8</v>
      </c>
      <c r="C13" s="88" t="s">
        <v>42</v>
      </c>
      <c r="D13" s="33">
        <v>0</v>
      </c>
      <c r="E13" s="33">
        <v>0</v>
      </c>
      <c r="F13" s="34">
        <v>0</v>
      </c>
      <c r="G13" s="94">
        <v>0</v>
      </c>
      <c r="H13" s="95">
        <v>0</v>
      </c>
      <c r="I13" s="94">
        <v>0</v>
      </c>
      <c r="J13" s="95">
        <v>0</v>
      </c>
      <c r="K13" s="28" t="s">
        <v>301</v>
      </c>
    </row>
    <row r="14" spans="1:20" ht="15" thickBot="1" x14ac:dyDescent="0.35">
      <c r="A14" s="575"/>
      <c r="B14" s="89" t="s">
        <v>9</v>
      </c>
      <c r="C14" s="89" t="s">
        <v>43</v>
      </c>
      <c r="D14" s="39">
        <v>0</v>
      </c>
      <c r="E14" s="39">
        <v>0</v>
      </c>
      <c r="F14" s="40">
        <v>0</v>
      </c>
      <c r="G14" s="100">
        <v>0</v>
      </c>
      <c r="H14" s="101">
        <v>0</v>
      </c>
      <c r="I14" s="100">
        <v>0</v>
      </c>
      <c r="J14" s="101">
        <v>0</v>
      </c>
      <c r="K14" s="28" t="s">
        <v>301</v>
      </c>
    </row>
    <row r="15" spans="1:20" x14ac:dyDescent="0.3">
      <c r="A15" s="567" t="s">
        <v>21</v>
      </c>
      <c r="B15" s="88" t="s">
        <v>178</v>
      </c>
      <c r="C15" s="88" t="s">
        <v>24</v>
      </c>
      <c r="D15" s="42">
        <v>0</v>
      </c>
      <c r="E15" s="42">
        <v>0</v>
      </c>
      <c r="F15" s="43">
        <v>0</v>
      </c>
      <c r="G15" s="102">
        <v>0</v>
      </c>
      <c r="H15" s="103">
        <v>0</v>
      </c>
      <c r="I15" s="102">
        <v>0</v>
      </c>
      <c r="J15" s="103">
        <v>0</v>
      </c>
      <c r="K15" s="28" t="s">
        <v>382</v>
      </c>
    </row>
    <row r="16" spans="1:20" ht="15" thickBot="1" x14ac:dyDescent="0.35">
      <c r="A16" s="575"/>
      <c r="B16" s="89" t="s">
        <v>311</v>
      </c>
      <c r="C16" s="89" t="s">
        <v>24</v>
      </c>
      <c r="D16" s="46">
        <v>0</v>
      </c>
      <c r="E16" s="46">
        <v>0</v>
      </c>
      <c r="F16" s="47">
        <v>0</v>
      </c>
      <c r="G16" s="104">
        <v>0</v>
      </c>
      <c r="H16" s="105">
        <v>0</v>
      </c>
      <c r="I16" s="104">
        <v>0</v>
      </c>
      <c r="J16" s="105">
        <v>0</v>
      </c>
      <c r="K16" s="28" t="s">
        <v>382</v>
      </c>
    </row>
    <row r="17" spans="1:20" ht="15" thickBot="1" x14ac:dyDescent="0.35">
      <c r="A17" s="122" t="s">
        <v>52</v>
      </c>
      <c r="B17" s="90" t="s">
        <v>359</v>
      </c>
      <c r="C17" s="90" t="s">
        <v>67</v>
      </c>
      <c r="D17" s="56" t="s">
        <v>56</v>
      </c>
      <c r="E17" s="56" t="s">
        <v>56</v>
      </c>
      <c r="F17" s="57" t="s">
        <v>56</v>
      </c>
      <c r="G17" s="106" t="s">
        <v>321</v>
      </c>
      <c r="H17" s="107" t="s">
        <v>321</v>
      </c>
      <c r="I17" s="106" t="s">
        <v>321</v>
      </c>
      <c r="J17" s="107" t="s">
        <v>321</v>
      </c>
      <c r="K17" s="354" t="s">
        <v>315</v>
      </c>
    </row>
    <row r="18" spans="1:20" s="110" customFormat="1" ht="16.2" thickBot="1" x14ac:dyDescent="0.35">
      <c r="A18" s="113" t="s">
        <v>54</v>
      </c>
      <c r="B18" s="114" t="s">
        <v>18</v>
      </c>
      <c r="C18" s="114" t="s">
        <v>14</v>
      </c>
      <c r="D18" s="115">
        <v>2019</v>
      </c>
      <c r="E18" s="115">
        <v>2030</v>
      </c>
      <c r="F18" s="116">
        <v>2045</v>
      </c>
      <c r="G18" s="115">
        <v>2030</v>
      </c>
      <c r="H18" s="116">
        <v>2045</v>
      </c>
      <c r="I18" s="115">
        <v>2030</v>
      </c>
      <c r="J18" s="116">
        <v>2045</v>
      </c>
      <c r="K18" s="573" t="s">
        <v>15</v>
      </c>
      <c r="L18" s="574"/>
      <c r="M18" s="109"/>
      <c r="N18" s="109"/>
      <c r="O18" s="109"/>
      <c r="P18" s="109"/>
      <c r="Q18" s="109"/>
      <c r="R18" s="109"/>
      <c r="S18" s="109"/>
      <c r="T18" s="109"/>
    </row>
    <row r="19" spans="1:20" x14ac:dyDescent="0.3">
      <c r="A19" s="567" t="s">
        <v>22</v>
      </c>
      <c r="B19" s="88" t="s">
        <v>178</v>
      </c>
      <c r="C19" s="123" t="s">
        <v>25</v>
      </c>
      <c r="D19" s="35">
        <v>0</v>
      </c>
      <c r="E19" s="35">
        <v>0</v>
      </c>
      <c r="F19" s="74">
        <v>0</v>
      </c>
      <c r="G19" s="94">
        <v>0</v>
      </c>
      <c r="H19" s="95">
        <v>0</v>
      </c>
      <c r="I19" s="94">
        <v>0</v>
      </c>
      <c r="J19" s="95">
        <v>0</v>
      </c>
      <c r="K19" s="64" t="s">
        <v>247</v>
      </c>
    </row>
    <row r="20" spans="1:20" ht="15" thickBot="1" x14ac:dyDescent="0.35">
      <c r="A20" s="575"/>
      <c r="B20" s="89" t="s">
        <v>311</v>
      </c>
      <c r="C20" s="124" t="s">
        <v>25</v>
      </c>
      <c r="D20" s="41">
        <v>0</v>
      </c>
      <c r="E20" s="41">
        <v>0</v>
      </c>
      <c r="F20" s="75">
        <v>0</v>
      </c>
      <c r="G20" s="100">
        <v>0</v>
      </c>
      <c r="H20" s="101">
        <v>0</v>
      </c>
      <c r="I20" s="100">
        <v>0</v>
      </c>
      <c r="J20" s="101">
        <v>0</v>
      </c>
      <c r="K20" s="64" t="s">
        <v>247</v>
      </c>
    </row>
    <row r="21" spans="1:20" x14ac:dyDescent="0.3">
      <c r="A21" s="568" t="s">
        <v>23</v>
      </c>
      <c r="B21" s="88" t="s">
        <v>178</v>
      </c>
      <c r="C21" s="125" t="s">
        <v>25</v>
      </c>
      <c r="D21" s="76">
        <v>0</v>
      </c>
      <c r="E21" s="76">
        <v>0</v>
      </c>
      <c r="F21" s="77">
        <v>0</v>
      </c>
      <c r="G21" s="111">
        <v>0</v>
      </c>
      <c r="H21" s="112">
        <v>0</v>
      </c>
      <c r="I21" s="94">
        <v>0</v>
      </c>
      <c r="J21" s="95">
        <v>0</v>
      </c>
      <c r="K21" s="64" t="s">
        <v>246</v>
      </c>
    </row>
    <row r="22" spans="1:20" ht="15" thickBot="1" x14ac:dyDescent="0.35">
      <c r="A22" s="575"/>
      <c r="B22" s="89" t="s">
        <v>311</v>
      </c>
      <c r="C22" s="126" t="s">
        <v>25</v>
      </c>
      <c r="D22" s="41">
        <v>0</v>
      </c>
      <c r="E22" s="41">
        <v>0</v>
      </c>
      <c r="F22" s="75">
        <v>0</v>
      </c>
      <c r="G22" s="100">
        <v>0</v>
      </c>
      <c r="H22" s="101">
        <v>0</v>
      </c>
      <c r="I22" s="100">
        <v>0</v>
      </c>
      <c r="J22" s="101">
        <v>0</v>
      </c>
      <c r="K22" s="64" t="s">
        <v>246</v>
      </c>
    </row>
    <row r="23" spans="1:20" ht="15" thickBot="1" x14ac:dyDescent="0.35">
      <c r="A23" s="322" t="s">
        <v>290</v>
      </c>
      <c r="B23" s="89" t="s">
        <v>291</v>
      </c>
      <c r="C23" s="89" t="s">
        <v>300</v>
      </c>
      <c r="D23" s="56" t="s">
        <v>320</v>
      </c>
      <c r="E23" s="56" t="s">
        <v>320</v>
      </c>
      <c r="F23" s="57" t="s">
        <v>320</v>
      </c>
      <c r="G23" s="106" t="s">
        <v>319</v>
      </c>
      <c r="H23" s="107" t="s">
        <v>319</v>
      </c>
      <c r="I23" s="106" t="s">
        <v>319</v>
      </c>
      <c r="J23" s="107" t="s">
        <v>319</v>
      </c>
      <c r="K23" s="354" t="s">
        <v>316</v>
      </c>
    </row>
    <row r="24" spans="1:20" s="110" customFormat="1" ht="16.2" thickBot="1" x14ac:dyDescent="0.35">
      <c r="A24" s="113" t="s">
        <v>104</v>
      </c>
      <c r="B24" s="114" t="s">
        <v>18</v>
      </c>
      <c r="C24" s="114" t="s">
        <v>14</v>
      </c>
      <c r="D24" s="115">
        <v>2019</v>
      </c>
      <c r="E24" s="115">
        <v>2030</v>
      </c>
      <c r="F24" s="116">
        <v>2045</v>
      </c>
      <c r="G24" s="115">
        <v>2030</v>
      </c>
      <c r="H24" s="116">
        <v>2045</v>
      </c>
      <c r="I24" s="115">
        <v>2030</v>
      </c>
      <c r="J24" s="116">
        <v>2045</v>
      </c>
      <c r="K24" s="573" t="s">
        <v>15</v>
      </c>
      <c r="L24" s="574"/>
      <c r="M24" s="109"/>
      <c r="N24" s="109"/>
      <c r="O24" s="109"/>
      <c r="P24" s="109"/>
      <c r="Q24" s="109"/>
      <c r="R24" s="109"/>
      <c r="S24" s="109"/>
      <c r="T24" s="109"/>
    </row>
    <row r="25" spans="1:20" ht="14.4" customHeight="1" x14ac:dyDescent="0.3">
      <c r="A25" s="567" t="s">
        <v>143</v>
      </c>
      <c r="B25" s="88" t="s">
        <v>8</v>
      </c>
      <c r="C25" s="88" t="s">
        <v>19</v>
      </c>
      <c r="D25" s="33">
        <f>IF(D$17='Indata - Fordon och Trafik'!$A$3,'Indata - Fordon och Trafik'!B7,'Indata - Fordon och Trafik'!B7)</f>
        <v>0.46602019730981081</v>
      </c>
      <c r="E25" s="33">
        <f>IF(E$17='Indata - Fordon och Trafik'!$A$3,'Indata - Fordon och Trafik'!C7,'Indata - Fordon och Trafik'!H7)</f>
        <v>0.24248775393277419</v>
      </c>
      <c r="F25" s="34">
        <f>IF(F$17='Indata - Fordon och Trafik'!$A$3,'Indata - Fordon och Trafik'!D7,'Indata - Fordon och Trafik'!I7)</f>
        <v>3.4316374444473184E-2</v>
      </c>
      <c r="G25" s="33">
        <f>IF(G$17='Indata - Fordon och Trafik'!$A$3,'Indata - Fordon och Trafik'!C7,'Indata - Fordon och Trafik'!H7)</f>
        <v>0.24248775393277419</v>
      </c>
      <c r="H25" s="34">
        <f>IF(H$17='Indata - Fordon och Trafik'!$A$3,'Indata - Fordon och Trafik'!D7,'Indata - Fordon och Trafik'!I7)</f>
        <v>3.4316374444473184E-2</v>
      </c>
      <c r="I25" s="35">
        <f>IF(I$17='Indata - Fordon och Trafik'!$A$3,'Indata - Fordon och Trafik'!C7,'Indata - Fordon och Trafik'!H7)</f>
        <v>0.24248775393277419</v>
      </c>
      <c r="J25" s="34">
        <f>IF(J$17='Indata - Fordon och Trafik'!$A$3,'Indata - Fordon och Trafik'!D7,'Indata - Fordon och Trafik'!I7)</f>
        <v>3.4316374444473184E-2</v>
      </c>
      <c r="K25" s="28" t="s">
        <v>375</v>
      </c>
      <c r="L25" s="14"/>
      <c r="M25" s="14"/>
      <c r="N25" s="14"/>
      <c r="O25" s="14"/>
      <c r="P25" s="14"/>
      <c r="Q25" s="14"/>
      <c r="R25" s="14"/>
      <c r="S25" s="14"/>
      <c r="T25" s="14"/>
    </row>
    <row r="26" spans="1:20" x14ac:dyDescent="0.3">
      <c r="A26" s="568"/>
      <c r="B26" s="31" t="s">
        <v>9</v>
      </c>
      <c r="C26" s="31" t="s">
        <v>19</v>
      </c>
      <c r="D26" s="36">
        <f>IF(D$17='Indata - Fordon och Trafik'!$A$3,'Indata - Fordon och Trafik'!B8,'Indata - Fordon och Trafik'!B8)</f>
        <v>0.52061211025321885</v>
      </c>
      <c r="E26" s="36">
        <f>IF(E$17='Indata - Fordon och Trafik'!$A$3,'Indata - Fordon och Trafik'!C8,'Indata - Fordon och Trafik'!H8)</f>
        <v>0.2974234300294572</v>
      </c>
      <c r="F26" s="37">
        <f>IF(F$17='Indata - Fordon och Trafik'!$A$3,'Indata - Fordon och Trafik'!D8,'Indata - Fordon och Trafik'!I8)</f>
        <v>2.3768110670359732E-2</v>
      </c>
      <c r="G26" s="36">
        <f>IF(G$17='Indata - Fordon och Trafik'!$A$3,'Indata - Fordon och Trafik'!C8,'Indata - Fordon och Trafik'!H8)</f>
        <v>0.2974234300294572</v>
      </c>
      <c r="H26" s="37">
        <f>IF(H$17='Indata - Fordon och Trafik'!$A$3,'Indata - Fordon och Trafik'!D8,'Indata - Fordon och Trafik'!I8)</f>
        <v>2.3768110670359732E-2</v>
      </c>
      <c r="I26" s="38">
        <f>IF(I$17='Indata - Fordon och Trafik'!$A$3,'Indata - Fordon och Trafik'!C8,'Indata - Fordon och Trafik'!H8)</f>
        <v>0.2974234300294572</v>
      </c>
      <c r="J26" s="37">
        <f>IF(J$17='Indata - Fordon och Trafik'!$A$3,'Indata - Fordon och Trafik'!D8,'Indata - Fordon och Trafik'!I8)</f>
        <v>2.3768110670359732E-2</v>
      </c>
      <c r="K26" s="28" t="s">
        <v>375</v>
      </c>
      <c r="L26" s="14"/>
      <c r="M26" s="14"/>
      <c r="N26" s="14"/>
      <c r="O26" s="14"/>
      <c r="P26" s="14"/>
      <c r="Q26" s="14"/>
      <c r="R26" s="14"/>
      <c r="S26" s="14"/>
      <c r="T26" s="14"/>
    </row>
    <row r="27" spans="1:20" ht="15" thickBot="1" x14ac:dyDescent="0.35">
      <c r="A27" s="575"/>
      <c r="B27" s="89" t="s">
        <v>7</v>
      </c>
      <c r="C27" s="89" t="s">
        <v>19</v>
      </c>
      <c r="D27" s="39">
        <f>IF(D$17='Indata - Fordon och Trafik'!$A$3,'Indata - Fordon och Trafik'!B9,'Indata - Fordon och Trafik'!B9)</f>
        <v>1.3367692436970393E-2</v>
      </c>
      <c r="E27" s="39">
        <f>IF(E$17='Indata - Fordon och Trafik'!$A$3,'Indata - Fordon och Trafik'!C9,'Indata - Fordon och Trafik'!H9)</f>
        <v>0.46008881603776874</v>
      </c>
      <c r="F27" s="40">
        <f>IF(F$17='Indata - Fordon och Trafik'!$A$3,'Indata - Fordon och Trafik'!D9,'Indata - Fordon och Trafik'!I9)</f>
        <v>0.941915514885167</v>
      </c>
      <c r="G27" s="39">
        <f>IF(G$17='Indata - Fordon och Trafik'!$A$3,'Indata - Fordon och Trafik'!C9,'Indata - Fordon och Trafik'!H9)</f>
        <v>0.46008881603776874</v>
      </c>
      <c r="H27" s="40">
        <f>IF(H$17='Indata - Fordon och Trafik'!$A$3,'Indata - Fordon och Trafik'!D9,'Indata - Fordon och Trafik'!I9)</f>
        <v>0.941915514885167</v>
      </c>
      <c r="I27" s="41">
        <f>IF(I$17='Indata - Fordon och Trafik'!$A$3,'Indata - Fordon och Trafik'!C9,'Indata - Fordon och Trafik'!H9)</f>
        <v>0.46008881603776874</v>
      </c>
      <c r="J27" s="40">
        <f>IF(J$17='Indata - Fordon och Trafik'!$A$3,'Indata - Fordon och Trafik'!D9,'Indata - Fordon och Trafik'!I9)</f>
        <v>0.941915514885167</v>
      </c>
      <c r="K27" s="28" t="s">
        <v>375</v>
      </c>
      <c r="L27" s="14"/>
      <c r="M27" s="14"/>
      <c r="N27" s="14"/>
      <c r="O27" s="14"/>
      <c r="P27" s="14"/>
      <c r="Q27" s="14"/>
      <c r="R27" s="14"/>
      <c r="S27" s="14"/>
      <c r="T27" s="14"/>
    </row>
    <row r="28" spans="1:20" ht="15" thickBot="1" x14ac:dyDescent="0.35">
      <c r="A28" s="127" t="s">
        <v>356</v>
      </c>
      <c r="B28" s="31" t="s">
        <v>7</v>
      </c>
      <c r="C28" s="31" t="s">
        <v>19</v>
      </c>
      <c r="D28" s="58">
        <f>D27</f>
        <v>1.3367692436970393E-2</v>
      </c>
      <c r="E28" s="58">
        <f t="shared" ref="E28:J28" si="0">E27</f>
        <v>0.46008881603776874</v>
      </c>
      <c r="F28" s="59">
        <f t="shared" si="0"/>
        <v>0.941915514885167</v>
      </c>
      <c r="G28" s="58">
        <f>G27</f>
        <v>0.46008881603776874</v>
      </c>
      <c r="H28" s="59">
        <f>H27</f>
        <v>0.941915514885167</v>
      </c>
      <c r="I28" s="469">
        <f t="shared" si="0"/>
        <v>0.46008881603776874</v>
      </c>
      <c r="J28" s="470">
        <f t="shared" si="0"/>
        <v>0.941915514885167</v>
      </c>
      <c r="K28" s="28" t="s">
        <v>199</v>
      </c>
      <c r="L28" s="14"/>
      <c r="M28" s="14"/>
      <c r="N28" s="14"/>
      <c r="O28" s="14"/>
      <c r="P28" s="14"/>
      <c r="Q28" s="14"/>
      <c r="R28" s="14"/>
      <c r="S28" s="14"/>
      <c r="T28" s="14"/>
    </row>
    <row r="29" spans="1:20" ht="14.4" customHeight="1" x14ac:dyDescent="0.3">
      <c r="A29" s="567" t="s">
        <v>38</v>
      </c>
      <c r="B29" s="88" t="s">
        <v>8</v>
      </c>
      <c r="C29" s="88" t="s">
        <v>39</v>
      </c>
      <c r="D29" s="42">
        <f>'Indata - Fordon och Trafik'!B16</f>
        <v>0.79051893345227997</v>
      </c>
      <c r="E29" s="42">
        <f>IF(E$17='Indata - Fordon och Trafik'!$A$3,'Indata - Fordon och Trafik'!$C16,'Indata - Fordon och Trafik'!$H16)</f>
        <v>0.54362786502111604</v>
      </c>
      <c r="F29" s="43">
        <f>IF(F$17='Indata - Fordon och Trafik'!$A$3,'Indata - Fordon och Trafik'!$D16,'Indata - Fordon och Trafik'!$I16)</f>
        <v>0.59493869654716436</v>
      </c>
      <c r="G29" s="42">
        <f t="shared" ref="G29:H34" si="1">E29</f>
        <v>0.54362786502111604</v>
      </c>
      <c r="H29" s="43">
        <f t="shared" si="1"/>
        <v>0.59493869654716436</v>
      </c>
      <c r="I29" s="42">
        <f t="shared" ref="I29:J34" si="2">E29</f>
        <v>0.54362786502111604</v>
      </c>
      <c r="J29" s="43">
        <f t="shared" si="2"/>
        <v>0.59493869654716436</v>
      </c>
      <c r="K29" s="28" t="s">
        <v>57</v>
      </c>
      <c r="L29" s="14"/>
      <c r="M29" s="14"/>
      <c r="N29" s="14"/>
      <c r="O29" s="14"/>
      <c r="P29" s="14"/>
      <c r="Q29" s="14"/>
      <c r="R29" s="14"/>
      <c r="S29" s="14"/>
      <c r="T29" s="14"/>
    </row>
    <row r="30" spans="1:20" x14ac:dyDescent="0.3">
      <c r="A30" s="568"/>
      <c r="B30" s="31" t="s">
        <v>9</v>
      </c>
      <c r="C30" s="31" t="s">
        <v>39</v>
      </c>
      <c r="D30" s="44">
        <f>'Indata - Fordon och Trafik'!B17</f>
        <v>0.76531647909214717</v>
      </c>
      <c r="E30" s="44">
        <f>IF(E$17='Indata - Fordon och Trafik'!$A$3,'Indata - Fordon och Trafik'!$C17,'Indata - Fordon och Trafik'!$H17)</f>
        <v>0.71409907323874344</v>
      </c>
      <c r="F30" s="45">
        <f>IF(F$17='Indata - Fordon och Trafik'!$A$3,'Indata - Fordon och Trafik'!$D17,'Indata - Fordon och Trafik'!$I17)</f>
        <v>0.73856511182227358</v>
      </c>
      <c r="G30" s="44">
        <f t="shared" si="1"/>
        <v>0.71409907323874344</v>
      </c>
      <c r="H30" s="45">
        <f t="shared" si="1"/>
        <v>0.73856511182227358</v>
      </c>
      <c r="I30" s="44">
        <f t="shared" si="2"/>
        <v>0.71409907323874344</v>
      </c>
      <c r="J30" s="45">
        <f t="shared" si="2"/>
        <v>0.73856511182227358</v>
      </c>
      <c r="K30" s="28" t="s">
        <v>57</v>
      </c>
      <c r="L30" s="14"/>
      <c r="M30" s="14"/>
      <c r="N30" s="14"/>
      <c r="O30" s="14"/>
      <c r="P30" s="14"/>
      <c r="Q30" s="14"/>
      <c r="R30" s="14"/>
      <c r="S30" s="14"/>
      <c r="T30" s="14"/>
    </row>
    <row r="31" spans="1:20" ht="15" thickBot="1" x14ac:dyDescent="0.35">
      <c r="A31" s="575"/>
      <c r="B31" s="89" t="s">
        <v>7</v>
      </c>
      <c r="C31" s="89" t="s">
        <v>40</v>
      </c>
      <c r="D31" s="46">
        <f>'Indata - Fordon och Trafik'!B18</f>
        <v>2.3296211541132998</v>
      </c>
      <c r="E31" s="46">
        <f>IF(E$17='Indata - Fordon och Trafik'!$A$3,'Indata - Fordon och Trafik'!$C18,'Indata - Fordon och Trafik'!$H18)</f>
        <v>2.3690591161723722</v>
      </c>
      <c r="F31" s="47">
        <f>IF(F$17='Indata - Fordon och Trafik'!$A$3,'Indata - Fordon och Trafik'!$D18,'Indata - Fordon och Trafik'!$I18)</f>
        <v>2.3690591161723722</v>
      </c>
      <c r="G31" s="46">
        <f t="shared" si="1"/>
        <v>2.3690591161723722</v>
      </c>
      <c r="H31" s="47">
        <f t="shared" si="1"/>
        <v>2.3690591161723722</v>
      </c>
      <c r="I31" s="46">
        <f t="shared" si="2"/>
        <v>2.3690591161723722</v>
      </c>
      <c r="J31" s="47">
        <f t="shared" si="2"/>
        <v>2.3690591161723722</v>
      </c>
      <c r="K31" s="28" t="s">
        <v>57</v>
      </c>
      <c r="L31" s="14"/>
      <c r="M31" s="14"/>
      <c r="N31" s="14"/>
      <c r="O31" s="14"/>
      <c r="P31" s="14"/>
      <c r="Q31" s="14"/>
      <c r="R31" s="14"/>
      <c r="S31" s="14"/>
      <c r="T31" s="14"/>
    </row>
    <row r="32" spans="1:20" s="28" customFormat="1" ht="15" customHeight="1" x14ac:dyDescent="0.2">
      <c r="A32" s="576" t="s">
        <v>0</v>
      </c>
      <c r="B32" s="88" t="s">
        <v>8</v>
      </c>
      <c r="C32" s="88" t="s">
        <v>200</v>
      </c>
      <c r="D32" s="477">
        <f>'Modell - Drivmedelpriser'!B23</f>
        <v>15.796425000000001</v>
      </c>
      <c r="E32" s="477">
        <f>'Modell - Drivmedelpriser'!C23</f>
        <v>17.822176923076924</v>
      </c>
      <c r="F32" s="478">
        <f>'Modell - Drivmedelpriser'!D23</f>
        <v>33.912125000000003</v>
      </c>
      <c r="G32" s="477">
        <f t="shared" si="1"/>
        <v>17.822176923076924</v>
      </c>
      <c r="H32" s="478">
        <f t="shared" si="1"/>
        <v>33.912125000000003</v>
      </c>
      <c r="I32" s="477">
        <f t="shared" si="2"/>
        <v>17.822176923076924</v>
      </c>
      <c r="J32" s="478">
        <f t="shared" si="2"/>
        <v>33.912125000000003</v>
      </c>
      <c r="K32" s="28" t="s">
        <v>377</v>
      </c>
    </row>
    <row r="33" spans="1:20" s="28" customFormat="1" ht="15" customHeight="1" x14ac:dyDescent="0.2">
      <c r="A33" s="581"/>
      <c r="B33" s="31" t="s">
        <v>9</v>
      </c>
      <c r="C33" s="31" t="s">
        <v>200</v>
      </c>
      <c r="D33" s="479">
        <f>'Modell - Drivmedelpriser'!B42</f>
        <v>16.082862499999997</v>
      </c>
      <c r="E33" s="479">
        <f>'Modell - Drivmedelpriser'!C42</f>
        <v>16.764467307692307</v>
      </c>
      <c r="F33" s="480">
        <f>'Modell - Drivmedelpriser'!D42</f>
        <v>31.862500000000004</v>
      </c>
      <c r="G33" s="479">
        <f t="shared" si="1"/>
        <v>16.764467307692307</v>
      </c>
      <c r="H33" s="480">
        <f t="shared" si="1"/>
        <v>31.862500000000004</v>
      </c>
      <c r="I33" s="479">
        <f t="shared" si="2"/>
        <v>16.764467307692307</v>
      </c>
      <c r="J33" s="480">
        <f t="shared" si="2"/>
        <v>31.862500000000004</v>
      </c>
      <c r="K33" s="28" t="s">
        <v>377</v>
      </c>
    </row>
    <row r="34" spans="1:20" s="28" customFormat="1" ht="15" customHeight="1" x14ac:dyDescent="0.2">
      <c r="A34" s="581"/>
      <c r="B34" s="31" t="s">
        <v>7</v>
      </c>
      <c r="C34" s="31" t="s">
        <v>177</v>
      </c>
      <c r="D34" s="479">
        <f>'Modell - Drivmedelpriser'!B74</f>
        <v>1.4000000000000001</v>
      </c>
      <c r="E34" s="479">
        <f>'Modell - Drivmedelpriser'!C74</f>
        <v>1.5850961538461539</v>
      </c>
      <c r="F34" s="480">
        <f>'Modell - Drivmedelpriser'!D74</f>
        <v>1.8375000000000004</v>
      </c>
      <c r="G34" s="479">
        <f t="shared" si="1"/>
        <v>1.5850961538461539</v>
      </c>
      <c r="H34" s="480">
        <f t="shared" si="1"/>
        <v>1.8375000000000004</v>
      </c>
      <c r="I34" s="479">
        <f t="shared" si="2"/>
        <v>1.5850961538461539</v>
      </c>
      <c r="J34" s="480">
        <f t="shared" si="2"/>
        <v>1.8375000000000004</v>
      </c>
      <c r="K34" s="28" t="s">
        <v>377</v>
      </c>
    </row>
    <row r="35" spans="1:20" s="28" customFormat="1" ht="15" customHeight="1" thickBot="1" x14ac:dyDescent="0.25">
      <c r="A35" s="577"/>
      <c r="B35" s="89" t="s">
        <v>20</v>
      </c>
      <c r="C35" s="89" t="s">
        <v>200</v>
      </c>
      <c r="D35" s="317">
        <f>SUMPRODUCT(D32:D33,Indata!D25:D26)/SUM(Indata!D25:D26)</f>
        <v>15.94756826805189</v>
      </c>
      <c r="E35" s="317">
        <f>SUMPRODUCT(E32:E33,Indata!E25:E26)/SUM(Indata!E25:E26)</f>
        <v>17.239511419698804</v>
      </c>
      <c r="F35" s="318">
        <f>SUMPRODUCT(F32:F33,Indata!F25:F26)/SUM(Indata!F25:F26)</f>
        <v>33.073420589753013</v>
      </c>
      <c r="G35" s="317">
        <f>SUMPRODUCT(G32:G33,G25:G26)/SUM(Indata!G25:G26)</f>
        <v>17.239511419698804</v>
      </c>
      <c r="H35" s="318">
        <f>SUMPRODUCT(H32:H33,Indata!H25:H26)/SUM(Indata!H25:H26)</f>
        <v>33.073420589753013</v>
      </c>
      <c r="I35" s="317">
        <f>SUMPRODUCT(I32:I33,Indata!I25:I26)/SUM(Indata!I25:I26)</f>
        <v>17.239511419698804</v>
      </c>
      <c r="J35" s="318">
        <f>SUMPRODUCT(J32:J33,Indata!J25:J26)/SUM(Indata!J25:J26)</f>
        <v>33.073420589753013</v>
      </c>
      <c r="K35" s="28" t="s">
        <v>378</v>
      </c>
    </row>
    <row r="36" spans="1:20" s="28" customFormat="1" ht="15" customHeight="1" thickBot="1" x14ac:dyDescent="0.25">
      <c r="A36" s="128" t="s">
        <v>69</v>
      </c>
      <c r="B36" s="89" t="s">
        <v>178</v>
      </c>
      <c r="C36" s="89" t="s">
        <v>68</v>
      </c>
      <c r="D36" s="317">
        <v>0</v>
      </c>
      <c r="E36" s="317">
        <f>1.001*10</f>
        <v>10.009999999999998</v>
      </c>
      <c r="F36" s="318">
        <f>E36</f>
        <v>10.009999999999998</v>
      </c>
      <c r="G36" s="317">
        <f>$E$36</f>
        <v>10.009999999999998</v>
      </c>
      <c r="H36" s="318">
        <f>$F$36</f>
        <v>10.009999999999998</v>
      </c>
      <c r="I36" s="317">
        <f>$E$36</f>
        <v>10.009999999999998</v>
      </c>
      <c r="J36" s="318">
        <f>$F$36</f>
        <v>10.009999999999998</v>
      </c>
      <c r="K36" s="28" t="s">
        <v>379</v>
      </c>
    </row>
    <row r="37" spans="1:20" ht="15" thickBot="1" x14ac:dyDescent="0.35">
      <c r="A37" s="314" t="s">
        <v>17</v>
      </c>
      <c r="B37" s="89" t="s">
        <v>178</v>
      </c>
      <c r="C37" s="89" t="s">
        <v>36</v>
      </c>
      <c r="D37" s="315">
        <f>'Indata - Fordon och Trafik'!B13</f>
        <v>83.058041172927773</v>
      </c>
      <c r="E37" s="315">
        <f>IF(E$17='Indata - Fordon och Trafik'!$A$3,'Indata - Fordon och Trafik'!$C13,'Indata - Fordon och Trafik'!$H13)</f>
        <v>96.242881034691067</v>
      </c>
      <c r="F37" s="316">
        <f>IF(F$17='Indata - Fordon och Trafik'!$A$3,'Indata - Fordon och Trafik'!$D13,'Indata - Fordon och Trafik'!$I13)</f>
        <v>110.82130388604155</v>
      </c>
      <c r="G37" s="317">
        <f>E37</f>
        <v>96.242881034691067</v>
      </c>
      <c r="H37" s="318">
        <f>F37</f>
        <v>110.82130388604155</v>
      </c>
      <c r="I37" s="481">
        <f>E37</f>
        <v>96.242881034691067</v>
      </c>
      <c r="J37" s="318">
        <f>F37</f>
        <v>110.82130388604155</v>
      </c>
      <c r="K37" s="354" t="s">
        <v>380</v>
      </c>
      <c r="L37" s="14"/>
      <c r="M37" s="14"/>
      <c r="N37" s="14"/>
      <c r="O37" s="14"/>
      <c r="P37" s="14"/>
      <c r="Q37" s="14"/>
      <c r="R37" s="14"/>
      <c r="S37" s="14"/>
      <c r="T37" s="14"/>
    </row>
    <row r="38" spans="1:20" ht="15" thickBot="1" x14ac:dyDescent="0.35">
      <c r="A38" s="127" t="s">
        <v>196</v>
      </c>
      <c r="B38" s="89" t="s">
        <v>178</v>
      </c>
      <c r="C38" s="31" t="s">
        <v>25</v>
      </c>
      <c r="D38" s="65" t="s">
        <v>72</v>
      </c>
      <c r="E38" s="65">
        <v>0</v>
      </c>
      <c r="F38" s="337">
        <v>0</v>
      </c>
      <c r="G38" s="469">
        <v>0</v>
      </c>
      <c r="H38" s="470">
        <v>0</v>
      </c>
      <c r="I38" s="475">
        <v>0</v>
      </c>
      <c r="J38" s="476">
        <f>0%</f>
        <v>0</v>
      </c>
      <c r="K38" s="28" t="s">
        <v>66</v>
      </c>
      <c r="L38" s="14"/>
      <c r="M38" s="14"/>
      <c r="N38" s="14"/>
      <c r="O38" s="14"/>
      <c r="P38" s="14"/>
      <c r="Q38" s="14"/>
      <c r="R38" s="14"/>
      <c r="S38" s="14"/>
      <c r="T38" s="14"/>
    </row>
    <row r="39" spans="1:20" x14ac:dyDescent="0.3">
      <c r="A39" s="578" t="s">
        <v>27</v>
      </c>
      <c r="B39" s="88" t="s">
        <v>28</v>
      </c>
      <c r="C39" s="88" t="s">
        <v>31</v>
      </c>
      <c r="D39" s="425"/>
      <c r="E39" s="425">
        <f>10788000*1.025</f>
        <v>11057699.999999998</v>
      </c>
      <c r="F39" s="72">
        <v>11648700</v>
      </c>
      <c r="G39" s="425">
        <f>E39</f>
        <v>11057699.999999998</v>
      </c>
      <c r="H39" s="467">
        <f>F39</f>
        <v>11648700</v>
      </c>
      <c r="I39" s="425">
        <f>E39</f>
        <v>11057699.999999998</v>
      </c>
      <c r="J39" s="72">
        <f>F39</f>
        <v>11648700</v>
      </c>
      <c r="K39" s="357" t="s">
        <v>357</v>
      </c>
      <c r="L39" s="14"/>
      <c r="M39" s="14"/>
      <c r="N39" s="14"/>
      <c r="O39" s="14"/>
      <c r="P39" s="14"/>
      <c r="Q39" s="14"/>
      <c r="R39" s="14"/>
      <c r="S39" s="14"/>
      <c r="T39" s="14"/>
    </row>
    <row r="40" spans="1:20" ht="15" thickBot="1" x14ac:dyDescent="0.35">
      <c r="A40" s="582"/>
      <c r="B40" s="89" t="s">
        <v>29</v>
      </c>
      <c r="C40" s="89" t="s">
        <v>30</v>
      </c>
      <c r="D40" s="68"/>
      <c r="E40" s="68">
        <f>5447422/10292000</f>
        <v>0.52928701904391762</v>
      </c>
      <c r="F40" s="73">
        <f>5447422/10292000</f>
        <v>0.52928701904391762</v>
      </c>
      <c r="G40" s="68">
        <f>E40</f>
        <v>0.52928701904391762</v>
      </c>
      <c r="H40" s="71">
        <f>F40</f>
        <v>0.52928701904391762</v>
      </c>
      <c r="I40" s="68">
        <f>E40</f>
        <v>0.52928701904391762</v>
      </c>
      <c r="J40" s="73">
        <f>F40</f>
        <v>0.52928701904391762</v>
      </c>
      <c r="K40" s="357" t="s">
        <v>381</v>
      </c>
      <c r="L40" s="14"/>
      <c r="M40" s="14"/>
      <c r="N40" s="14"/>
      <c r="O40" s="14"/>
      <c r="P40" s="14"/>
      <c r="Q40" s="14"/>
      <c r="R40" s="14"/>
      <c r="S40" s="14"/>
      <c r="T40" s="14"/>
    </row>
    <row r="41" spans="1:20" s="110" customFormat="1" ht="16.2" thickBot="1" x14ac:dyDescent="0.35">
      <c r="A41" s="494" t="s">
        <v>292</v>
      </c>
      <c r="B41" s="495" t="s">
        <v>18</v>
      </c>
      <c r="C41" s="495" t="s">
        <v>14</v>
      </c>
      <c r="D41" s="115"/>
      <c r="E41" s="115">
        <v>2030</v>
      </c>
      <c r="F41" s="116">
        <v>2045</v>
      </c>
      <c r="G41" s="115">
        <v>2030</v>
      </c>
      <c r="H41" s="116">
        <v>2045</v>
      </c>
      <c r="I41" s="115">
        <v>2030</v>
      </c>
      <c r="J41" s="116">
        <v>2045</v>
      </c>
      <c r="K41" s="573" t="s">
        <v>15</v>
      </c>
      <c r="L41" s="574"/>
      <c r="M41" s="109"/>
      <c r="N41" s="109"/>
      <c r="O41" s="109"/>
      <c r="P41" s="109"/>
      <c r="Q41" s="109"/>
      <c r="R41" s="109"/>
      <c r="S41" s="109"/>
      <c r="T41" s="109"/>
    </row>
    <row r="42" spans="1:20" ht="14.4" customHeight="1" x14ac:dyDescent="0.3">
      <c r="A42" s="576" t="s">
        <v>143</v>
      </c>
      <c r="B42" s="88" t="s">
        <v>109</v>
      </c>
      <c r="C42" s="129" t="s">
        <v>140</v>
      </c>
      <c r="D42" s="490">
        <v>0</v>
      </c>
      <c r="E42" s="490">
        <f>IF(E$17='Indata - Fordon och Trafik'!$A$3,'Indata - Fordon och Trafik'!$C21,'Indata - Fordon och Trafik'!$H21)</f>
        <v>0.25</v>
      </c>
      <c r="F42" s="483">
        <f>IF(F$17='Indata - Fordon och Trafik'!$A$3,'Indata - Fordon och Trafik'!$D21,'Indata - Fordon och Trafik'!$I21)</f>
        <v>0.84</v>
      </c>
      <c r="G42" s="482">
        <f>IF(G$17='Indata - Fordon och Trafik'!$A$3,'Indata - Fordon och Trafik'!$C21,'Indata - Fordon och Trafik'!$H21)</f>
        <v>0.25</v>
      </c>
      <c r="H42" s="483">
        <f>IF(H$17='Indata - Fordon och Trafik'!$A$3,'Indata - Fordon och Trafik'!$D21,'Indata - Fordon och Trafik'!$I21)</f>
        <v>0.84</v>
      </c>
      <c r="I42" s="482">
        <f>IF(I$17='Indata - Fordon och Trafik'!$A$3,'Indata - Fordon och Trafik'!$C21,'Indata - Fordon och Trafik'!$H21)</f>
        <v>0.25</v>
      </c>
      <c r="J42" s="483">
        <f>IF(J$17='Indata - Fordon och Trafik'!$A$3,'Indata - Fordon och Trafik'!$D21,'Indata - Fordon och Trafik'!$I21)</f>
        <v>0.84</v>
      </c>
      <c r="K42" s="64" t="s">
        <v>358</v>
      </c>
      <c r="L42" s="14"/>
      <c r="M42" s="14"/>
      <c r="N42" s="14"/>
      <c r="O42" s="14"/>
      <c r="P42" s="14"/>
      <c r="Q42" s="14"/>
      <c r="R42" s="14"/>
      <c r="S42" s="14"/>
      <c r="T42" s="14"/>
    </row>
    <row r="43" spans="1:20" ht="14.4" customHeight="1" x14ac:dyDescent="0.3">
      <c r="A43" s="581"/>
      <c r="B43" s="31" t="s">
        <v>110</v>
      </c>
      <c r="C43" s="125" t="s">
        <v>140</v>
      </c>
      <c r="D43" s="491">
        <v>0</v>
      </c>
      <c r="E43" s="491">
        <f>IF(E$17='Indata - Fordon och Trafik'!$A$3,'Indata - Fordon och Trafik'!$C22,'Indata - Fordon och Trafik'!$H22)</f>
        <v>0.25</v>
      </c>
      <c r="F43" s="485">
        <f>IF(F$17='Indata - Fordon och Trafik'!$A$3,'Indata - Fordon och Trafik'!$D22,'Indata - Fordon och Trafik'!$I22)</f>
        <v>0.84</v>
      </c>
      <c r="G43" s="484">
        <f>IF(G$17='Indata - Fordon och Trafik'!$A$3,'Indata - Fordon och Trafik'!$C22,'Indata - Fordon och Trafik'!$H22)</f>
        <v>0.25</v>
      </c>
      <c r="H43" s="485">
        <f>IF(H$17='Indata - Fordon och Trafik'!$A$3,'Indata - Fordon och Trafik'!$D22,'Indata - Fordon och Trafik'!$I22)</f>
        <v>0.84</v>
      </c>
      <c r="I43" s="484">
        <f>IF(I$17='Indata - Fordon och Trafik'!$A$3,'Indata - Fordon och Trafik'!$C22,'Indata - Fordon och Trafik'!$H22)</f>
        <v>0.25</v>
      </c>
      <c r="J43" s="485">
        <f>IF(J$17='Indata - Fordon och Trafik'!$A$3,'Indata - Fordon och Trafik'!$D22,'Indata - Fordon och Trafik'!$I22)</f>
        <v>0.84</v>
      </c>
      <c r="K43" s="64" t="s">
        <v>358</v>
      </c>
      <c r="L43" s="14"/>
      <c r="M43" s="14"/>
      <c r="N43" s="14"/>
      <c r="O43" s="14"/>
      <c r="P43" s="14"/>
      <c r="Q43" s="14"/>
      <c r="R43" s="14"/>
      <c r="S43" s="14"/>
      <c r="T43" s="14"/>
    </row>
    <row r="44" spans="1:20" x14ac:dyDescent="0.3">
      <c r="A44" s="579"/>
      <c r="B44" s="31" t="s">
        <v>111</v>
      </c>
      <c r="C44" s="125" t="s">
        <v>140</v>
      </c>
      <c r="D44" s="492">
        <v>0</v>
      </c>
      <c r="E44" s="492">
        <f>IF(E$17='Indata - Fordon och Trafik'!$A$3,'Indata - Fordon och Trafik'!$C23,'Indata - Fordon och Trafik'!$H23)</f>
        <v>0.1</v>
      </c>
      <c r="F44" s="487">
        <f>IF(F$17='Indata - Fordon och Trafik'!$A$3,'Indata - Fordon och Trafik'!$D23,'Indata - Fordon och Trafik'!$I23)</f>
        <v>0.81</v>
      </c>
      <c r="G44" s="486">
        <f>IF(G$17='Indata - Fordon och Trafik'!$A$3,'Indata - Fordon och Trafik'!$C23,'Indata - Fordon och Trafik'!$H23)</f>
        <v>0.1</v>
      </c>
      <c r="H44" s="487">
        <f>IF(H$17='Indata - Fordon och Trafik'!$A$3,'Indata - Fordon och Trafik'!$D23,'Indata - Fordon och Trafik'!$I23)</f>
        <v>0.81</v>
      </c>
      <c r="I44" s="486">
        <f>IF(I$17='Indata - Fordon och Trafik'!$A$3,'Indata - Fordon och Trafik'!$C23,'Indata - Fordon och Trafik'!$H23)</f>
        <v>0.1</v>
      </c>
      <c r="J44" s="487">
        <f>IF(J$17='Indata - Fordon och Trafik'!$A$3,'Indata - Fordon och Trafik'!$D23,'Indata - Fordon och Trafik'!$I23)</f>
        <v>0.81</v>
      </c>
      <c r="K44" s="64" t="s">
        <v>358</v>
      </c>
      <c r="L44" s="14"/>
      <c r="M44" s="14"/>
      <c r="N44" s="14"/>
      <c r="O44" s="14"/>
      <c r="P44" s="14"/>
      <c r="Q44" s="14"/>
      <c r="R44" s="14"/>
      <c r="S44" s="14"/>
      <c r="T44" s="14"/>
    </row>
    <row r="45" spans="1:20" ht="15" thickBot="1" x14ac:dyDescent="0.35">
      <c r="A45" s="579"/>
      <c r="B45" s="31" t="s">
        <v>112</v>
      </c>
      <c r="C45" s="125" t="s">
        <v>140</v>
      </c>
      <c r="D45" s="493">
        <v>0</v>
      </c>
      <c r="E45" s="493">
        <f>IF(E$17='Indata - Fordon och Trafik'!$A$3,'Indata - Fordon och Trafik'!$C24,'Indata - Fordon och Trafik'!$H24)</f>
        <v>0.1</v>
      </c>
      <c r="F45" s="489">
        <f>IF(F$17='Indata - Fordon och Trafik'!$A$3,'Indata - Fordon och Trafik'!$D24,'Indata - Fordon och Trafik'!$I24)</f>
        <v>0.79</v>
      </c>
      <c r="G45" s="488">
        <f>IF(G$17='Indata - Fordon och Trafik'!$A$3,'Indata - Fordon och Trafik'!$C24,'Indata - Fordon och Trafik'!$H24)</f>
        <v>0.1</v>
      </c>
      <c r="H45" s="489">
        <f>IF(H$17='Indata - Fordon och Trafik'!$A$3,'Indata - Fordon och Trafik'!$D24,'Indata - Fordon och Trafik'!$I24)</f>
        <v>0.79</v>
      </c>
      <c r="I45" s="488">
        <f>IF(I$17='Indata - Fordon och Trafik'!$A$3,'Indata - Fordon och Trafik'!$C24,'Indata - Fordon och Trafik'!$H24)</f>
        <v>0.1</v>
      </c>
      <c r="J45" s="489">
        <f>IF(J$17='Indata - Fordon och Trafik'!$A$3,'Indata - Fordon och Trafik'!$D24,'Indata - Fordon och Trafik'!$I24)</f>
        <v>0.79</v>
      </c>
      <c r="K45" s="64" t="s">
        <v>358</v>
      </c>
      <c r="L45" s="14"/>
      <c r="M45" s="14"/>
      <c r="N45" s="14"/>
      <c r="O45" s="14"/>
      <c r="P45" s="14"/>
      <c r="Q45" s="14"/>
      <c r="R45" s="14"/>
      <c r="S45" s="14"/>
      <c r="T45" s="14"/>
    </row>
    <row r="46" spans="1:20" ht="14.4" customHeight="1" x14ac:dyDescent="0.3">
      <c r="A46" s="576" t="s">
        <v>361</v>
      </c>
      <c r="B46" s="88" t="s">
        <v>109</v>
      </c>
      <c r="C46" s="129" t="s">
        <v>39</v>
      </c>
      <c r="D46" s="497">
        <f>'Indata - Fordon och Trafik'!B35</f>
        <v>1.8017287547138701</v>
      </c>
      <c r="E46" s="497">
        <f>IF(E$17='Indata - Fordon och Trafik'!$A$3,'Indata - Fordon och Trafik'!$C35,'Indata - Fordon och Trafik'!$H35)</f>
        <v>1.6649068439691834</v>
      </c>
      <c r="F46" s="478">
        <f>IF(F$17='Indata - Fordon och Trafik'!$A$3,'Indata - Fordon och Trafik'!$D35,'Indata - Fordon och Trafik'!$I35)</f>
        <v>1.47833151113552</v>
      </c>
      <c r="G46" s="477">
        <f t="shared" ref="G46:H53" si="3">E46</f>
        <v>1.6649068439691834</v>
      </c>
      <c r="H46" s="478">
        <f t="shared" si="3"/>
        <v>1.47833151113552</v>
      </c>
      <c r="I46" s="477">
        <f t="shared" ref="I46:J53" si="4">E46</f>
        <v>1.6649068439691834</v>
      </c>
      <c r="J46" s="478">
        <f t="shared" si="4"/>
        <v>1.47833151113552</v>
      </c>
      <c r="K46" s="28" t="s">
        <v>376</v>
      </c>
      <c r="L46" s="14"/>
      <c r="M46" s="14"/>
      <c r="N46" s="14"/>
      <c r="O46" s="14"/>
      <c r="P46" s="14"/>
      <c r="Q46" s="14"/>
      <c r="R46" s="14"/>
      <c r="S46" s="14"/>
      <c r="T46" s="14"/>
    </row>
    <row r="47" spans="1:20" ht="14.4" customHeight="1" x14ac:dyDescent="0.3">
      <c r="A47" s="581"/>
      <c r="B47" s="31" t="s">
        <v>110</v>
      </c>
      <c r="C47" s="125" t="s">
        <v>39</v>
      </c>
      <c r="D47" s="498">
        <f>'Indata - Fordon och Trafik'!B36</f>
        <v>2.2601610915338699</v>
      </c>
      <c r="E47" s="498">
        <f>IF(E$17='Indata - Fordon och Trafik'!$A$3,'Indata - Fordon och Trafik'!$C36,'Indata - Fordon och Trafik'!$H36)</f>
        <v>2.0884322780651385</v>
      </c>
      <c r="F47" s="499">
        <f>IF(F$17='Indata - Fordon och Trafik'!$A$3,'Indata - Fordon och Trafik'!$D36,'Indata - Fordon och Trafik'!$I36)</f>
        <v>1.8542566233350499</v>
      </c>
      <c r="G47" s="500">
        <f t="shared" si="3"/>
        <v>2.0884322780651385</v>
      </c>
      <c r="H47" s="499">
        <f t="shared" si="3"/>
        <v>1.8542566233350499</v>
      </c>
      <c r="I47" s="500">
        <f t="shared" si="4"/>
        <v>2.0884322780651385</v>
      </c>
      <c r="J47" s="499">
        <f t="shared" si="4"/>
        <v>1.8542566233350499</v>
      </c>
      <c r="K47" s="28" t="s">
        <v>376</v>
      </c>
      <c r="L47" s="14"/>
      <c r="M47" s="14"/>
      <c r="N47" s="14"/>
      <c r="O47" s="14"/>
      <c r="P47" s="14"/>
      <c r="Q47" s="14"/>
      <c r="R47" s="14"/>
      <c r="S47" s="14"/>
      <c r="T47" s="14"/>
    </row>
    <row r="48" spans="1:20" x14ac:dyDescent="0.3">
      <c r="A48" s="579"/>
      <c r="B48" s="31" t="s">
        <v>111</v>
      </c>
      <c r="C48" s="125" t="s">
        <v>39</v>
      </c>
      <c r="D48" s="501">
        <f>'Indata - Fordon och Trafik'!B37</f>
        <v>2.91022847979053</v>
      </c>
      <c r="E48" s="501">
        <f>IF(E$17='Indata - Fordon och Trafik'!$A$3,'Indata - Fordon och Trafik'!$C37,'Indata - Fordon och Trafik'!$H37)</f>
        <v>2.7229641760793539</v>
      </c>
      <c r="F48" s="480">
        <f>IF(F$17='Indata - Fordon och Trafik'!$A$3,'Indata - Fordon och Trafik'!$D37,'Indata - Fordon och Trafik'!$I37)</f>
        <v>2.4676037619277502</v>
      </c>
      <c r="G48" s="479">
        <f t="shared" si="3"/>
        <v>2.7229641760793539</v>
      </c>
      <c r="H48" s="480">
        <f t="shared" si="3"/>
        <v>2.4676037619277502</v>
      </c>
      <c r="I48" s="479">
        <f t="shared" si="4"/>
        <v>2.7229641760793539</v>
      </c>
      <c r="J48" s="480">
        <f t="shared" si="4"/>
        <v>2.4676037619277502</v>
      </c>
      <c r="K48" s="28" t="s">
        <v>376</v>
      </c>
      <c r="L48" s="14"/>
      <c r="M48" s="14"/>
      <c r="N48" s="14"/>
      <c r="O48" s="14"/>
      <c r="P48" s="14"/>
      <c r="Q48" s="14"/>
      <c r="R48" s="14"/>
      <c r="S48" s="14"/>
      <c r="T48" s="14"/>
    </row>
    <row r="49" spans="1:20" ht="15" thickBot="1" x14ac:dyDescent="0.35">
      <c r="A49" s="579"/>
      <c r="B49" s="31" t="s">
        <v>112</v>
      </c>
      <c r="C49" s="125" t="s">
        <v>39</v>
      </c>
      <c r="D49" s="502">
        <f>'Indata - Fordon och Trafik'!B38</f>
        <v>4.0444600227083596</v>
      </c>
      <c r="E49" s="502">
        <f>IF(E$17='Indata - Fordon och Trafik'!$A$3,'Indata - Fordon och Trafik'!$C38,'Indata - Fordon och Trafik'!$H38)</f>
        <v>3.7835614301620941</v>
      </c>
      <c r="F49" s="503">
        <f>IF(F$17='Indata - Fordon och Trafik'!$A$3,'Indata - Fordon och Trafik'!$D38,'Indata - Fordon och Trafik'!$I38)</f>
        <v>3.4277906221444598</v>
      </c>
      <c r="G49" s="504">
        <f t="shared" si="3"/>
        <v>3.7835614301620941</v>
      </c>
      <c r="H49" s="503">
        <f t="shared" si="3"/>
        <v>3.4277906221444598</v>
      </c>
      <c r="I49" s="504">
        <f t="shared" si="4"/>
        <v>3.7835614301620941</v>
      </c>
      <c r="J49" s="503">
        <f t="shared" si="4"/>
        <v>3.4277906221444598</v>
      </c>
      <c r="K49" s="28" t="s">
        <v>376</v>
      </c>
      <c r="L49" s="14"/>
      <c r="M49" s="14"/>
      <c r="N49" s="14"/>
      <c r="O49" s="14"/>
      <c r="P49" s="14"/>
      <c r="Q49" s="14"/>
      <c r="R49" s="14"/>
      <c r="S49" s="14"/>
      <c r="T49" s="14"/>
    </row>
    <row r="50" spans="1:20" ht="14.4" customHeight="1" x14ac:dyDescent="0.3">
      <c r="A50" s="576" t="s">
        <v>360</v>
      </c>
      <c r="B50" s="88" t="s">
        <v>109</v>
      </c>
      <c r="C50" s="129" t="s">
        <v>40</v>
      </c>
      <c r="D50" s="497" t="s">
        <v>72</v>
      </c>
      <c r="E50" s="497">
        <f>IF(E$17='Indata - Fordon och Trafik'!$A$3,'Indata - Fordon och Trafik'!$C39,'Indata - Fordon och Trafik'!$H39)</f>
        <v>9.0169813068265903</v>
      </c>
      <c r="F50" s="478">
        <f>IF(F$17='Indata - Fordon och Trafik'!$A$3,'Indata - Fordon och Trafik'!$D39,'Indata - Fordon och Trafik'!$I39)</f>
        <v>9.0169813068265903</v>
      </c>
      <c r="G50" s="477">
        <f t="shared" si="3"/>
        <v>9.0169813068265903</v>
      </c>
      <c r="H50" s="478">
        <f t="shared" si="3"/>
        <v>9.0169813068265903</v>
      </c>
      <c r="I50" s="477">
        <f t="shared" si="4"/>
        <v>9.0169813068265903</v>
      </c>
      <c r="J50" s="478">
        <f t="shared" si="4"/>
        <v>9.0169813068265903</v>
      </c>
      <c r="K50" s="28" t="s">
        <v>358</v>
      </c>
      <c r="L50" s="14"/>
      <c r="M50" s="14"/>
      <c r="N50" s="14"/>
      <c r="O50" s="14"/>
      <c r="P50" s="14"/>
      <c r="Q50" s="14"/>
      <c r="R50" s="14"/>
      <c r="S50" s="14"/>
      <c r="T50" s="14"/>
    </row>
    <row r="51" spans="1:20" ht="14.4" customHeight="1" x14ac:dyDescent="0.3">
      <c r="A51" s="581"/>
      <c r="B51" s="31" t="s">
        <v>110</v>
      </c>
      <c r="C51" s="125" t="s">
        <v>40</v>
      </c>
      <c r="D51" s="498" t="s">
        <v>72</v>
      </c>
      <c r="E51" s="498">
        <f>IF(E$17='Indata - Fordon och Trafik'!$A$3,'Indata - Fordon och Trafik'!$C40,'Indata - Fordon och Trafik'!$H40)</f>
        <v>11.310339377103301</v>
      </c>
      <c r="F51" s="499">
        <f>IF(F$17='Indata - Fordon och Trafik'!$A$3,'Indata - Fordon och Trafik'!$D40,'Indata - Fordon och Trafik'!$I40)</f>
        <v>11.310339377103301</v>
      </c>
      <c r="G51" s="500">
        <f t="shared" si="3"/>
        <v>11.310339377103301</v>
      </c>
      <c r="H51" s="499">
        <f t="shared" si="3"/>
        <v>11.310339377103301</v>
      </c>
      <c r="I51" s="500">
        <f t="shared" si="4"/>
        <v>11.310339377103301</v>
      </c>
      <c r="J51" s="499">
        <f t="shared" si="4"/>
        <v>11.310339377103301</v>
      </c>
      <c r="K51" s="28" t="s">
        <v>358</v>
      </c>
      <c r="L51" s="14"/>
      <c r="M51" s="14"/>
      <c r="N51" s="14"/>
      <c r="O51" s="14"/>
      <c r="P51" s="14"/>
      <c r="Q51" s="14"/>
      <c r="R51" s="14"/>
      <c r="S51" s="14"/>
      <c r="T51" s="14"/>
    </row>
    <row r="52" spans="1:20" x14ac:dyDescent="0.3">
      <c r="A52" s="579"/>
      <c r="B52" s="31" t="s">
        <v>111</v>
      </c>
      <c r="C52" s="125" t="s">
        <v>40</v>
      </c>
      <c r="D52" s="501" t="s">
        <v>72</v>
      </c>
      <c r="E52" s="501">
        <f>IF(E$17='Indata - Fordon och Trafik'!$A$3,'Indata - Fordon och Trafik'!$C41,'Indata - Fordon och Trafik'!$H41)</f>
        <v>14.6722825607026</v>
      </c>
      <c r="F52" s="480">
        <f>IF(F$17='Indata - Fordon och Trafik'!$A$3,'Indata - Fordon och Trafik'!$D41,'Indata - Fordon och Trafik'!$I41)</f>
        <v>14.6722825607026</v>
      </c>
      <c r="G52" s="479">
        <f t="shared" si="3"/>
        <v>14.6722825607026</v>
      </c>
      <c r="H52" s="480">
        <f t="shared" si="3"/>
        <v>14.6722825607026</v>
      </c>
      <c r="I52" s="479">
        <f t="shared" si="4"/>
        <v>14.6722825607026</v>
      </c>
      <c r="J52" s="480">
        <f t="shared" si="4"/>
        <v>14.6722825607026</v>
      </c>
      <c r="K52" s="28" t="s">
        <v>358</v>
      </c>
      <c r="L52" s="14"/>
      <c r="M52" s="14"/>
      <c r="N52" s="14"/>
      <c r="O52" s="14"/>
      <c r="P52" s="14"/>
      <c r="Q52" s="14"/>
      <c r="R52" s="14"/>
      <c r="S52" s="14"/>
      <c r="T52" s="14"/>
    </row>
    <row r="53" spans="1:20" ht="15" thickBot="1" x14ac:dyDescent="0.35">
      <c r="A53" s="580"/>
      <c r="B53" s="89" t="s">
        <v>112</v>
      </c>
      <c r="C53" s="126" t="s">
        <v>40</v>
      </c>
      <c r="D53" s="502" t="s">
        <v>72</v>
      </c>
      <c r="E53" s="502">
        <f>IF(E$17='Indata - Fordon och Trafik'!$A$3,'Indata - Fordon och Trafik'!$C42,'Indata - Fordon och Trafik'!$H42)</f>
        <v>20.381518841477</v>
      </c>
      <c r="F53" s="503">
        <f>IF(F$17='Indata - Fordon och Trafik'!$A$3,'Indata - Fordon och Trafik'!$D42,'Indata - Fordon och Trafik'!$I42)</f>
        <v>20.381518841477</v>
      </c>
      <c r="G53" s="504">
        <f t="shared" si="3"/>
        <v>20.381518841477</v>
      </c>
      <c r="H53" s="503">
        <f t="shared" si="3"/>
        <v>20.381518841477</v>
      </c>
      <c r="I53" s="504">
        <f t="shared" si="4"/>
        <v>20.381518841477</v>
      </c>
      <c r="J53" s="503">
        <f t="shared" si="4"/>
        <v>20.381518841477</v>
      </c>
      <c r="K53" s="28" t="s">
        <v>358</v>
      </c>
      <c r="L53" s="14"/>
      <c r="M53" s="14"/>
      <c r="N53" s="14"/>
      <c r="O53" s="14"/>
      <c r="P53" s="14"/>
      <c r="Q53" s="14"/>
      <c r="R53" s="14"/>
      <c r="S53" s="14"/>
      <c r="T53" s="14"/>
    </row>
    <row r="54" spans="1:20" s="28" customFormat="1" ht="15" customHeight="1" x14ac:dyDescent="0.2">
      <c r="A54" s="581" t="s">
        <v>0</v>
      </c>
      <c r="B54" s="31" t="s">
        <v>9</v>
      </c>
      <c r="C54" s="31" t="s">
        <v>250</v>
      </c>
      <c r="D54" s="505">
        <f>'Modell - Drivmedelpriser'!B57</f>
        <v>11.88</v>
      </c>
      <c r="E54" s="505">
        <f>'Modell - Drivmedelpriser'!C57</f>
        <v>23.67</v>
      </c>
      <c r="F54" s="506">
        <f>'Modell - Drivmedelpriser'!D57</f>
        <v>24.490000000000002</v>
      </c>
      <c r="G54" s="477">
        <f>'Modell - Drivmedelpriser'!E57</f>
        <v>23.67</v>
      </c>
      <c r="H54" s="478">
        <f>'Modell - Drivmedelpriser'!F57</f>
        <v>24.490000000000002</v>
      </c>
      <c r="I54" s="477">
        <f>'Modell - Drivmedelpriser'!G57</f>
        <v>23.67</v>
      </c>
      <c r="J54" s="478">
        <f>'Modell - Drivmedelpriser'!H57</f>
        <v>24.490000000000002</v>
      </c>
      <c r="K54" s="28" t="s">
        <v>377</v>
      </c>
    </row>
    <row r="55" spans="1:20" s="28" customFormat="1" ht="15" customHeight="1" thickBot="1" x14ac:dyDescent="0.25">
      <c r="A55" s="581"/>
      <c r="B55" s="31" t="s">
        <v>7</v>
      </c>
      <c r="C55" s="268" t="s">
        <v>251</v>
      </c>
      <c r="D55" s="507">
        <f>'Modell - Drivmedelpriser'!B83</f>
        <v>1.6800000000000002</v>
      </c>
      <c r="E55" s="507">
        <f>'Modell - Drivmedelpriser'!C83</f>
        <v>1.7434615384615384</v>
      </c>
      <c r="F55" s="508">
        <f>'Modell - Drivmedelpriser'!D83</f>
        <v>1.83</v>
      </c>
      <c r="G55" s="504">
        <f>'Modell - Drivmedelpriser'!E83</f>
        <v>1.7434615384615384</v>
      </c>
      <c r="H55" s="503">
        <f>'Modell - Drivmedelpriser'!F83</f>
        <v>1.83</v>
      </c>
      <c r="I55" s="504">
        <f>'Modell - Drivmedelpriser'!G83</f>
        <v>1.7434615384615384</v>
      </c>
      <c r="J55" s="503">
        <f>'Modell - Drivmedelpriser'!H83</f>
        <v>1.83</v>
      </c>
      <c r="K55" s="28" t="s">
        <v>377</v>
      </c>
    </row>
    <row r="56" spans="1:20" s="28" customFormat="1" ht="15" customHeight="1" x14ac:dyDescent="0.25">
      <c r="A56" s="578" t="s">
        <v>17</v>
      </c>
      <c r="B56" s="305" t="s">
        <v>113</v>
      </c>
      <c r="C56" s="306" t="s">
        <v>36</v>
      </c>
      <c r="D56" s="468">
        <f t="shared" ref="D56" si="5">SUM(D57:D60)</f>
        <v>0</v>
      </c>
      <c r="E56" s="468">
        <f t="shared" ref="E56:J56" si="6">SUM(E57:E60)</f>
        <v>5.9773733906447069</v>
      </c>
      <c r="F56" s="361">
        <f t="shared" si="6"/>
        <v>7.0489625732912895</v>
      </c>
      <c r="G56" s="360">
        <f t="shared" si="6"/>
        <v>5.9773733906447069</v>
      </c>
      <c r="H56" s="361">
        <f t="shared" si="6"/>
        <v>7.0489625732912895</v>
      </c>
      <c r="I56" s="360">
        <f t="shared" si="6"/>
        <v>5.9773733906447069</v>
      </c>
      <c r="J56" s="361">
        <f t="shared" si="6"/>
        <v>7.0489625732912895</v>
      </c>
      <c r="K56" s="28" t="s">
        <v>57</v>
      </c>
    </row>
    <row r="57" spans="1:20" x14ac:dyDescent="0.3">
      <c r="A57" s="579"/>
      <c r="B57" s="31" t="s">
        <v>109</v>
      </c>
      <c r="C57" s="125" t="s">
        <v>36</v>
      </c>
      <c r="D57" s="498">
        <f>'Indata - Fordon och Trafik'!B28</f>
        <v>0</v>
      </c>
      <c r="E57" s="498">
        <f>IF(E$17='Indata - Fordon och Trafik'!$A$3,'Indata - Fordon och Trafik'!$C28,'Indata - Fordon och Trafik'!$H28)</f>
        <v>0.22095243940171372</v>
      </c>
      <c r="F57" s="499">
        <f>IF(F$17='Indata - Fordon och Trafik'!$A$3,'Indata - Fordon och Trafik'!$D28,'Indata - Fordon och Trafik'!$I28)</f>
        <v>0.26056352414887451</v>
      </c>
      <c r="G57" s="500">
        <f t="shared" ref="G57:H60" si="7">E57</f>
        <v>0.22095243940171372</v>
      </c>
      <c r="H57" s="499">
        <f t="shared" si="7"/>
        <v>0.26056352414887451</v>
      </c>
      <c r="I57" s="500">
        <f t="shared" ref="I57:J60" si="8">E57</f>
        <v>0.22095243940171372</v>
      </c>
      <c r="J57" s="499">
        <f t="shared" si="8"/>
        <v>0.26056352414887451</v>
      </c>
      <c r="K57" s="28" t="s">
        <v>57</v>
      </c>
      <c r="L57" s="14"/>
      <c r="M57" s="14"/>
      <c r="N57" s="14"/>
      <c r="O57" s="14"/>
      <c r="P57" s="14"/>
      <c r="Q57" s="14"/>
      <c r="R57" s="14"/>
      <c r="S57" s="14"/>
      <c r="T57" s="14"/>
    </row>
    <row r="58" spans="1:20" x14ac:dyDescent="0.3">
      <c r="A58" s="579"/>
      <c r="B58" s="31" t="s">
        <v>110</v>
      </c>
      <c r="C58" s="125" t="s">
        <v>36</v>
      </c>
      <c r="D58" s="498">
        <f>'Indata - Fordon och Trafik'!B29</f>
        <v>0</v>
      </c>
      <c r="E58" s="498">
        <f>IF(E$17='Indata - Fordon och Trafik'!$A$3,'Indata - Fordon och Trafik'!$C29,'Indata - Fordon och Trafik'!$H29)</f>
        <v>0.24048713697194765</v>
      </c>
      <c r="F58" s="499">
        <f>IF(F$17='Indata - Fordon och Trafik'!$A$3,'Indata - Fordon och Trafik'!$D29,'Indata - Fordon och Trafik'!$I29)</f>
        <v>0.28360029014188726</v>
      </c>
      <c r="G58" s="500">
        <f t="shared" si="7"/>
        <v>0.24048713697194765</v>
      </c>
      <c r="H58" s="499">
        <f t="shared" si="7"/>
        <v>0.28360029014188726</v>
      </c>
      <c r="I58" s="500">
        <f t="shared" si="8"/>
        <v>0.24048713697194765</v>
      </c>
      <c r="J58" s="499">
        <f t="shared" si="8"/>
        <v>0.28360029014188726</v>
      </c>
      <c r="K58" s="28" t="s">
        <v>57</v>
      </c>
      <c r="L58" s="14"/>
      <c r="M58" s="14"/>
      <c r="N58" s="14"/>
      <c r="O58" s="14"/>
      <c r="P58" s="14"/>
      <c r="Q58" s="14"/>
      <c r="R58" s="14"/>
      <c r="S58" s="14"/>
      <c r="T58" s="14"/>
    </row>
    <row r="59" spans="1:20" x14ac:dyDescent="0.3">
      <c r="A59" s="579"/>
      <c r="B59" s="31" t="s">
        <v>111</v>
      </c>
      <c r="C59" s="125" t="s">
        <v>36</v>
      </c>
      <c r="D59" s="498">
        <f>'Indata - Fordon och Trafik'!B30</f>
        <v>0</v>
      </c>
      <c r="E59" s="498">
        <f>IF(E$17='Indata - Fordon och Trafik'!$A$3,'Indata - Fordon och Trafik'!$C30,'Indata - Fordon och Trafik'!$H30)</f>
        <v>1.9682018403049411</v>
      </c>
      <c r="F59" s="499">
        <f>IF(F$17='Indata - Fordon och Trafik'!$A$3,'Indata - Fordon och Trafik'!$D30,'Indata - Fordon och Trafik'!$I30)</f>
        <v>2.3210497658899261</v>
      </c>
      <c r="G59" s="500">
        <f t="shared" si="7"/>
        <v>1.9682018403049411</v>
      </c>
      <c r="H59" s="499">
        <f t="shared" si="7"/>
        <v>2.3210497658899261</v>
      </c>
      <c r="I59" s="500">
        <f t="shared" si="8"/>
        <v>1.9682018403049411</v>
      </c>
      <c r="J59" s="499">
        <f t="shared" si="8"/>
        <v>2.3210497658899261</v>
      </c>
      <c r="K59" s="28" t="s">
        <v>57</v>
      </c>
      <c r="L59" s="14"/>
      <c r="M59" s="14"/>
      <c r="N59" s="14"/>
      <c r="O59" s="14"/>
      <c r="P59" s="14"/>
      <c r="Q59" s="14"/>
      <c r="R59" s="14"/>
      <c r="S59" s="14"/>
      <c r="T59" s="14"/>
    </row>
    <row r="60" spans="1:20" ht="15" thickBot="1" x14ac:dyDescent="0.35">
      <c r="A60" s="580"/>
      <c r="B60" s="89" t="s">
        <v>112</v>
      </c>
      <c r="C60" s="126" t="s">
        <v>36</v>
      </c>
      <c r="D60" s="498">
        <f>'Indata - Fordon och Trafik'!B31</f>
        <v>0</v>
      </c>
      <c r="E60" s="498">
        <f>IF(E$17='Indata - Fordon och Trafik'!$A$3,'Indata - Fordon och Trafik'!$C31,'Indata - Fordon och Trafik'!$H31)</f>
        <v>3.5477319739661044</v>
      </c>
      <c r="F60" s="499">
        <f>IF(F$17='Indata - Fordon och Trafik'!$A$3,'Indata - Fordon och Trafik'!$D31,'Indata - Fordon och Trafik'!$I31)</f>
        <v>4.1837489931106022</v>
      </c>
      <c r="G60" s="500">
        <f t="shared" si="7"/>
        <v>3.5477319739661044</v>
      </c>
      <c r="H60" s="499">
        <f t="shared" si="7"/>
        <v>4.1837489931106022</v>
      </c>
      <c r="I60" s="500">
        <f t="shared" si="8"/>
        <v>3.5477319739661044</v>
      </c>
      <c r="J60" s="499">
        <f t="shared" si="8"/>
        <v>4.1837489931106022</v>
      </c>
      <c r="K60" s="28" t="s">
        <v>57</v>
      </c>
      <c r="L60" s="14"/>
      <c r="M60" s="14"/>
      <c r="N60" s="14"/>
      <c r="O60" s="14"/>
      <c r="P60" s="14"/>
      <c r="Q60" s="14"/>
      <c r="R60" s="14"/>
      <c r="S60" s="14"/>
      <c r="T60" s="14"/>
    </row>
    <row r="61" spans="1:20" ht="15" thickBot="1" x14ac:dyDescent="0.35">
      <c r="A61" s="373" t="s">
        <v>196</v>
      </c>
      <c r="B61" s="89" t="s">
        <v>114</v>
      </c>
      <c r="C61" s="89" t="s">
        <v>25</v>
      </c>
      <c r="D61" s="65" t="s">
        <v>72</v>
      </c>
      <c r="E61" s="65">
        <v>0</v>
      </c>
      <c r="F61" s="66">
        <v>0</v>
      </c>
      <c r="G61" s="469">
        <v>0</v>
      </c>
      <c r="H61" s="470">
        <v>0</v>
      </c>
      <c r="I61" s="471">
        <v>0</v>
      </c>
      <c r="J61" s="470">
        <f>0%</f>
        <v>0</v>
      </c>
      <c r="K61" s="28" t="s">
        <v>66</v>
      </c>
      <c r="L61" s="14"/>
      <c r="M61" s="14"/>
      <c r="N61" s="14"/>
      <c r="O61" s="14"/>
      <c r="P61" s="14"/>
      <c r="Q61" s="14"/>
      <c r="R61" s="14"/>
      <c r="S61" s="14"/>
      <c r="T61" s="14"/>
    </row>
    <row r="62" spans="1:20" ht="16.2" thickBot="1" x14ac:dyDescent="0.35">
      <c r="A62" s="113" t="s">
        <v>293</v>
      </c>
      <c r="B62" s="114" t="s">
        <v>18</v>
      </c>
      <c r="C62" s="114" t="s">
        <v>14</v>
      </c>
      <c r="D62" s="466"/>
      <c r="E62" s="374">
        <v>2030</v>
      </c>
      <c r="F62" s="375">
        <v>2045</v>
      </c>
      <c r="G62" s="374">
        <v>2030</v>
      </c>
      <c r="H62" s="375">
        <v>2045</v>
      </c>
      <c r="I62" s="374">
        <v>2030</v>
      </c>
      <c r="J62" s="375">
        <v>2045</v>
      </c>
      <c r="K62" s="573" t="s">
        <v>15</v>
      </c>
      <c r="L62" s="574"/>
    </row>
    <row r="63" spans="1:20" x14ac:dyDescent="0.3">
      <c r="A63" s="576" t="s">
        <v>299</v>
      </c>
      <c r="B63" s="88" t="s">
        <v>294</v>
      </c>
      <c r="C63" s="88" t="s">
        <v>296</v>
      </c>
      <c r="D63" s="358"/>
      <c r="E63" s="358">
        <f>IF(E$23='Indata - Fordon och Trafik'!$K$9,'Indata - Fordon och Trafik'!O7,IF($E$23='Indata - Fordon och Trafik'!$K$10,'Indata - Fordon och Trafik'!O15,'Indata - Fordon och Trafik'!O23))</f>
        <v>1.9785575329374168</v>
      </c>
      <c r="F63" s="472">
        <f>IF(F$23='Indata - Fordon och Trafik'!$K$9,'Indata - Fordon och Trafik'!P7,IF($F$23='Indata - Fordon och Trafik'!$K$10,'Indata - Fordon och Trafik'!P15,'Indata - Fordon och Trafik'!P23))</f>
        <v>1.0335424620244051</v>
      </c>
      <c r="G63" s="358">
        <f>IF(G$23='Indata - Fordon och Trafik'!$K$9,'Indata - Fordon och Trafik'!O7,IF($G$23='Indata - Fordon och Trafik'!$K$10,'Indata - Fordon och Trafik'!O15,'Indata - Fordon och Trafik'!O23))</f>
        <v>1.33</v>
      </c>
      <c r="H63" s="472">
        <f>IF(H$23='Indata - Fordon och Trafik'!$K$9,'Indata - Fordon och Trafik'!P7,IF($H$23='Indata - Fordon och Trafik'!$K$10,'Indata - Fordon och Trafik'!P15,'Indata - Fordon och Trafik'!P23))</f>
        <v>0.97</v>
      </c>
      <c r="I63" s="358">
        <f>IF(I$23='Indata - Fordon och Trafik'!$K$9,'Indata - Fordon och Trafik'!O7,IF($I$23='Indata - Fordon och Trafik'!$K$10,'Indata - Fordon och Trafik'!O15,'Indata - Fordon och Trafik'!O23))</f>
        <v>1.33</v>
      </c>
      <c r="J63" s="341">
        <f>IF(J$23='Indata - Fordon och Trafik'!$K$9,'Indata - Fordon och Trafik'!P7,IF($J$23='Indata - Fordon och Trafik'!$K$10,'Indata - Fordon och Trafik'!P15,'Indata - Fordon och Trafik'!P23))</f>
        <v>0.97</v>
      </c>
      <c r="K63" s="28" t="s">
        <v>303</v>
      </c>
    </row>
    <row r="64" spans="1:20" ht="15" thickBot="1" x14ac:dyDescent="0.35">
      <c r="A64" s="577"/>
      <c r="B64" s="89" t="s">
        <v>7</v>
      </c>
      <c r="C64" s="89" t="s">
        <v>296</v>
      </c>
      <c r="D64" s="359"/>
      <c r="E64" s="359">
        <f>IF(E$23='Indata - Fordon och Trafik'!$K$9,'Indata - Fordon och Trafik'!O8,IF($E$23='Indata - Fordon och Trafik'!$K$10,'Indata - Fordon och Trafik'!O16,'Indata - Fordon och Trafik'!O24))</f>
        <v>0.4662835969758185</v>
      </c>
      <c r="F64" s="473">
        <f>IF(F$23='Indata - Fordon och Trafik'!$K$9,'Indata - Fordon och Trafik'!P8,IF($F$23='Indata - Fordon och Trafik'!$K$10,'Indata - Fordon och Trafik'!P16,'Indata - Fordon och Trafik'!P24))</f>
        <v>0.83617248676713107</v>
      </c>
      <c r="G64" s="359">
        <f>IF(G$23='Indata - Fordon och Trafik'!$K$9,'Indata - Fordon och Trafik'!O8,IF($G$23='Indata - Fordon och Trafik'!$K$10,'Indata - Fordon och Trafik'!O16,'Indata - Fordon och Trafik'!O24))</f>
        <v>0.88</v>
      </c>
      <c r="H64" s="473">
        <f>IF(H$23='Indata - Fordon och Trafik'!$K$9,'Indata - Fordon och Trafik'!P8,IF($H$23='Indata - Fordon och Trafik'!$K$10,'Indata - Fordon och Trafik'!P16,'Indata - Fordon och Trafik'!P24))</f>
        <v>1.1200000000000001</v>
      </c>
      <c r="I64" s="359">
        <f>IF(I$23='Indata - Fordon och Trafik'!$K$9,'Indata - Fordon och Trafik'!O8,IF($I$23='Indata - Fordon och Trafik'!$K$10,'Indata - Fordon och Trafik'!O16,'Indata - Fordon och Trafik'!O24))</f>
        <v>0.88</v>
      </c>
      <c r="J64" s="474">
        <f>IF(J$23='Indata - Fordon och Trafik'!$K$9,'Indata - Fordon och Trafik'!P8,IF($J$23='Indata - Fordon och Trafik'!$K$10,'Indata - Fordon och Trafik'!P16,'Indata - Fordon och Trafik'!P24))</f>
        <v>1.1200000000000001</v>
      </c>
      <c r="K64" s="28" t="s">
        <v>303</v>
      </c>
    </row>
    <row r="65" spans="5:10" x14ac:dyDescent="0.3">
      <c r="E65" s="32"/>
      <c r="F65" s="32"/>
      <c r="G65" s="32"/>
      <c r="H65" s="32"/>
      <c r="I65" s="32"/>
      <c r="J65" s="32"/>
    </row>
  </sheetData>
  <protectedRanges>
    <protectedRange algorithmName="SHA-512" hashValue="bhbLMjBtLJkCl6+oRAIq98NZkcBAWzm8GjbRfoftLGnxxPl6tbwDiFe+9aTX2EHNMDT88cd1rnVmqQcow+/x8w==" saltValue="u4cWX+yqQiFBZXUHKrq6Og==" spinCount="100000" sqref="G9:J23" name="Indata"/>
  </protectedRanges>
  <mergeCells count="28">
    <mergeCell ref="A63:A64"/>
    <mergeCell ref="A56:A60"/>
    <mergeCell ref="A29:A31"/>
    <mergeCell ref="K62:L62"/>
    <mergeCell ref="A42:A45"/>
    <mergeCell ref="A46:A49"/>
    <mergeCell ref="A50:A53"/>
    <mergeCell ref="A39:A40"/>
    <mergeCell ref="A54:A55"/>
    <mergeCell ref="A32:A35"/>
    <mergeCell ref="A13:A14"/>
    <mergeCell ref="A19:A20"/>
    <mergeCell ref="A21:A22"/>
    <mergeCell ref="A15:A16"/>
    <mergeCell ref="A25:A27"/>
    <mergeCell ref="K7:L7"/>
    <mergeCell ref="K41:L41"/>
    <mergeCell ref="K5:L5"/>
    <mergeCell ref="K8:L8"/>
    <mergeCell ref="K18:L18"/>
    <mergeCell ref="K24:L24"/>
    <mergeCell ref="E5:F5"/>
    <mergeCell ref="A9:A12"/>
    <mergeCell ref="E6:F6"/>
    <mergeCell ref="G6:H6"/>
    <mergeCell ref="I6:J6"/>
    <mergeCell ref="G5:H5"/>
    <mergeCell ref="I5:J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'Indata - Fordon och Trafik'!$K$5:$K$6</xm:f>
          </x14:formula1>
          <xm:sqref>E17:J17</xm:sqref>
        </x14:dataValidation>
        <x14:dataValidation type="list" allowBlank="1" showInputMessage="1" showErrorMessage="1" xr:uid="{00000000-0002-0000-0100-000001000000}">
          <x14:formula1>
            <xm:f>'Indata - Fordon och Trafik'!$K$9:$K$11</xm:f>
          </x14:formula1>
          <xm:sqref>E23:J23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Q81"/>
  <sheetViews>
    <sheetView zoomScale="90" zoomScaleNormal="90" workbookViewId="0">
      <pane xSplit="3" ySplit="6" topLeftCell="D7" activePane="bottomRight" state="frozen"/>
      <selection pane="topRight" activeCell="D1" sqref="D1"/>
      <selection pane="bottomLeft" activeCell="A6" sqref="A6"/>
      <selection pane="bottomRight" activeCell="D39" sqref="D39"/>
    </sheetView>
  </sheetViews>
  <sheetFormatPr defaultColWidth="8.88671875" defaultRowHeight="14.4" x14ac:dyDescent="0.3"/>
  <cols>
    <col min="1" max="1" width="31" style="14" customWidth="1"/>
    <col min="2" max="2" width="37" style="14" bestFit="1" customWidth="1"/>
    <col min="3" max="3" width="33.44140625" style="14" customWidth="1"/>
    <col min="4" max="9" width="20.5546875" style="14" customWidth="1"/>
    <col min="10" max="16384" width="8.88671875" style="14"/>
  </cols>
  <sheetData>
    <row r="1" spans="1:17" ht="17.399999999999999" x14ac:dyDescent="0.3">
      <c r="A1" s="108" t="s">
        <v>171</v>
      </c>
      <c r="B1" s="28"/>
      <c r="C1" s="28"/>
      <c r="D1" s="28"/>
      <c r="E1" s="28"/>
      <c r="F1" s="28"/>
      <c r="G1" s="28"/>
      <c r="H1" s="28"/>
      <c r="I1" s="28"/>
      <c r="J1" s="28"/>
      <c r="K1" s="28"/>
      <c r="L1" s="28"/>
      <c r="M1" s="28"/>
      <c r="N1" s="28"/>
      <c r="O1" s="28"/>
      <c r="P1" s="28"/>
      <c r="Q1" s="28"/>
    </row>
    <row r="2" spans="1:17" x14ac:dyDescent="0.3">
      <c r="A2" s="64" t="s">
        <v>383</v>
      </c>
      <c r="B2" s="28"/>
      <c r="C2" s="28"/>
      <c r="D2" s="28"/>
      <c r="E2" s="28"/>
      <c r="F2" s="28"/>
      <c r="G2" s="28"/>
      <c r="H2" s="28"/>
      <c r="I2" s="28"/>
      <c r="J2" s="28"/>
      <c r="K2" s="28"/>
      <c r="L2" s="28"/>
      <c r="M2" s="28"/>
      <c r="N2" s="28"/>
      <c r="O2" s="28"/>
      <c r="P2" s="28"/>
      <c r="Q2" s="28"/>
    </row>
    <row r="3" spans="1:17" ht="16.2" thickBot="1" x14ac:dyDescent="0.35">
      <c r="A3" s="27"/>
      <c r="B3" s="28"/>
      <c r="C3" s="28"/>
      <c r="D3" s="28"/>
      <c r="E3" s="28"/>
      <c r="F3" s="28"/>
      <c r="G3" s="28"/>
      <c r="H3" s="28"/>
      <c r="I3" s="28"/>
      <c r="J3" s="28"/>
      <c r="K3" s="28"/>
      <c r="L3" s="28"/>
      <c r="M3" s="28"/>
      <c r="N3" s="28"/>
      <c r="O3" s="28"/>
      <c r="P3" s="28"/>
      <c r="Q3" s="28"/>
    </row>
    <row r="4" spans="1:17" ht="16.2" thickBot="1" x14ac:dyDescent="0.35">
      <c r="A4" s="113" t="s">
        <v>249</v>
      </c>
      <c r="B4" s="114" t="s">
        <v>18</v>
      </c>
      <c r="C4" s="114" t="s">
        <v>14</v>
      </c>
      <c r="D4" s="565" t="s">
        <v>370</v>
      </c>
      <c r="E4" s="566"/>
      <c r="F4" s="565" t="s">
        <v>59</v>
      </c>
      <c r="G4" s="566"/>
      <c r="H4" s="565" t="s">
        <v>60</v>
      </c>
      <c r="I4" s="566"/>
      <c r="J4" s="28"/>
      <c r="K4" s="28"/>
      <c r="L4" s="28"/>
      <c r="M4" s="28"/>
      <c r="N4" s="28"/>
      <c r="O4" s="28"/>
      <c r="P4" s="28"/>
      <c r="Q4" s="28"/>
    </row>
    <row r="5" spans="1:17" s="53" customFormat="1" ht="61.95" customHeight="1" thickBot="1" x14ac:dyDescent="0.35">
      <c r="A5" s="264" t="s">
        <v>198</v>
      </c>
      <c r="B5" s="265"/>
      <c r="C5" s="266"/>
      <c r="D5" s="591" t="str">
        <f>Indata!E6</f>
        <v>Beslutad politik</v>
      </c>
      <c r="E5" s="592"/>
      <c r="F5" s="591" t="str">
        <f>Indata!G6</f>
        <v>Här kan användaren beskriva sitt scenario, t.ex. "Biodrivmedelsscenario"</v>
      </c>
      <c r="G5" s="592"/>
      <c r="H5" s="591" t="str">
        <f>Indata!I6</f>
        <v>Här kan användaren beskriva sitt scenario, t.ex. "Biodrivmedelsscenario"</v>
      </c>
      <c r="I5" s="592"/>
      <c r="J5" s="52"/>
      <c r="K5" s="52"/>
      <c r="L5" s="52"/>
      <c r="M5" s="52"/>
      <c r="N5" s="52"/>
      <c r="O5" s="52"/>
      <c r="P5" s="52"/>
      <c r="Q5" s="52"/>
    </row>
    <row r="6" spans="1:17" s="110" customFormat="1" ht="16.2" thickBot="1" x14ac:dyDescent="0.35">
      <c r="A6" s="113" t="s">
        <v>173</v>
      </c>
      <c r="B6" s="114" t="s">
        <v>18</v>
      </c>
      <c r="C6" s="114" t="s">
        <v>14</v>
      </c>
      <c r="D6" s="115">
        <v>2030</v>
      </c>
      <c r="E6" s="116">
        <v>2045</v>
      </c>
      <c r="F6" s="115">
        <v>2030</v>
      </c>
      <c r="G6" s="116">
        <v>2045</v>
      </c>
      <c r="H6" s="115">
        <v>2030</v>
      </c>
      <c r="I6" s="116">
        <v>2045</v>
      </c>
      <c r="J6" s="109"/>
      <c r="K6" s="109"/>
      <c r="L6" s="109"/>
      <c r="M6" s="109"/>
      <c r="N6" s="109"/>
      <c r="O6" s="109"/>
      <c r="P6" s="109"/>
      <c r="Q6" s="109"/>
    </row>
    <row r="7" spans="1:17" x14ac:dyDescent="0.3">
      <c r="A7" s="586" t="s">
        <v>0</v>
      </c>
      <c r="B7" s="267" t="s">
        <v>95</v>
      </c>
      <c r="C7" s="267" t="s">
        <v>200</v>
      </c>
      <c r="D7" s="412">
        <f>'Modell - Lätta fordon'!AH6</f>
        <v>17.822176923076924</v>
      </c>
      <c r="E7" s="413">
        <f>'Modell - Lätta fordon'!AI6</f>
        <v>33.912125000000003</v>
      </c>
      <c r="F7" s="412">
        <f>'Modell - Lätta fordon'!AJ6</f>
        <v>17.822176923076924</v>
      </c>
      <c r="G7" s="414">
        <f>'Modell - Lätta fordon'!AK6</f>
        <v>33.912125000000003</v>
      </c>
      <c r="H7" s="415">
        <f>'Modell - Lätta fordon'!AL6</f>
        <v>17.822176923076924</v>
      </c>
      <c r="I7" s="414">
        <f>'Modell - Lätta fordon'!AM6</f>
        <v>33.912125000000003</v>
      </c>
    </row>
    <row r="8" spans="1:17" x14ac:dyDescent="0.3">
      <c r="A8" s="587"/>
      <c r="B8" s="268" t="s">
        <v>96</v>
      </c>
      <c r="C8" s="268" t="s">
        <v>200</v>
      </c>
      <c r="D8" s="416">
        <f>'Modell - Lätta fordon'!AH7</f>
        <v>16.764467307692307</v>
      </c>
      <c r="E8" s="417">
        <f>'Modell - Lätta fordon'!AI7</f>
        <v>31.862500000000004</v>
      </c>
      <c r="F8" s="416">
        <f>'Modell - Lätta fordon'!AJ7</f>
        <v>16.764467307692307</v>
      </c>
      <c r="G8" s="418">
        <f>'Modell - Lätta fordon'!AK7</f>
        <v>31.862500000000004</v>
      </c>
      <c r="H8" s="419">
        <f>'Modell - Lätta fordon'!AL7</f>
        <v>16.764467307692307</v>
      </c>
      <c r="I8" s="418">
        <f>'Modell - Lätta fordon'!AM7</f>
        <v>31.862500000000004</v>
      </c>
    </row>
    <row r="9" spans="1:17" x14ac:dyDescent="0.3">
      <c r="A9" s="587"/>
      <c r="B9" s="268" t="s">
        <v>97</v>
      </c>
      <c r="C9" s="268" t="s">
        <v>177</v>
      </c>
      <c r="D9" s="416">
        <f>'Modell - Lätta fordon'!AH8</f>
        <v>1.5850961538461539</v>
      </c>
      <c r="E9" s="417">
        <f>'Modell - Lätta fordon'!AI8</f>
        <v>1.8375000000000004</v>
      </c>
      <c r="F9" s="416">
        <f>'Modell - Lätta fordon'!AJ8</f>
        <v>1.5850961538461539</v>
      </c>
      <c r="G9" s="418">
        <f>'Modell - Lätta fordon'!AK8</f>
        <v>1.8375000000000004</v>
      </c>
      <c r="H9" s="419">
        <f>'Modell - Lätta fordon'!AL8</f>
        <v>1.5850961538461539</v>
      </c>
      <c r="I9" s="418">
        <f>'Modell - Lätta fordon'!AM8</f>
        <v>1.8375000000000004</v>
      </c>
    </row>
    <row r="10" spans="1:17" x14ac:dyDescent="0.3">
      <c r="A10" s="587"/>
      <c r="B10" s="268" t="s">
        <v>175</v>
      </c>
      <c r="C10" s="268" t="s">
        <v>250</v>
      </c>
      <c r="D10" s="416">
        <f>'Modell - Tunga fordon'!AH6</f>
        <v>23.67</v>
      </c>
      <c r="E10" s="417">
        <f>'Modell - Tunga fordon'!AI6</f>
        <v>24.490000000000002</v>
      </c>
      <c r="F10" s="416">
        <f>'Modell - Tunga fordon'!AJ6</f>
        <v>23.67</v>
      </c>
      <c r="G10" s="418">
        <f>'Modell - Tunga fordon'!AK6</f>
        <v>24.490000000000002</v>
      </c>
      <c r="H10" s="419">
        <f>'Modell - Tunga fordon'!AL6</f>
        <v>23.67</v>
      </c>
      <c r="I10" s="418">
        <f>'Modell - Tunga fordon'!AM6</f>
        <v>24.490000000000002</v>
      </c>
    </row>
    <row r="11" spans="1:17" ht="15" thickBot="1" x14ac:dyDescent="0.35">
      <c r="A11" s="588"/>
      <c r="B11" s="269" t="s">
        <v>176</v>
      </c>
      <c r="C11" s="269" t="s">
        <v>251</v>
      </c>
      <c r="D11" s="420">
        <f>'Modell - Tunga fordon'!AH7</f>
        <v>1.7434615384615384</v>
      </c>
      <c r="E11" s="421">
        <f>'Modell - Tunga fordon'!AI7</f>
        <v>1.83</v>
      </c>
      <c r="F11" s="420">
        <f>'Modell - Tunga fordon'!AJ7</f>
        <v>1.7434615384615384</v>
      </c>
      <c r="G11" s="422">
        <f>'Modell - Tunga fordon'!AK7</f>
        <v>1.83</v>
      </c>
      <c r="H11" s="423">
        <f>'Modell - Tunga fordon'!AL7</f>
        <v>1.7434615384615384</v>
      </c>
      <c r="I11" s="422">
        <f>'Modell - Tunga fordon'!AM7</f>
        <v>1.83</v>
      </c>
    </row>
    <row r="12" spans="1:17" x14ac:dyDescent="0.3">
      <c r="A12" s="586" t="s">
        <v>38</v>
      </c>
      <c r="B12" s="267" t="s">
        <v>95</v>
      </c>
      <c r="C12" s="267" t="s">
        <v>39</v>
      </c>
      <c r="D12" s="412">
        <f>'Modell - Lätta fordon'!AH13</f>
        <v>0.54362786502111604</v>
      </c>
      <c r="E12" s="413">
        <f>'Modell - Lätta fordon'!AI13</f>
        <v>0.59493869654716436</v>
      </c>
      <c r="F12" s="412">
        <f>'Modell - Lätta fordon'!AJ13</f>
        <v>0.54362786502111604</v>
      </c>
      <c r="G12" s="414">
        <f>'Modell - Lätta fordon'!AK13</f>
        <v>0.59493869654716436</v>
      </c>
      <c r="H12" s="415">
        <f>'Modell - Lätta fordon'!AL13</f>
        <v>0.54362786502111604</v>
      </c>
      <c r="I12" s="414">
        <f>'Modell - Lätta fordon'!AM13</f>
        <v>0.59493869654716436</v>
      </c>
    </row>
    <row r="13" spans="1:17" x14ac:dyDescent="0.3">
      <c r="A13" s="587"/>
      <c r="B13" s="268" t="s">
        <v>96</v>
      </c>
      <c r="C13" s="268" t="s">
        <v>39</v>
      </c>
      <c r="D13" s="416">
        <f>'Modell - Lätta fordon'!AH14</f>
        <v>0.71409907323874344</v>
      </c>
      <c r="E13" s="417">
        <f>'Modell - Lätta fordon'!AI14</f>
        <v>0.73856511182227358</v>
      </c>
      <c r="F13" s="416">
        <f>'Modell - Lätta fordon'!AJ14</f>
        <v>0.71409907323874344</v>
      </c>
      <c r="G13" s="418">
        <f>'Modell - Lätta fordon'!AK14</f>
        <v>0.73856511182227358</v>
      </c>
      <c r="H13" s="419">
        <f>'Modell - Lätta fordon'!AL14</f>
        <v>0.71409907323874344</v>
      </c>
      <c r="I13" s="418">
        <f>'Modell - Lätta fordon'!AM14</f>
        <v>0.73856511182227358</v>
      </c>
      <c r="J13" s="333"/>
    </row>
    <row r="14" spans="1:17" x14ac:dyDescent="0.3">
      <c r="A14" s="587"/>
      <c r="B14" s="268" t="s">
        <v>97</v>
      </c>
      <c r="C14" s="268" t="s">
        <v>40</v>
      </c>
      <c r="D14" s="416">
        <f>'Modell - Lätta fordon'!AH15</f>
        <v>2.3690591161723722</v>
      </c>
      <c r="E14" s="417">
        <f>'Modell - Lätta fordon'!AI15</f>
        <v>2.3690591161723722</v>
      </c>
      <c r="F14" s="416">
        <f>'Modell - Lätta fordon'!AJ15</f>
        <v>2.3690591161723722</v>
      </c>
      <c r="G14" s="418">
        <f>'Modell - Lätta fordon'!AK15</f>
        <v>2.3690591161723722</v>
      </c>
      <c r="H14" s="419">
        <f>'Modell - Lätta fordon'!AL15</f>
        <v>2.3690591161723722</v>
      </c>
      <c r="I14" s="418">
        <f>'Modell - Lätta fordon'!AM15</f>
        <v>2.3690591161723722</v>
      </c>
    </row>
    <row r="15" spans="1:17" x14ac:dyDescent="0.3">
      <c r="A15" s="587"/>
      <c r="B15" s="268" t="s">
        <v>339</v>
      </c>
      <c r="C15" s="268" t="s">
        <v>39</v>
      </c>
      <c r="D15" s="424">
        <f>'Modell - Tunga fordon'!AH15</f>
        <v>3.306093271833769</v>
      </c>
      <c r="E15" s="417">
        <f>'Modell - Tunga fordon'!AI15</f>
        <v>3.0182255603938848</v>
      </c>
      <c r="F15" s="416">
        <f>'Modell - Tunga fordon'!AJ15</f>
        <v>3.306093271833769</v>
      </c>
      <c r="G15" s="418">
        <f>'Modell - Tunga fordon'!AK15</f>
        <v>3.0182255603938848</v>
      </c>
      <c r="H15" s="419">
        <f>'Modell - Tunga fordon'!AL15</f>
        <v>3.306093271833769</v>
      </c>
      <c r="I15" s="418">
        <f>'Modell - Tunga fordon'!AM15</f>
        <v>3.0182255603938848</v>
      </c>
    </row>
    <row r="16" spans="1:17" ht="15" thickBot="1" x14ac:dyDescent="0.35">
      <c r="A16" s="588"/>
      <c r="B16" s="269" t="s">
        <v>310</v>
      </c>
      <c r="C16" s="269" t="s">
        <v>40</v>
      </c>
      <c r="D16" s="420">
        <f>'Modell - Tunga fordon'!AH16</f>
        <v>9.0169813068265903</v>
      </c>
      <c r="E16" s="421">
        <f>'Modell - Tunga fordon'!AI16</f>
        <v>9.0169813068265903</v>
      </c>
      <c r="F16" s="420">
        <f>'Modell - Tunga fordon'!AJ16</f>
        <v>9.0169813068265903</v>
      </c>
      <c r="G16" s="422">
        <f>'Modell - Tunga fordon'!AK16</f>
        <v>9.0169813068265903</v>
      </c>
      <c r="H16" s="423">
        <f>'Modell - Tunga fordon'!AL16</f>
        <v>9.0169813068265903</v>
      </c>
      <c r="I16" s="422">
        <f>'Modell - Tunga fordon'!AM16</f>
        <v>9.0169813068265903</v>
      </c>
    </row>
    <row r="17" spans="1:11" x14ac:dyDescent="0.3">
      <c r="A17" s="586" t="s">
        <v>21</v>
      </c>
      <c r="B17" s="267" t="s">
        <v>178</v>
      </c>
      <c r="C17" s="267" t="s">
        <v>68</v>
      </c>
      <c r="D17" s="412">
        <f>'Modell - Lätta fordon'!AH24</f>
        <v>0</v>
      </c>
      <c r="E17" s="413">
        <f>'Modell - Lätta fordon'!AI24</f>
        <v>0</v>
      </c>
      <c r="F17" s="412">
        <f>'Modell - Lätta fordon'!AJ24</f>
        <v>0</v>
      </c>
      <c r="G17" s="414">
        <f>'Modell - Lätta fordon'!AK24</f>
        <v>0</v>
      </c>
      <c r="H17" s="415">
        <f>'Modell - Lätta fordon'!AL24</f>
        <v>0</v>
      </c>
      <c r="I17" s="414">
        <f>'Modell - Lätta fordon'!AM24</f>
        <v>0</v>
      </c>
    </row>
    <row r="18" spans="1:11" ht="15" thickBot="1" x14ac:dyDescent="0.35">
      <c r="A18" s="588"/>
      <c r="B18" s="269" t="s">
        <v>311</v>
      </c>
      <c r="C18" s="269" t="s">
        <v>68</v>
      </c>
      <c r="D18" s="420">
        <f>'Modell - Tunga fordon'!AH29</f>
        <v>0</v>
      </c>
      <c r="E18" s="421">
        <f>'Modell - Tunga fordon'!AI29</f>
        <v>0</v>
      </c>
      <c r="F18" s="420">
        <f>'Modell - Tunga fordon'!AJ29</f>
        <v>0</v>
      </c>
      <c r="G18" s="422">
        <f>'Modell - Tunga fordon'!AK29</f>
        <v>0</v>
      </c>
      <c r="H18" s="423">
        <f>'Modell - Tunga fordon'!AL29</f>
        <v>0</v>
      </c>
      <c r="I18" s="422">
        <f>'Modell - Tunga fordon'!AM29</f>
        <v>0</v>
      </c>
    </row>
    <row r="19" spans="1:11" ht="15" thickBot="1" x14ac:dyDescent="0.35">
      <c r="A19" s="336" t="s">
        <v>69</v>
      </c>
      <c r="B19" s="267" t="s">
        <v>178</v>
      </c>
      <c r="C19" s="267" t="s">
        <v>68</v>
      </c>
      <c r="D19" s="412">
        <f>'Modell - Lätta fordon'!AH29</f>
        <v>10.009999999999998</v>
      </c>
      <c r="E19" s="413">
        <f>'Modell - Lätta fordon'!AI29</f>
        <v>10.009999999999998</v>
      </c>
      <c r="F19" s="412">
        <f>'Modell - Lätta fordon'!AJ29</f>
        <v>10.009999999999998</v>
      </c>
      <c r="G19" s="414">
        <f>'Modell - Lätta fordon'!AK29</f>
        <v>10.009999999999998</v>
      </c>
      <c r="H19" s="415">
        <f>'Modell - Lätta fordon'!AL29</f>
        <v>10.009999999999998</v>
      </c>
      <c r="I19" s="414">
        <f>'Modell - Lätta fordon'!AM29</f>
        <v>10.009999999999998</v>
      </c>
    </row>
    <row r="20" spans="1:11" x14ac:dyDescent="0.3">
      <c r="A20" s="586" t="s">
        <v>71</v>
      </c>
      <c r="B20" s="267" t="s">
        <v>95</v>
      </c>
      <c r="C20" s="267" t="s">
        <v>68</v>
      </c>
      <c r="D20" s="425">
        <f>'Modell - Lätta fordon'!AH40</f>
        <v>19.698631990720909</v>
      </c>
      <c r="E20" s="426">
        <f>'Modell - Lätta fordon'!AI40</f>
        <v>30.185635444644507</v>
      </c>
      <c r="F20" s="412">
        <f>'Modell - Lätta fordon'!AJ40</f>
        <v>19.698631990720909</v>
      </c>
      <c r="G20" s="414">
        <f>'Modell - Lätta fordon'!AK40</f>
        <v>30.185635444644507</v>
      </c>
      <c r="H20" s="415">
        <f>'Modell - Lätta fordon'!AL40</f>
        <v>19.698631990720909</v>
      </c>
      <c r="I20" s="414">
        <f>'Modell - Lätta fordon'!AM40</f>
        <v>30.185635444644507</v>
      </c>
      <c r="J20" s="346"/>
      <c r="K20" s="369">
        <f>AVERAGE(I20:I21)</f>
        <v>31.864083160040849</v>
      </c>
    </row>
    <row r="21" spans="1:11" x14ac:dyDescent="0.3">
      <c r="A21" s="587"/>
      <c r="B21" s="268" t="s">
        <v>96</v>
      </c>
      <c r="C21" s="268" t="s">
        <v>68</v>
      </c>
      <c r="D21" s="424">
        <f>'Modell - Lätta fordon'!AH41</f>
        <v>21.981490567764286</v>
      </c>
      <c r="E21" s="427">
        <f>'Modell - Lätta fordon'!AI41</f>
        <v>33.542530875437194</v>
      </c>
      <c r="F21" s="416">
        <f>'Modell - Lätta fordon'!AJ41</f>
        <v>21.981490567764286</v>
      </c>
      <c r="G21" s="418">
        <f>'Modell - Lätta fordon'!AK41</f>
        <v>33.542530875437194</v>
      </c>
      <c r="H21" s="419">
        <f>'Modell - Lätta fordon'!AL41</f>
        <v>21.981490567764286</v>
      </c>
      <c r="I21" s="418">
        <f>'Modell - Lätta fordon'!AM41</f>
        <v>33.542530875437194</v>
      </c>
    </row>
    <row r="22" spans="1:11" x14ac:dyDescent="0.3">
      <c r="A22" s="587"/>
      <c r="B22" s="268" t="s">
        <v>97</v>
      </c>
      <c r="C22" s="268" t="s">
        <v>68</v>
      </c>
      <c r="D22" s="424">
        <f>'Modell - Lätta fordon'!AH42</f>
        <v>13.765186493278994</v>
      </c>
      <c r="E22" s="427">
        <f>'Modell - Lätta fordon'!AI42</f>
        <v>14.363146125966733</v>
      </c>
      <c r="F22" s="416">
        <f>'Modell - Lätta fordon'!AJ42</f>
        <v>13.765186493278994</v>
      </c>
      <c r="G22" s="418">
        <f>'Modell - Lätta fordon'!AK42</f>
        <v>14.363146125966733</v>
      </c>
      <c r="H22" s="419">
        <f>'Modell - Lätta fordon'!AL42</f>
        <v>13.765186493278994</v>
      </c>
      <c r="I22" s="418">
        <f>'Modell - Lätta fordon'!AM42</f>
        <v>14.363146125966733</v>
      </c>
    </row>
    <row r="23" spans="1:11" x14ac:dyDescent="0.3">
      <c r="A23" s="587"/>
      <c r="B23" s="342" t="s">
        <v>174</v>
      </c>
      <c r="C23" s="342" t="s">
        <v>68</v>
      </c>
      <c r="D23" s="428">
        <f>'Modell - Lätta fordon'!AH43</f>
        <v>20.74</v>
      </c>
      <c r="E23" s="429">
        <f>'Modell - Lätta fordon'!AI43</f>
        <v>19.655019213344737</v>
      </c>
      <c r="F23" s="428">
        <f>'Modell - Lätta fordon'!AJ43</f>
        <v>17.647695705034639</v>
      </c>
      <c r="G23" s="430">
        <f>'Modell - Lätta fordon'!AK43</f>
        <v>15.36197433338498</v>
      </c>
      <c r="H23" s="431">
        <f>'Modell - Lätta fordon'!AL43</f>
        <v>17.647695705034639</v>
      </c>
      <c r="I23" s="430">
        <f>'Modell - Lätta fordon'!AM43</f>
        <v>15.36197433338498</v>
      </c>
    </row>
    <row r="24" spans="1:11" x14ac:dyDescent="0.3">
      <c r="A24" s="587"/>
      <c r="B24" s="268" t="s">
        <v>339</v>
      </c>
      <c r="C24" s="268" t="s">
        <v>68</v>
      </c>
      <c r="D24" s="416">
        <f>'Modell - Tunga fordon'!AH57</f>
        <v>78.255227744305316</v>
      </c>
      <c r="E24" s="417">
        <f>'Modell - Tunga fordon'!AI57</f>
        <v>73.916343974046256</v>
      </c>
      <c r="F24" s="416">
        <f>'Modell - Tunga fordon'!AJ57</f>
        <v>78.255227744305316</v>
      </c>
      <c r="G24" s="418">
        <f>'Modell - Tunga fordon'!AK57</f>
        <v>73.916343974046256</v>
      </c>
      <c r="H24" s="419">
        <f>'Modell - Tunga fordon'!AL57</f>
        <v>78.255227744305316</v>
      </c>
      <c r="I24" s="418">
        <f>'Modell - Tunga fordon'!AM57</f>
        <v>73.916343974046256</v>
      </c>
    </row>
    <row r="25" spans="1:11" x14ac:dyDescent="0.3">
      <c r="A25" s="587"/>
      <c r="B25" s="268" t="s">
        <v>310</v>
      </c>
      <c r="C25" s="268" t="s">
        <v>68</v>
      </c>
      <c r="D25" s="432">
        <f>'Modell - Tunga fordon'!AH62</f>
        <v>29.530338954436608</v>
      </c>
      <c r="E25" s="433">
        <f>'Modell - Tunga fordon'!AI62</f>
        <v>32.309247638968962</v>
      </c>
      <c r="F25" s="432">
        <f>'Modell - Tunga fordon'!AJ62</f>
        <v>29.530338954436608</v>
      </c>
      <c r="G25" s="434">
        <f>'Modell - Tunga fordon'!AK62</f>
        <v>32.309247638968962</v>
      </c>
      <c r="H25" s="435">
        <f>'Modell - Tunga fordon'!AL62</f>
        <v>29.530338954436608</v>
      </c>
      <c r="I25" s="434">
        <f>'Modell - Tunga fordon'!AM62</f>
        <v>32.309247638968962</v>
      </c>
    </row>
    <row r="26" spans="1:11" ht="15" thickBot="1" x14ac:dyDescent="0.35">
      <c r="A26" s="588"/>
      <c r="B26" s="343" t="s">
        <v>340</v>
      </c>
      <c r="C26" s="343" t="s">
        <v>68</v>
      </c>
      <c r="D26" s="436">
        <f>'Modell - Tunga fordon'!AH67</f>
        <v>72.818521342687831</v>
      </c>
      <c r="E26" s="437">
        <f>'Modell - Tunga fordon'!AI67</f>
        <v>40.612135386421116</v>
      </c>
      <c r="F26" s="436">
        <f>'Modell - Tunga fordon'!AJ67</f>
        <v>72.818521342687831</v>
      </c>
      <c r="G26" s="370">
        <f>'Modell - Tunga fordon'!AK67</f>
        <v>40.612135386421116</v>
      </c>
      <c r="H26" s="368">
        <f>'Modell - Tunga fordon'!AL67</f>
        <v>72.818521342687831</v>
      </c>
      <c r="I26" s="370">
        <f>'Modell - Tunga fordon'!AM67</f>
        <v>40.612135386421116</v>
      </c>
    </row>
    <row r="27" spans="1:11" x14ac:dyDescent="0.3">
      <c r="A27" s="586" t="s">
        <v>17</v>
      </c>
      <c r="B27" s="267" t="s">
        <v>95</v>
      </c>
      <c r="C27" s="267" t="s">
        <v>36</v>
      </c>
      <c r="D27" s="412">
        <f>'Modell - Lätta fordon'!AH34</f>
        <v>23.337720054121423</v>
      </c>
      <c r="E27" s="413">
        <f>'Modell - Lätta fordon'!AI34</f>
        <v>3.8029853605781585</v>
      </c>
      <c r="F27" s="412">
        <f>'Modell - Lätta fordon'!AJ34</f>
        <v>24.424184547587608</v>
      </c>
      <c r="G27" s="414">
        <f>'Modell - Lätta fordon'!AK34</f>
        <v>4.0632074416747193</v>
      </c>
      <c r="H27" s="415">
        <f>'Modell - Lätta fordon'!AL34</f>
        <v>24.424184547587608</v>
      </c>
      <c r="I27" s="414">
        <f>'Modell - Lätta fordon'!AM34</f>
        <v>4.0632074416747193</v>
      </c>
      <c r="J27" s="333"/>
    </row>
    <row r="28" spans="1:11" x14ac:dyDescent="0.3">
      <c r="A28" s="587"/>
      <c r="B28" s="268" t="s">
        <v>96</v>
      </c>
      <c r="C28" s="268" t="s">
        <v>36</v>
      </c>
      <c r="D28" s="416">
        <f>'Modell - Lätta fordon'!AH35</f>
        <v>28.624887793254807</v>
      </c>
      <c r="E28" s="417">
        <f>'Modell - Lätta fordon'!AI35</f>
        <v>2.6340130153970063</v>
      </c>
      <c r="F28" s="416">
        <f>'Modell - Lätta fordon'!AJ35</f>
        <v>29.957491155738484</v>
      </c>
      <c r="G28" s="418">
        <f>'Modell - Lätta fordon'!AK35</f>
        <v>2.8142473007053859</v>
      </c>
      <c r="H28" s="419">
        <f>'Modell - Lätta fordon'!AL35</f>
        <v>29.957491155738484</v>
      </c>
      <c r="I28" s="418">
        <f>'Modell - Lätta fordon'!AM35</f>
        <v>2.8142473007053859</v>
      </c>
      <c r="J28" s="333"/>
    </row>
    <row r="29" spans="1:11" x14ac:dyDescent="0.3">
      <c r="A29" s="587"/>
      <c r="B29" s="268" t="s">
        <v>97</v>
      </c>
      <c r="C29" s="268" t="s">
        <v>36</v>
      </c>
      <c r="D29" s="416">
        <f>'Modell - Lätta fordon'!AH36</f>
        <v>44.28027318731484</v>
      </c>
      <c r="E29" s="417">
        <f>'Modell - Lätta fordon'!AI36</f>
        <v>104.38430551006638</v>
      </c>
      <c r="F29" s="416">
        <f>'Modell - Lätta fordon'!AJ36</f>
        <v>46.341697545282678</v>
      </c>
      <c r="G29" s="418">
        <f>'Modell - Lätta fordon'!AK36</f>
        <v>111.52687868303255</v>
      </c>
      <c r="H29" s="419">
        <f>'Modell - Lätta fordon'!AL36</f>
        <v>46.341697545282678</v>
      </c>
      <c r="I29" s="418">
        <f>'Modell - Lätta fordon'!AM36</f>
        <v>111.52687868303255</v>
      </c>
      <c r="J29" s="333"/>
    </row>
    <row r="30" spans="1:11" x14ac:dyDescent="0.3">
      <c r="A30" s="587"/>
      <c r="B30" s="342" t="s">
        <v>98</v>
      </c>
      <c r="C30" s="342" t="s">
        <v>36</v>
      </c>
      <c r="D30" s="428">
        <f>'Modell - Lätta fordon'!AH37</f>
        <v>96.242881034691067</v>
      </c>
      <c r="E30" s="438">
        <f>'Modell - Lätta fordon'!AI37</f>
        <v>110.82130388604155</v>
      </c>
      <c r="F30" s="439">
        <f>'Modell - Lätta fordon'!AJ37</f>
        <v>100.72337324860877</v>
      </c>
      <c r="G30" s="430">
        <f>'Modell - Lätta fordon'!AK37</f>
        <v>118.40433342541266</v>
      </c>
      <c r="H30" s="431">
        <f>'Modell - Lätta fordon'!AL37</f>
        <v>100.72337324860877</v>
      </c>
      <c r="I30" s="430">
        <f>'Modell - Lätta fordon'!AM37</f>
        <v>118.40433342541266</v>
      </c>
    </row>
    <row r="31" spans="1:11" x14ac:dyDescent="0.3">
      <c r="A31" s="587"/>
      <c r="B31" s="268" t="s">
        <v>341</v>
      </c>
      <c r="C31" s="268" t="s">
        <v>36</v>
      </c>
      <c r="D31" s="416">
        <f>'Modell - Tunga fordon'!AH40</f>
        <v>5.3104201151241863</v>
      </c>
      <c r="E31" s="417">
        <f>'Modell - Tunga fordon'!AI40</f>
        <v>1.406652954358834</v>
      </c>
      <c r="F31" s="416">
        <f>'Modell - Tunga fordon'!AJ40</f>
        <v>5.3104201151241863</v>
      </c>
      <c r="G31" s="418">
        <f>'Modell - Tunga fordon'!AK40</f>
        <v>1.406652954358834</v>
      </c>
      <c r="H31" s="419">
        <f>'Modell - Tunga fordon'!AL40</f>
        <v>5.3104201151241863</v>
      </c>
      <c r="I31" s="418">
        <f>'Modell - Tunga fordon'!AM40</f>
        <v>1.406652954358834</v>
      </c>
      <c r="J31" s="333"/>
    </row>
    <row r="32" spans="1:11" x14ac:dyDescent="0.3">
      <c r="A32" s="587"/>
      <c r="B32" s="268" t="s">
        <v>310</v>
      </c>
      <c r="C32" s="268" t="s">
        <v>36</v>
      </c>
      <c r="D32" s="432">
        <f>'Modell - Tunga fordon'!AH45</f>
        <v>0.66695327552051986</v>
      </c>
      <c r="E32" s="433">
        <f>'Modell - Tunga fordon'!AI45</f>
        <v>5.6423096189324564</v>
      </c>
      <c r="F32" s="432">
        <f>'Modell - Tunga fordon'!AJ45</f>
        <v>0.66695327552051986</v>
      </c>
      <c r="G32" s="434">
        <f>'Modell - Tunga fordon'!AK45</f>
        <v>5.6423096189324564</v>
      </c>
      <c r="H32" s="435">
        <f>'Modell - Tunga fordon'!AL45</f>
        <v>0.66695327552051986</v>
      </c>
      <c r="I32" s="434">
        <f>'Modell - Tunga fordon'!AM45</f>
        <v>5.6423096189324564</v>
      </c>
      <c r="J32" s="333"/>
    </row>
    <row r="33" spans="1:10" x14ac:dyDescent="0.3">
      <c r="A33" s="587"/>
      <c r="B33" s="342" t="s">
        <v>342</v>
      </c>
      <c r="C33" s="342" t="s">
        <v>36</v>
      </c>
      <c r="D33" s="428">
        <f>'Modell - Tunga fordon'!AH50</f>
        <v>5.9773733906447069</v>
      </c>
      <c r="E33" s="438">
        <f>'Modell - Tunga fordon'!AI50</f>
        <v>7.0489625732912904</v>
      </c>
      <c r="F33" s="428">
        <f>'Modell - Tunga fordon'!AJ50</f>
        <v>5.9773733906447069</v>
      </c>
      <c r="G33" s="430">
        <f>'Modell - Tunga fordon'!AK50</f>
        <v>7.0489625732912904</v>
      </c>
      <c r="H33" s="431">
        <f>'Modell - Tunga fordon'!AL50</f>
        <v>5.9773733906447069</v>
      </c>
      <c r="I33" s="430">
        <f>'Modell - Tunga fordon'!AM50</f>
        <v>7.0489625732912904</v>
      </c>
      <c r="J33" s="333"/>
    </row>
    <row r="34" spans="1:10" ht="15" thickBot="1" x14ac:dyDescent="0.35">
      <c r="A34" s="588"/>
      <c r="B34" s="343" t="s">
        <v>322</v>
      </c>
      <c r="C34" s="343" t="s">
        <v>36</v>
      </c>
      <c r="D34" s="436">
        <f>D30+D33</f>
        <v>102.22025442533577</v>
      </c>
      <c r="E34" s="437">
        <f t="shared" ref="E34:I34" si="0">E30+E33</f>
        <v>117.87026645933284</v>
      </c>
      <c r="F34" s="436">
        <f t="shared" si="0"/>
        <v>106.70074663925347</v>
      </c>
      <c r="G34" s="370">
        <f>G30+G33</f>
        <v>125.45329599870395</v>
      </c>
      <c r="H34" s="368">
        <f t="shared" si="0"/>
        <v>106.70074663925347</v>
      </c>
      <c r="I34" s="370">
        <f t="shared" si="0"/>
        <v>125.45329599870395</v>
      </c>
      <c r="J34" s="333"/>
    </row>
    <row r="35" spans="1:10" x14ac:dyDescent="0.3">
      <c r="A35" s="587" t="s">
        <v>277</v>
      </c>
      <c r="B35" s="268" t="s">
        <v>178</v>
      </c>
      <c r="C35" s="268" t="s">
        <v>19</v>
      </c>
      <c r="D35" s="83">
        <f>D29/D30</f>
        <v>0.46008881603776874</v>
      </c>
      <c r="E35" s="84">
        <f t="shared" ref="E35:I35" si="1">E29/E30</f>
        <v>0.941915514885167</v>
      </c>
      <c r="F35" s="83">
        <f t="shared" si="1"/>
        <v>0.46008881603776874</v>
      </c>
      <c r="G35" s="85">
        <f t="shared" si="1"/>
        <v>0.941915514885167</v>
      </c>
      <c r="H35" s="86">
        <f t="shared" si="1"/>
        <v>0.46008881603776874</v>
      </c>
      <c r="I35" s="85">
        <f t="shared" si="1"/>
        <v>0.941915514885167</v>
      </c>
    </row>
    <row r="36" spans="1:10" ht="15" thickBot="1" x14ac:dyDescent="0.35">
      <c r="A36" s="588"/>
      <c r="B36" s="269" t="s">
        <v>311</v>
      </c>
      <c r="C36" s="269" t="s">
        <v>19</v>
      </c>
      <c r="D36" s="454">
        <f t="shared" ref="D36:I36" si="2">D32/D33</f>
        <v>0.11157965747369576</v>
      </c>
      <c r="E36" s="455">
        <f>E32/E33</f>
        <v>0.80044539324287522</v>
      </c>
      <c r="F36" s="80">
        <f t="shared" si="2"/>
        <v>0.11157965747369576</v>
      </c>
      <c r="G36" s="81">
        <f t="shared" si="2"/>
        <v>0.80044539324287522</v>
      </c>
      <c r="H36" s="82">
        <f t="shared" si="2"/>
        <v>0.11157965747369576</v>
      </c>
      <c r="I36" s="81">
        <f t="shared" si="2"/>
        <v>0.80044539324287522</v>
      </c>
    </row>
    <row r="37" spans="1:10" x14ac:dyDescent="0.3">
      <c r="A37" s="589" t="s">
        <v>267</v>
      </c>
      <c r="B37" s="267" t="s">
        <v>178</v>
      </c>
      <c r="C37" s="267" t="s">
        <v>182</v>
      </c>
      <c r="D37" s="440">
        <f>'Modell - Lätta fordon'!AH56</f>
        <v>7.2435045423581386</v>
      </c>
      <c r="E37" s="441">
        <f>'Modell - Lätta fordon'!AI56</f>
        <v>-5.9281489073729757E-17</v>
      </c>
      <c r="F37" s="440">
        <f>'Modell - Lätta fordon'!AJ56</f>
        <v>7.5807187378872065</v>
      </c>
      <c r="G37" s="441">
        <f>'Modell - Lätta fordon'!AK56</f>
        <v>-6.3337868731979014E-17</v>
      </c>
      <c r="H37" s="440">
        <f>'Modell - Lätta fordon'!AL56</f>
        <v>7.5807187378872065</v>
      </c>
      <c r="I37" s="441">
        <f>'Modell - Lätta fordon'!AM56</f>
        <v>-6.3337868731979014E-17</v>
      </c>
    </row>
    <row r="38" spans="1:10" x14ac:dyDescent="0.3">
      <c r="A38" s="590"/>
      <c r="B38" s="268" t="s">
        <v>311</v>
      </c>
      <c r="C38" s="268" t="s">
        <v>182</v>
      </c>
      <c r="D38" s="442">
        <f>'Modell - Tunga fordon'!AH73</f>
        <v>3.8529328580570188</v>
      </c>
      <c r="E38" s="443">
        <f>'Modell - Tunga fordon'!AI73</f>
        <v>0</v>
      </c>
      <c r="F38" s="442">
        <f>'Modell - Tunga fordon'!AJ73</f>
        <v>3.8529328580570188</v>
      </c>
      <c r="G38" s="443">
        <f>'Modell - Tunga fordon'!AK73</f>
        <v>0</v>
      </c>
      <c r="H38" s="442">
        <f>'Modell - Tunga fordon'!AL73</f>
        <v>3.8529328580570188</v>
      </c>
      <c r="I38" s="443">
        <f>'Modell - Tunga fordon'!AM73</f>
        <v>0</v>
      </c>
    </row>
    <row r="39" spans="1:10" x14ac:dyDescent="0.3">
      <c r="A39" s="590"/>
      <c r="B39" s="268" t="s">
        <v>302</v>
      </c>
      <c r="C39" s="268" t="s">
        <v>182</v>
      </c>
      <c r="D39" s="456">
        <v>0</v>
      </c>
      <c r="E39" s="457">
        <v>0</v>
      </c>
      <c r="F39" s="456">
        <v>0</v>
      </c>
      <c r="G39" s="457">
        <v>0</v>
      </c>
      <c r="H39" s="456">
        <v>0</v>
      </c>
      <c r="I39" s="457">
        <v>0</v>
      </c>
    </row>
    <row r="40" spans="1:10" x14ac:dyDescent="0.3">
      <c r="A40" s="590"/>
      <c r="B40" s="342" t="s">
        <v>16</v>
      </c>
      <c r="C40" s="342" t="s">
        <v>182</v>
      </c>
      <c r="D40" s="444">
        <f>SUM(D37:D39)</f>
        <v>11.096437400415157</v>
      </c>
      <c r="E40" s="445">
        <f t="shared" ref="E40:I40" si="3">SUM(E37:E39)</f>
        <v>-5.9281489073729757E-17</v>
      </c>
      <c r="F40" s="444">
        <f t="shared" si="3"/>
        <v>11.433651595944225</v>
      </c>
      <c r="G40" s="445">
        <f>SUM(G37:G39)</f>
        <v>-6.3337868731979014E-17</v>
      </c>
      <c r="H40" s="444">
        <f t="shared" si="3"/>
        <v>11.433651595944225</v>
      </c>
      <c r="I40" s="445">
        <f t="shared" si="3"/>
        <v>-6.3337868731979014E-17</v>
      </c>
    </row>
    <row r="41" spans="1:10" ht="15" thickBot="1" x14ac:dyDescent="0.35">
      <c r="A41" s="590"/>
      <c r="B41" s="460" t="s">
        <v>343</v>
      </c>
      <c r="C41" s="460" t="s">
        <v>25</v>
      </c>
      <c r="D41" s="461">
        <f>D40/SUM('Indata - Utsläpp'!$B$16:$B$18)-1</f>
        <v>-0.43211681676483327</v>
      </c>
      <c r="E41" s="462">
        <f>E40/SUM('Indata - Utsläpp'!$B$16:$B$18)-1</f>
        <v>-1</v>
      </c>
      <c r="F41" s="458">
        <f>F40/SUM('Indata - Utsläpp'!$B$16:$B$18)-1</f>
        <v>-0.41485918137439992</v>
      </c>
      <c r="G41" s="459">
        <f>G40/SUM('Indata - Utsläpp'!$B$16:$B$18)-1</f>
        <v>-1</v>
      </c>
      <c r="H41" s="458">
        <f>H40/SUM('Indata - Utsläpp'!$B$16:$B$18)-1</f>
        <v>-0.41485918137439992</v>
      </c>
      <c r="I41" s="459">
        <f>I40/SUM('Indata - Utsläpp'!$B$16:$B$18)-1</f>
        <v>-1</v>
      </c>
    </row>
    <row r="42" spans="1:10" x14ac:dyDescent="0.3">
      <c r="A42" s="586" t="s">
        <v>264</v>
      </c>
      <c r="B42" s="267" t="s">
        <v>178</v>
      </c>
      <c r="C42" s="267" t="s">
        <v>312</v>
      </c>
      <c r="D42" s="440">
        <f>'Modell - Lätta fordon'!AH60</f>
        <v>9.5485758492517387</v>
      </c>
      <c r="E42" s="441">
        <f>'Modell - Lätta fordon'!AI60</f>
        <v>0.75670698176999895</v>
      </c>
      <c r="F42" s="440">
        <f>'Modell - Lätta fordon'!AJ60</f>
        <v>9.9931003614715461</v>
      </c>
      <c r="G42" s="441">
        <f>'Modell - Lätta fordon'!AK60</f>
        <v>0.80848521568530129</v>
      </c>
      <c r="H42" s="440">
        <f>'Modell - Lätta fordon'!AL60</f>
        <v>9.9931003614715461</v>
      </c>
      <c r="I42" s="441">
        <f>'Modell - Lätta fordon'!AM60</f>
        <v>0.80848521568530129</v>
      </c>
    </row>
    <row r="43" spans="1:10" x14ac:dyDescent="0.3">
      <c r="A43" s="587"/>
      <c r="B43" s="268" t="s">
        <v>311</v>
      </c>
      <c r="C43" s="268" t="s">
        <v>312</v>
      </c>
      <c r="D43" s="442">
        <f>'Modell - Tunga fordon'!AH76</f>
        <v>3.7811909666603856</v>
      </c>
      <c r="E43" s="443">
        <f>'Modell - Tunga fordon'!AI76</f>
        <v>0.91397760926781557</v>
      </c>
      <c r="F43" s="442">
        <f>'Modell - Tunga fordon'!AJ76</f>
        <v>3.7811909666603856</v>
      </c>
      <c r="G43" s="443">
        <f>'Modell - Tunga fordon'!AK76</f>
        <v>0.91397760926781557</v>
      </c>
      <c r="H43" s="442">
        <f>'Modell - Tunga fordon'!AL76</f>
        <v>3.7811909666603856</v>
      </c>
      <c r="I43" s="443">
        <f>'Modell - Tunga fordon'!AM76</f>
        <v>0.91397760926781557</v>
      </c>
      <c r="J43" s="333"/>
    </row>
    <row r="44" spans="1:10" x14ac:dyDescent="0.3">
      <c r="A44" s="587"/>
      <c r="B44" s="342" t="s">
        <v>16</v>
      </c>
      <c r="C44" s="342" t="s">
        <v>312</v>
      </c>
      <c r="D44" s="444">
        <f t="shared" ref="D44:I44" si="4">SUM(D42:D43)</f>
        <v>13.329766815912125</v>
      </c>
      <c r="E44" s="445">
        <f t="shared" si="4"/>
        <v>1.6706845910378145</v>
      </c>
      <c r="F44" s="444">
        <f t="shared" si="4"/>
        <v>13.774291328131932</v>
      </c>
      <c r="G44" s="445">
        <f t="shared" si="4"/>
        <v>1.7224628249531169</v>
      </c>
      <c r="H44" s="444">
        <f t="shared" si="4"/>
        <v>13.774291328131932</v>
      </c>
      <c r="I44" s="445">
        <f t="shared" si="4"/>
        <v>1.7224628249531169</v>
      </c>
      <c r="J44" s="333"/>
    </row>
    <row r="45" spans="1:10" s="333" customFormat="1" ht="15" thickBot="1" x14ac:dyDescent="0.35">
      <c r="A45" s="371"/>
      <c r="B45" s="340" t="s">
        <v>343</v>
      </c>
      <c r="C45" s="340" t="s">
        <v>25</v>
      </c>
      <c r="D45" s="458">
        <f>D44/'Indata - Utsläpp'!$B$27-1</f>
        <v>-0.7772979095056507</v>
      </c>
      <c r="E45" s="459">
        <f>E44/'Indata - Utsläpp'!$B$27-1</f>
        <v>-0.97208766243857514</v>
      </c>
      <c r="F45" s="458">
        <f>F44/'Indata - Utsläpp'!$B$27-1</f>
        <v>-0.76987118257827813</v>
      </c>
      <c r="G45" s="459">
        <f>G44/'Indata - Utsläpp'!$B$27-1</f>
        <v>-0.97122259697311797</v>
      </c>
      <c r="H45" s="458">
        <f>H44/'Indata - Utsläpp'!$B$27-1</f>
        <v>-0.76987118257827813</v>
      </c>
      <c r="I45" s="459">
        <f>I44/'Indata - Utsläpp'!$B$27-1</f>
        <v>-0.97122259697311797</v>
      </c>
    </row>
    <row r="46" spans="1:10" x14ac:dyDescent="0.3">
      <c r="A46" s="587" t="s">
        <v>258</v>
      </c>
      <c r="B46" s="268" t="s">
        <v>178</v>
      </c>
      <c r="C46" s="271" t="s">
        <v>312</v>
      </c>
      <c r="D46" s="440">
        <f>'Modell - Lätta fordon'!AH64</f>
        <v>0.10575505261289661</v>
      </c>
      <c r="E46" s="441">
        <f>'Modell - Lätta fordon'!AI64</f>
        <v>1.2876026514592763E-2</v>
      </c>
      <c r="F46" s="440">
        <f>'Modell - Lätta fordon'!AJ64</f>
        <v>0.11067837457417232</v>
      </c>
      <c r="G46" s="441">
        <f>'Modell - Lätta fordon'!AK64</f>
        <v>1.3757078135410054E-2</v>
      </c>
      <c r="H46" s="440">
        <f>'Modell - Lätta fordon'!AL64</f>
        <v>0.11067837457417232</v>
      </c>
      <c r="I46" s="441">
        <f>'Modell - Lätta fordon'!AM64</f>
        <v>1.3757078135410054E-2</v>
      </c>
      <c r="J46" s="333"/>
    </row>
    <row r="47" spans="1:10" x14ac:dyDescent="0.3">
      <c r="A47" s="587"/>
      <c r="B47" s="268" t="s">
        <v>311</v>
      </c>
      <c r="C47" s="271" t="s">
        <v>312</v>
      </c>
      <c r="D47" s="442">
        <f>'Modell - Tunga fordon'!AH79</f>
        <v>3.3787914724198294E-2</v>
      </c>
      <c r="E47" s="443">
        <f>'Modell - Tunga fordon'!AI79</f>
        <v>5.7672771128712197E-3</v>
      </c>
      <c r="F47" s="442">
        <f>'Modell - Tunga fordon'!AJ79</f>
        <v>3.3787914724198294E-2</v>
      </c>
      <c r="G47" s="443">
        <f>'Modell - Tunga fordon'!AK79</f>
        <v>5.7672771128712197E-3</v>
      </c>
      <c r="H47" s="442">
        <f>'Modell - Tunga fordon'!AL79</f>
        <v>3.3787914724198294E-2</v>
      </c>
      <c r="I47" s="443">
        <f>'Modell - Tunga fordon'!AM79</f>
        <v>5.7672771128712197E-3</v>
      </c>
      <c r="J47" s="333"/>
    </row>
    <row r="48" spans="1:10" x14ac:dyDescent="0.3">
      <c r="A48" s="587"/>
      <c r="B48" s="342" t="s">
        <v>16</v>
      </c>
      <c r="C48" s="344" t="s">
        <v>312</v>
      </c>
      <c r="D48" s="444">
        <f t="shared" ref="D48:I48" si="5">SUM(D46:D47)</f>
        <v>0.1395429673370949</v>
      </c>
      <c r="E48" s="445">
        <f t="shared" si="5"/>
        <v>1.8643303627463984E-2</v>
      </c>
      <c r="F48" s="444">
        <f t="shared" si="5"/>
        <v>0.1444662892983706</v>
      </c>
      <c r="G48" s="445">
        <f t="shared" si="5"/>
        <v>1.9524355248281274E-2</v>
      </c>
      <c r="H48" s="444">
        <f t="shared" si="5"/>
        <v>0.1444662892983706</v>
      </c>
      <c r="I48" s="445">
        <f t="shared" si="5"/>
        <v>1.9524355248281274E-2</v>
      </c>
      <c r="J48" s="333"/>
    </row>
    <row r="49" spans="1:15" s="333" customFormat="1" ht="15" thickBot="1" x14ac:dyDescent="0.35">
      <c r="A49" s="372"/>
      <c r="B49" s="340" t="s">
        <v>343</v>
      </c>
      <c r="C49" s="344"/>
      <c r="D49" s="458">
        <f>D48/'Indata - Utsläpp'!$B$25-1</f>
        <v>-0.89998353831916944</v>
      </c>
      <c r="E49" s="459">
        <f>E48/'Indata - Utsläpp'!$B$25-1</f>
        <v>-0.98663754040462726</v>
      </c>
      <c r="F49" s="458">
        <f>F48/'Indata - Utsläpp'!$B$25-1</f>
        <v>-0.89645478117949362</v>
      </c>
      <c r="G49" s="459">
        <f>G48/'Indata - Utsläpp'!$B$25-1</f>
        <v>-0.98600605271768826</v>
      </c>
      <c r="H49" s="458">
        <f>H48/'Indata - Utsläpp'!$B$25-1</f>
        <v>-0.89645478117949362</v>
      </c>
      <c r="I49" s="459">
        <f>I48/'Indata - Utsläpp'!$B$25-1</f>
        <v>-0.98600605271768826</v>
      </c>
    </row>
    <row r="50" spans="1:15" x14ac:dyDescent="0.3">
      <c r="A50" s="586" t="s">
        <v>259</v>
      </c>
      <c r="B50" s="267" t="s">
        <v>178</v>
      </c>
      <c r="C50" s="270" t="s">
        <v>312</v>
      </c>
      <c r="D50" s="440">
        <f>'Modell - Lätta fordon'!AH65</f>
        <v>11.549145724162928</v>
      </c>
      <c r="E50" s="441">
        <f>'Modell - Lätta fordon'!AI65</f>
        <v>13.298556466324985</v>
      </c>
      <c r="F50" s="440">
        <f>'Modell - Lätta fordon'!AJ65</f>
        <v>12.086804789833051</v>
      </c>
      <c r="G50" s="441">
        <f>'Modell - Lätta fordon'!AK65</f>
        <v>14.208520011049519</v>
      </c>
      <c r="H50" s="440">
        <f>'Modell - Lätta fordon'!AL65</f>
        <v>12.086804789833051</v>
      </c>
      <c r="I50" s="441">
        <f>'Modell - Lätta fordon'!AM65</f>
        <v>14.208520011049519</v>
      </c>
      <c r="J50" s="333"/>
    </row>
    <row r="51" spans="1:15" x14ac:dyDescent="0.3">
      <c r="A51" s="587"/>
      <c r="B51" s="268" t="s">
        <v>311</v>
      </c>
      <c r="C51" s="271" t="s">
        <v>312</v>
      </c>
      <c r="D51" s="442">
        <f>'Modell - Tunga fordon'!AH80</f>
        <v>2.2116281545385417</v>
      </c>
      <c r="E51" s="443">
        <f>'Modell - Tunga fordon'!AI80</f>
        <v>2.6081161521177774</v>
      </c>
      <c r="F51" s="442">
        <f>'Modell - Tunga fordon'!AJ80</f>
        <v>2.2116281545385417</v>
      </c>
      <c r="G51" s="443">
        <f>'Modell - Tunga fordon'!AK80</f>
        <v>2.6081161521177774</v>
      </c>
      <c r="H51" s="442">
        <f>'Modell - Tunga fordon'!AL80</f>
        <v>2.2116281545385417</v>
      </c>
      <c r="I51" s="443">
        <f>'Modell - Tunga fordon'!AM80</f>
        <v>2.6081161521177774</v>
      </c>
      <c r="J51" s="333"/>
    </row>
    <row r="52" spans="1:15" x14ac:dyDescent="0.3">
      <c r="A52" s="587"/>
      <c r="B52" s="342" t="s">
        <v>16</v>
      </c>
      <c r="C52" s="344" t="s">
        <v>312</v>
      </c>
      <c r="D52" s="444">
        <f t="shared" ref="D52:I52" si="6">SUM(D50:D51)</f>
        <v>13.760773878701469</v>
      </c>
      <c r="E52" s="445">
        <f t="shared" si="6"/>
        <v>15.906672618442762</v>
      </c>
      <c r="F52" s="444">
        <f t="shared" si="6"/>
        <v>14.298432944371593</v>
      </c>
      <c r="G52" s="445">
        <f t="shared" si="6"/>
        <v>16.816636163167296</v>
      </c>
      <c r="H52" s="444">
        <f>SUM(H50:H51)</f>
        <v>14.298432944371593</v>
      </c>
      <c r="I52" s="445">
        <f t="shared" si="6"/>
        <v>16.816636163167296</v>
      </c>
    </row>
    <row r="53" spans="1:15" s="333" customFormat="1" ht="15" thickBot="1" x14ac:dyDescent="0.35">
      <c r="A53" s="372"/>
      <c r="B53" s="460" t="s">
        <v>343</v>
      </c>
      <c r="C53" s="342"/>
      <c r="D53" s="461">
        <f>D52/'Indata - Utsläpp'!$B$26-1</f>
        <v>-1.4115843564066699E-2</v>
      </c>
      <c r="E53" s="462">
        <f>E52/'Indata - Utsläpp'!$B$26-1</f>
        <v>0.13962605986923182</v>
      </c>
      <c r="F53" s="461">
        <f>F52/'Indata - Utsläpp'!$B$26-1</f>
        <v>2.4404486693575977E-2</v>
      </c>
      <c r="G53" s="462">
        <f>G52/'Indata - Utsläpp'!$B$26-1</f>
        <v>0.20481996898990507</v>
      </c>
      <c r="H53" s="461">
        <f>H52/'Indata - Utsläpp'!$B$26-1</f>
        <v>2.4404486693575977E-2</v>
      </c>
      <c r="I53" s="462">
        <f>I52/'Indata - Utsläpp'!$B$26-1</f>
        <v>0.20481996898990507</v>
      </c>
    </row>
    <row r="54" spans="1:15" x14ac:dyDescent="0.3">
      <c r="A54" s="583" t="s">
        <v>123</v>
      </c>
      <c r="B54" s="267" t="s">
        <v>187</v>
      </c>
      <c r="C54" s="267" t="s">
        <v>122</v>
      </c>
      <c r="D54" s="440">
        <f>'Modell - Lätta fordon'!AH73</f>
        <v>27.940939311919003</v>
      </c>
      <c r="E54" s="441">
        <f>'Modell - Lätta fordon'!AI73</f>
        <v>-2.2858540278429696E-16</v>
      </c>
      <c r="F54" s="440">
        <f>'Modell - Lätta fordon'!AJ73</f>
        <v>29.241702128770619</v>
      </c>
      <c r="G54" s="441">
        <f>'Modell - Lätta fordon'!AK73</f>
        <v>-2.442265277377157E-16</v>
      </c>
      <c r="H54" s="440">
        <f>'Modell - Lätta fordon'!AL73</f>
        <v>29.241702128770619</v>
      </c>
      <c r="I54" s="441">
        <f>'Modell - Lätta fordon'!AM73</f>
        <v>-2.442265277377157E-16</v>
      </c>
      <c r="J54" s="333"/>
    </row>
    <row r="55" spans="1:15" x14ac:dyDescent="0.3">
      <c r="A55" s="584"/>
      <c r="B55" s="268" t="s">
        <v>307</v>
      </c>
      <c r="C55" s="268" t="s">
        <v>122</v>
      </c>
      <c r="D55" s="442">
        <f>'Modell - Lätta fordon'!AH74</f>
        <v>3.2980927754099012</v>
      </c>
      <c r="E55" s="443">
        <f>'Modell - Lätta fordon'!AI74</f>
        <v>3.8098624517332693</v>
      </c>
      <c r="F55" s="442">
        <f>'Modell - Lätta fordon'!AJ74</f>
        <v>3.4516322252075007</v>
      </c>
      <c r="G55" s="443">
        <f>'Modell - Lätta fordon'!AK74</f>
        <v>4.0705551028695739</v>
      </c>
      <c r="H55" s="442">
        <f>'Modell - Lätta fordon'!AL74</f>
        <v>3.4516322252075007</v>
      </c>
      <c r="I55" s="443">
        <f>'Modell - Lätta fordon'!AM74</f>
        <v>4.0705551028695739</v>
      </c>
      <c r="J55" s="333"/>
      <c r="K55" s="333"/>
    </row>
    <row r="56" spans="1:15" x14ac:dyDescent="0.3">
      <c r="A56" s="584"/>
      <c r="B56" s="268" t="s">
        <v>97</v>
      </c>
      <c r="C56" s="268" t="s">
        <v>122</v>
      </c>
      <c r="D56" s="442">
        <f>'Modell - Lätta fordon'!AH75</f>
        <v>10.49025848610113</v>
      </c>
      <c r="E56" s="443">
        <f>'Modell - Lätta fordon'!AI75</f>
        <v>24.729259055394472</v>
      </c>
      <c r="F56" s="442">
        <f>'Modell - Lätta fordon'!AJ75</f>
        <v>10.978622102855477</v>
      </c>
      <c r="G56" s="443">
        <f>'Modell - Lätta fordon'!AK75</f>
        <v>26.421376864228847</v>
      </c>
      <c r="H56" s="442">
        <f>'Modell - Lätta fordon'!AL75</f>
        <v>10.978622102855477</v>
      </c>
      <c r="I56" s="443">
        <f>'Modell - Lätta fordon'!AM75</f>
        <v>26.421376864228847</v>
      </c>
      <c r="J56" s="333"/>
      <c r="K56" s="333"/>
    </row>
    <row r="57" spans="1:15" x14ac:dyDescent="0.3">
      <c r="A57" s="584"/>
      <c r="B57" s="268" t="s">
        <v>304</v>
      </c>
      <c r="C57" s="268" t="s">
        <v>122</v>
      </c>
      <c r="D57" s="442">
        <f>'Modell - Tunga fordon'!AH83</f>
        <v>14.865646460219995</v>
      </c>
      <c r="E57" s="443">
        <f>'Modell - Tunga fordon'!AI83</f>
        <v>0</v>
      </c>
      <c r="F57" s="442">
        <f>'Modell - Tunga fordon'!AJ83</f>
        <v>14.865646460219995</v>
      </c>
      <c r="G57" s="443">
        <f>'Modell - Tunga fordon'!AK83</f>
        <v>0</v>
      </c>
      <c r="H57" s="442">
        <f>'Modell - Tunga fordon'!AL83</f>
        <v>14.865646460219995</v>
      </c>
      <c r="I57" s="443">
        <f>'Modell - Tunga fordon'!AM83</f>
        <v>0</v>
      </c>
      <c r="J57" s="333"/>
      <c r="K57" s="333"/>
      <c r="L57" s="463"/>
      <c r="M57" s="463"/>
      <c r="N57" s="463"/>
      <c r="O57" s="463"/>
    </row>
    <row r="58" spans="1:15" x14ac:dyDescent="0.3">
      <c r="A58" s="584"/>
      <c r="B58" s="268" t="s">
        <v>305</v>
      </c>
      <c r="C58" s="268" t="s">
        <v>122</v>
      </c>
      <c r="D58" s="442">
        <f>'Modell - Tunga fordon'!AH84+Indata!E63</f>
        <v>4.2088609773199597</v>
      </c>
      <c r="E58" s="443">
        <f>'Modell - Tunga fordon'!AI84+Indata!F63</f>
        <v>5.0310681949521223</v>
      </c>
      <c r="F58" s="442">
        <f>'Modell - Tunga fordon'!AJ84+Indata!G63</f>
        <v>3.5603034443825434</v>
      </c>
      <c r="G58" s="443">
        <f>'Modell - Tunga fordon'!AK84+Indata!H63</f>
        <v>4.9675257329277169</v>
      </c>
      <c r="H58" s="442">
        <f>'Modell - Tunga fordon'!AL84+Indata!I63</f>
        <v>3.5603034443825434</v>
      </c>
      <c r="I58" s="443">
        <f>'Modell - Tunga fordon'!AM84+Indata!J63</f>
        <v>4.9675257329277169</v>
      </c>
      <c r="J58" s="333"/>
      <c r="K58" s="333"/>
    </row>
    <row r="59" spans="1:15" x14ac:dyDescent="0.3">
      <c r="A59" s="584"/>
      <c r="B59" s="268" t="s">
        <v>306</v>
      </c>
      <c r="C59" s="268" t="s">
        <v>122</v>
      </c>
      <c r="D59" s="442">
        <f>'Modell - Tunga fordon'!AH85+Indata!E64</f>
        <v>1.5959532718384044</v>
      </c>
      <c r="E59" s="443">
        <f>'Modell - Tunga fordon'!AI85+Indata!F64</f>
        <v>10.797854384790371</v>
      </c>
      <c r="F59" s="442">
        <f>'Modell - Tunga fordon'!AJ85+Indata!G64</f>
        <v>2.009669674862586</v>
      </c>
      <c r="G59" s="443">
        <f>'Modell - Tunga fordon'!AK85+Indata!H64</f>
        <v>11.081681898023241</v>
      </c>
      <c r="H59" s="442">
        <f>'Modell - Tunga fordon'!AL85+Indata!I64</f>
        <v>2.009669674862586</v>
      </c>
      <c r="I59" s="443">
        <f>'Modell - Tunga fordon'!AM85+Indata!J64</f>
        <v>11.081681898023241</v>
      </c>
      <c r="J59" s="333"/>
      <c r="K59" s="333"/>
      <c r="O59" s="333"/>
    </row>
    <row r="60" spans="1:15" x14ac:dyDescent="0.3">
      <c r="A60" s="584"/>
      <c r="B60" s="342" t="s">
        <v>189</v>
      </c>
      <c r="C60" s="342" t="s">
        <v>122</v>
      </c>
      <c r="D60" s="444">
        <f>D54+D57</f>
        <v>42.806585772139002</v>
      </c>
      <c r="E60" s="445">
        <f t="shared" ref="E60:I60" si="7">E54+E57</f>
        <v>-2.2858540278429696E-16</v>
      </c>
      <c r="F60" s="444">
        <f t="shared" si="7"/>
        <v>44.107348588990618</v>
      </c>
      <c r="G60" s="445">
        <f>G54+G57</f>
        <v>-2.442265277377157E-16</v>
      </c>
      <c r="H60" s="444">
        <f t="shared" si="7"/>
        <v>44.107348588990618</v>
      </c>
      <c r="I60" s="445">
        <f t="shared" si="7"/>
        <v>-2.442265277377157E-16</v>
      </c>
      <c r="J60" s="333"/>
      <c r="K60" s="333"/>
      <c r="L60" s="463"/>
      <c r="M60" s="463"/>
      <c r="N60" s="463"/>
      <c r="O60" s="463"/>
    </row>
    <row r="61" spans="1:15" x14ac:dyDescent="0.3">
      <c r="A61" s="584"/>
      <c r="B61" s="342" t="s">
        <v>190</v>
      </c>
      <c r="C61" s="342" t="s">
        <v>122</v>
      </c>
      <c r="D61" s="444">
        <f>D55+D58</f>
        <v>7.5069537527298609</v>
      </c>
      <c r="E61" s="445">
        <f t="shared" ref="E61:I61" si="8">E55+E58</f>
        <v>8.8409306466853916</v>
      </c>
      <c r="F61" s="444">
        <f>F55+F58</f>
        <v>7.0119356695900441</v>
      </c>
      <c r="G61" s="445">
        <f>G55+G58</f>
        <v>9.0380808357972917</v>
      </c>
      <c r="H61" s="444">
        <f t="shared" si="8"/>
        <v>7.0119356695900441</v>
      </c>
      <c r="I61" s="445">
        <f t="shared" si="8"/>
        <v>9.0380808357972917</v>
      </c>
      <c r="J61" s="333"/>
      <c r="K61" s="333"/>
    </row>
    <row r="62" spans="1:15" s="333" customFormat="1" x14ac:dyDescent="0.3">
      <c r="A62" s="584"/>
      <c r="B62" s="342" t="s">
        <v>191</v>
      </c>
      <c r="C62" s="342" t="s">
        <v>122</v>
      </c>
      <c r="D62" s="444">
        <f>D56+D59</f>
        <v>12.086211757939534</v>
      </c>
      <c r="E62" s="445">
        <f>E56+E59</f>
        <v>35.527113440184841</v>
      </c>
      <c r="F62" s="444">
        <f>F56+F59</f>
        <v>12.988291777718063</v>
      </c>
      <c r="G62" s="445">
        <f>G56+G59</f>
        <v>37.503058762252088</v>
      </c>
      <c r="H62" s="444">
        <f>H56+H59</f>
        <v>12.988291777718063</v>
      </c>
      <c r="I62" s="445">
        <f>I56+I59</f>
        <v>37.503058762252088</v>
      </c>
    </row>
    <row r="63" spans="1:15" ht="15" thickBot="1" x14ac:dyDescent="0.35">
      <c r="A63" s="585"/>
      <c r="B63" s="343" t="s">
        <v>345</v>
      </c>
      <c r="C63" s="343" t="s">
        <v>122</v>
      </c>
      <c r="D63" s="446">
        <f>SUM(D60:D62)</f>
        <v>62.399751282808396</v>
      </c>
      <c r="E63" s="447">
        <f t="shared" ref="E63:I63" si="9">SUM(E60:E62)</f>
        <v>44.368044086870235</v>
      </c>
      <c r="F63" s="446">
        <f t="shared" si="9"/>
        <v>64.107576036298724</v>
      </c>
      <c r="G63" s="447">
        <f t="shared" si="9"/>
        <v>46.541139598049384</v>
      </c>
      <c r="H63" s="446">
        <f t="shared" si="9"/>
        <v>64.107576036298724</v>
      </c>
      <c r="I63" s="447">
        <f t="shared" si="9"/>
        <v>46.541139598049384</v>
      </c>
      <c r="J63" s="333"/>
      <c r="K63" s="333"/>
    </row>
    <row r="64" spans="1:15" x14ac:dyDescent="0.3">
      <c r="A64" s="584" t="s">
        <v>236</v>
      </c>
      <c r="B64" s="268" t="s">
        <v>187</v>
      </c>
      <c r="C64" s="271" t="s">
        <v>129</v>
      </c>
      <c r="D64" s="448">
        <f>'Modell - Lätta fordon'!AH83</f>
        <v>15.853943223592427</v>
      </c>
      <c r="E64" s="449">
        <f>'Modell - Lätta fordon'!AI83</f>
        <v>-1.6503363695525615E-16</v>
      </c>
      <c r="F64" s="448">
        <f>'Modell - Lätta fordon'!AJ83</f>
        <v>16.592007882604399</v>
      </c>
      <c r="G64" s="464">
        <f>'Modell - Lätta fordon'!AK83</f>
        <v>-1.7632618541063651E-16</v>
      </c>
      <c r="H64" s="465">
        <f>'Modell - Lätta fordon'!AL83</f>
        <v>16.592007882604399</v>
      </c>
      <c r="I64" s="464">
        <f>'Modell - Lätta fordon'!AM83</f>
        <v>-1.7632618541063651E-16</v>
      </c>
    </row>
    <row r="65" spans="1:9" x14ac:dyDescent="0.3">
      <c r="A65" s="584"/>
      <c r="B65" s="268" t="s">
        <v>188</v>
      </c>
      <c r="C65" s="271" t="s">
        <v>129</v>
      </c>
      <c r="D65" s="416">
        <f>'Modell - Lätta fordon'!AH84</f>
        <v>1.9456244298718492</v>
      </c>
      <c r="E65" s="417">
        <f>'Modell - Lätta fordon'!AI84</f>
        <v>2.3872064760810394</v>
      </c>
      <c r="F65" s="416">
        <f>'Modell - Lätta fordon'!AJ84</f>
        <v>2.0362010524285523</v>
      </c>
      <c r="G65" s="418">
        <f>'Modell - Lätta fordon'!AK84</f>
        <v>2.5505528417158922</v>
      </c>
      <c r="H65" s="419">
        <f>'Modell - Lätta fordon'!AL84</f>
        <v>2.0362010524285523</v>
      </c>
      <c r="I65" s="418">
        <f>'Modell - Lätta fordon'!AM84</f>
        <v>2.5505528417158922</v>
      </c>
    </row>
    <row r="66" spans="1:9" x14ac:dyDescent="0.3">
      <c r="A66" s="584"/>
      <c r="B66" s="268" t="s">
        <v>97</v>
      </c>
      <c r="C66" s="271" t="s">
        <v>129</v>
      </c>
      <c r="D66" s="416">
        <f>'Modell - Lätta fordon'!AH85</f>
        <v>3.6715904701353947</v>
      </c>
      <c r="E66" s="417">
        <f>'Modell - Lätta fordon'!AI85</f>
        <v>8.6552406693880659</v>
      </c>
      <c r="F66" s="416">
        <f>'Modell - Lätta fordon'!AJ85</f>
        <v>3.8425177359994165</v>
      </c>
      <c r="G66" s="418">
        <f>'Modell - Lätta fordon'!AK85</f>
        <v>9.2474819024800965</v>
      </c>
      <c r="H66" s="419">
        <f>'Modell - Lätta fordon'!AL85</f>
        <v>3.8425177359994165</v>
      </c>
      <c r="I66" s="418">
        <f>'Modell - Lätta fordon'!AM85</f>
        <v>9.2474819024800965</v>
      </c>
    </row>
    <row r="67" spans="1:9" x14ac:dyDescent="0.3">
      <c r="A67" s="584"/>
      <c r="B67" s="268" t="s">
        <v>309</v>
      </c>
      <c r="C67" s="271" t="s">
        <v>129</v>
      </c>
      <c r="D67" s="416">
        <f>'Modell - Tunga fordon'!AH88</f>
        <v>7.0232595011039365</v>
      </c>
      <c r="E67" s="417">
        <f>'Modell - Tunga fordon'!AI88</f>
        <v>0</v>
      </c>
      <c r="F67" s="416">
        <f>'Modell - Tunga fordon'!AJ88</f>
        <v>7.0232595011039365</v>
      </c>
      <c r="G67" s="418">
        <f>'Modell - Tunga fordon'!AK88</f>
        <v>0</v>
      </c>
      <c r="H67" s="419">
        <f>'Modell - Tunga fordon'!AL88</f>
        <v>7.0232595011039365</v>
      </c>
      <c r="I67" s="418">
        <f>'Modell - Tunga fordon'!AM88</f>
        <v>0</v>
      </c>
    </row>
    <row r="68" spans="1:9" x14ac:dyDescent="0.3">
      <c r="A68" s="584"/>
      <c r="B68" s="268" t="s">
        <v>308</v>
      </c>
      <c r="C68" s="271" t="s">
        <v>129</v>
      </c>
      <c r="D68" s="416">
        <f>'Modell - Tunga fordon'!AH89</f>
        <v>1.1055130696182123</v>
      </c>
      <c r="E68" s="417">
        <f>'Modell - Tunga fordon'!AI89</f>
        <v>1.9657109023710748</v>
      </c>
      <c r="F68" s="416">
        <f>'Modell - Tunga fordon'!AJ89</f>
        <v>1.1055130696182123</v>
      </c>
      <c r="G68" s="418">
        <f>'Modell - Tunga fordon'!AK89</f>
        <v>1.9657109023710748</v>
      </c>
      <c r="H68" s="419">
        <f>'Modell - Tunga fordon'!AL89</f>
        <v>1.1055130696182123</v>
      </c>
      <c r="I68" s="418">
        <f>'Modell - Tunga fordon'!AM89</f>
        <v>1.9657109023710748</v>
      </c>
    </row>
    <row r="69" spans="1:9" x14ac:dyDescent="0.3">
      <c r="A69" s="584"/>
      <c r="B69" s="268" t="s">
        <v>310</v>
      </c>
      <c r="C69" s="271" t="s">
        <v>129</v>
      </c>
      <c r="D69" s="416">
        <f>'Modell - Tunga fordon'!AH90</f>
        <v>0.39538438620190502</v>
      </c>
      <c r="E69" s="417">
        <f>'Modell - Tunga fordon'!AI90</f>
        <v>3.4865886643081341</v>
      </c>
      <c r="F69" s="416">
        <f>'Modell - Tunga fordon'!AJ90</f>
        <v>0.39538438620190502</v>
      </c>
      <c r="G69" s="418">
        <f>'Modell - Tunga fordon'!AK90</f>
        <v>3.4865886643081341</v>
      </c>
      <c r="H69" s="419">
        <f>'Modell - Tunga fordon'!AL90</f>
        <v>0.39538438620190502</v>
      </c>
      <c r="I69" s="418">
        <f>'Modell - Tunga fordon'!AM90</f>
        <v>3.4865886643081341</v>
      </c>
    </row>
    <row r="70" spans="1:9" x14ac:dyDescent="0.3">
      <c r="A70" s="584"/>
      <c r="B70" s="342" t="s">
        <v>189</v>
      </c>
      <c r="C70" s="344" t="s">
        <v>129</v>
      </c>
      <c r="D70" s="428">
        <f>D64+D67</f>
        <v>22.877202724696364</v>
      </c>
      <c r="E70" s="438">
        <f t="shared" ref="E70:I70" si="10">E64+E67</f>
        <v>-1.6503363695525615E-16</v>
      </c>
      <c r="F70" s="428">
        <f t="shared" si="10"/>
        <v>23.615267383708336</v>
      </c>
      <c r="G70" s="430">
        <f t="shared" si="10"/>
        <v>-1.7632618541063651E-16</v>
      </c>
      <c r="H70" s="431">
        <f t="shared" si="10"/>
        <v>23.615267383708336</v>
      </c>
      <c r="I70" s="430">
        <f t="shared" si="10"/>
        <v>-1.7632618541063651E-16</v>
      </c>
    </row>
    <row r="71" spans="1:9" x14ac:dyDescent="0.3">
      <c r="A71" s="584"/>
      <c r="B71" s="342" t="s">
        <v>190</v>
      </c>
      <c r="C71" s="344" t="s">
        <v>129</v>
      </c>
      <c r="D71" s="428">
        <f>D65+D68</f>
        <v>3.0511374994900615</v>
      </c>
      <c r="E71" s="438">
        <f t="shared" ref="E71:I71" si="11">E65+E68</f>
        <v>4.3529173784521138</v>
      </c>
      <c r="F71" s="428">
        <f t="shared" si="11"/>
        <v>3.1417141220467646</v>
      </c>
      <c r="G71" s="430">
        <f t="shared" si="11"/>
        <v>4.5162637440869666</v>
      </c>
      <c r="H71" s="431">
        <f t="shared" si="11"/>
        <v>3.1417141220467646</v>
      </c>
      <c r="I71" s="430">
        <f t="shared" si="11"/>
        <v>4.5162637440869666</v>
      </c>
    </row>
    <row r="72" spans="1:9" ht="15" thickBot="1" x14ac:dyDescent="0.35">
      <c r="A72" s="585"/>
      <c r="B72" s="343" t="s">
        <v>191</v>
      </c>
      <c r="C72" s="345" t="s">
        <v>129</v>
      </c>
      <c r="D72" s="450">
        <f>D66+D69</f>
        <v>4.0669748563372998</v>
      </c>
      <c r="E72" s="451">
        <f t="shared" ref="E72:I72" si="12">E66+E69</f>
        <v>12.141829333696201</v>
      </c>
      <c r="F72" s="450">
        <f>F66+F69</f>
        <v>4.2379021222013211</v>
      </c>
      <c r="G72" s="452">
        <f t="shared" si="12"/>
        <v>12.73407056678823</v>
      </c>
      <c r="H72" s="453">
        <f t="shared" si="12"/>
        <v>4.2379021222013211</v>
      </c>
      <c r="I72" s="452">
        <f t="shared" si="12"/>
        <v>12.73407056678823</v>
      </c>
    </row>
    <row r="73" spans="1:9" x14ac:dyDescent="0.3">
      <c r="A73" s="583" t="s">
        <v>194</v>
      </c>
      <c r="B73" s="267" t="s">
        <v>178</v>
      </c>
      <c r="C73" s="267" t="s">
        <v>129</v>
      </c>
      <c r="D73" s="412">
        <f>'Modell - Lätta fordon'!AH89</f>
        <v>0</v>
      </c>
      <c r="E73" s="413">
        <f>'Modell - Lätta fordon'!AI89</f>
        <v>0</v>
      </c>
      <c r="F73" s="412">
        <f>'Modell - Lätta fordon'!AJ89</f>
        <v>0</v>
      </c>
      <c r="G73" s="414">
        <f>'Modell - Lätta fordon'!AK89</f>
        <v>0</v>
      </c>
      <c r="H73" s="415">
        <f>'Modell - Lätta fordon'!AL89</f>
        <v>0</v>
      </c>
      <c r="I73" s="414">
        <f>'Modell - Lätta fordon'!AM89</f>
        <v>0</v>
      </c>
    </row>
    <row r="74" spans="1:9" x14ac:dyDescent="0.3">
      <c r="A74" s="584"/>
      <c r="B74" s="268" t="s">
        <v>311</v>
      </c>
      <c r="C74" s="271" t="s">
        <v>129</v>
      </c>
      <c r="D74" s="416">
        <f>'Modell - Tunga fordon'!AH96</f>
        <v>0</v>
      </c>
      <c r="E74" s="417">
        <f>'Modell - Tunga fordon'!AI96</f>
        <v>0</v>
      </c>
      <c r="F74" s="416">
        <f>'Modell - Tunga fordon'!AJ96</f>
        <v>0</v>
      </c>
      <c r="G74" s="418">
        <f>'Modell - Tunga fordon'!AK96</f>
        <v>0</v>
      </c>
      <c r="H74" s="419">
        <f>'Modell - Tunga fordon'!AL96</f>
        <v>0</v>
      </c>
      <c r="I74" s="418">
        <f>'Modell - Tunga fordon'!AM96</f>
        <v>0</v>
      </c>
    </row>
    <row r="75" spans="1:9" ht="15" thickBot="1" x14ac:dyDescent="0.35">
      <c r="A75" s="585"/>
      <c r="B75" s="343" t="s">
        <v>266</v>
      </c>
      <c r="C75" s="343" t="s">
        <v>129</v>
      </c>
      <c r="D75" s="436">
        <f>SUM(D73:D74)</f>
        <v>0</v>
      </c>
      <c r="E75" s="437">
        <f t="shared" ref="E75:I75" si="13">SUM(E73:E74)</f>
        <v>0</v>
      </c>
      <c r="F75" s="436">
        <f t="shared" si="13"/>
        <v>0</v>
      </c>
      <c r="G75" s="370">
        <f t="shared" si="13"/>
        <v>0</v>
      </c>
      <c r="H75" s="368">
        <f t="shared" si="13"/>
        <v>0</v>
      </c>
      <c r="I75" s="370">
        <f t="shared" si="13"/>
        <v>0</v>
      </c>
    </row>
    <row r="76" spans="1:9" x14ac:dyDescent="0.3">
      <c r="A76" s="583" t="s">
        <v>195</v>
      </c>
      <c r="B76" s="267" t="s">
        <v>178</v>
      </c>
      <c r="C76" s="267" t="s">
        <v>129</v>
      </c>
      <c r="D76" s="412">
        <f>SUM(D64:D66,D73)</f>
        <v>21.471158123599672</v>
      </c>
      <c r="E76" s="413">
        <f t="shared" ref="E76:I76" si="14">SUM(E64:E66,E73)</f>
        <v>11.042447145469104</v>
      </c>
      <c r="F76" s="412">
        <f t="shared" si="14"/>
        <v>22.470726671032367</v>
      </c>
      <c r="G76" s="414">
        <f t="shared" si="14"/>
        <v>11.798034744195988</v>
      </c>
      <c r="H76" s="415">
        <f t="shared" si="14"/>
        <v>22.470726671032367</v>
      </c>
      <c r="I76" s="414">
        <f t="shared" si="14"/>
        <v>11.798034744195988</v>
      </c>
    </row>
    <row r="77" spans="1:9" x14ac:dyDescent="0.3">
      <c r="A77" s="584"/>
      <c r="B77" s="268" t="s">
        <v>311</v>
      </c>
      <c r="C77" s="271" t="s">
        <v>129</v>
      </c>
      <c r="D77" s="416">
        <f>SUM(D67:D69,D74)</f>
        <v>8.5241569569240525</v>
      </c>
      <c r="E77" s="417">
        <f t="shared" ref="E77:I77" si="15">SUM(E67:E69,E74)</f>
        <v>5.4522995666792085</v>
      </c>
      <c r="F77" s="416">
        <f t="shared" si="15"/>
        <v>8.5241569569240525</v>
      </c>
      <c r="G77" s="418">
        <f t="shared" si="15"/>
        <v>5.4522995666792085</v>
      </c>
      <c r="H77" s="419">
        <f t="shared" si="15"/>
        <v>8.5241569569240525</v>
      </c>
      <c r="I77" s="418">
        <f t="shared" si="15"/>
        <v>5.4522995666792085</v>
      </c>
    </row>
    <row r="78" spans="1:9" ht="15" thickBot="1" x14ac:dyDescent="0.35">
      <c r="A78" s="585"/>
      <c r="B78" s="343" t="s">
        <v>266</v>
      </c>
      <c r="C78" s="343" t="s">
        <v>129</v>
      </c>
      <c r="D78" s="436">
        <f>SUM(D76:D77)</f>
        <v>29.995315080523724</v>
      </c>
      <c r="E78" s="437">
        <f t="shared" ref="E78" si="16">SUM(E76:E77)</f>
        <v>16.494746712148313</v>
      </c>
      <c r="F78" s="436">
        <f t="shared" ref="F78" si="17">SUM(F76:F77)</f>
        <v>30.994883627956419</v>
      </c>
      <c r="G78" s="370">
        <f t="shared" ref="G78" si="18">SUM(G76:G77)</f>
        <v>17.250334310875196</v>
      </c>
      <c r="H78" s="368">
        <f t="shared" ref="H78" si="19">SUM(H76:H77)</f>
        <v>30.994883627956419</v>
      </c>
      <c r="I78" s="370">
        <f t="shared" ref="I78" si="20">SUM(I76:I77)</f>
        <v>17.250334310875196</v>
      </c>
    </row>
    <row r="80" spans="1:9" x14ac:dyDescent="0.3">
      <c r="E80" s="346"/>
      <c r="F80" s="346"/>
    </row>
    <row r="81" spans="4:4" x14ac:dyDescent="0.3">
      <c r="D81" s="346"/>
    </row>
  </sheetData>
  <mergeCells count="20">
    <mergeCell ref="D4:E4"/>
    <mergeCell ref="F4:G4"/>
    <mergeCell ref="H4:I4"/>
    <mergeCell ref="D5:E5"/>
    <mergeCell ref="F5:G5"/>
    <mergeCell ref="H5:I5"/>
    <mergeCell ref="A17:A18"/>
    <mergeCell ref="A20:A26"/>
    <mergeCell ref="A35:A36"/>
    <mergeCell ref="A7:A11"/>
    <mergeCell ref="A12:A16"/>
    <mergeCell ref="A73:A75"/>
    <mergeCell ref="A76:A78"/>
    <mergeCell ref="A27:A34"/>
    <mergeCell ref="A37:A41"/>
    <mergeCell ref="A54:A63"/>
    <mergeCell ref="A64:A72"/>
    <mergeCell ref="A42:A44"/>
    <mergeCell ref="A46:A48"/>
    <mergeCell ref="A50:A5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C1"/>
  <sheetViews>
    <sheetView zoomScaleNormal="100" workbookViewId="0">
      <selection activeCell="S16" sqref="S16"/>
    </sheetView>
  </sheetViews>
  <sheetFormatPr defaultRowHeight="14.4" x14ac:dyDescent="0.3"/>
  <sheetData>
    <row r="1" spans="1:3" x14ac:dyDescent="0.3">
      <c r="A1" t="str">
        <f>Resultat!D4</f>
        <v>Basprognos 2024</v>
      </c>
      <c r="B1" t="str">
        <f>Resultat!F4</f>
        <v>Scenario 1</v>
      </c>
      <c r="C1" t="str">
        <f>Resultat!H4</f>
        <v>Scenario 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2D2D2"/>
  </sheetPr>
  <dimension ref="A1:Q34"/>
  <sheetViews>
    <sheetView workbookViewId="0">
      <selection activeCell="Q32" sqref="Q32"/>
    </sheetView>
  </sheetViews>
  <sheetFormatPr defaultColWidth="8.88671875" defaultRowHeight="14.4" x14ac:dyDescent="0.3"/>
  <cols>
    <col min="1" max="1" width="18.33203125" style="14" customWidth="1"/>
    <col min="2" max="10" width="8.88671875" style="14"/>
    <col min="11" max="12" width="8.88671875" style="333"/>
    <col min="13" max="16384" width="8.88671875" style="14"/>
  </cols>
  <sheetData>
    <row r="1" spans="1:14" ht="17.399999999999999" x14ac:dyDescent="0.3">
      <c r="A1" s="108" t="s">
        <v>363</v>
      </c>
    </row>
    <row r="2" spans="1:14" x14ac:dyDescent="0.3">
      <c r="A2" s="28" t="s">
        <v>326</v>
      </c>
      <c r="B2" s="28"/>
    </row>
    <row r="3" spans="1:14" x14ac:dyDescent="0.3">
      <c r="A3" s="28" t="s">
        <v>325</v>
      </c>
      <c r="B3" s="28"/>
    </row>
    <row r="5" spans="1:14" s="28" customFormat="1" ht="12" x14ac:dyDescent="0.25">
      <c r="A5" s="280" t="s">
        <v>349</v>
      </c>
      <c r="B5" s="280">
        <v>2010</v>
      </c>
      <c r="C5" s="280">
        <v>2011</v>
      </c>
      <c r="D5" s="280">
        <v>2012</v>
      </c>
      <c r="E5" s="280">
        <v>2013</v>
      </c>
      <c r="F5" s="280">
        <v>2014</v>
      </c>
      <c r="G5" s="280">
        <v>2015</v>
      </c>
      <c r="H5" s="280">
        <v>2016</v>
      </c>
      <c r="I5" s="280">
        <v>2017</v>
      </c>
      <c r="J5" s="280">
        <v>2018</v>
      </c>
      <c r="K5" s="280">
        <v>2019</v>
      </c>
      <c r="L5" s="280">
        <v>2020</v>
      </c>
      <c r="M5" s="280">
        <v>2021</v>
      </c>
      <c r="N5" s="280">
        <v>2022</v>
      </c>
    </row>
    <row r="6" spans="1:14" s="28" customFormat="1" ht="11.4" x14ac:dyDescent="0.2">
      <c r="A6" s="28" t="s">
        <v>323</v>
      </c>
      <c r="B6" s="511">
        <v>12330</v>
      </c>
      <c r="C6" s="511">
        <v>11990</v>
      </c>
      <c r="D6" s="511">
        <v>11460</v>
      </c>
      <c r="E6" s="511">
        <v>11240</v>
      </c>
      <c r="F6" s="511">
        <v>11080</v>
      </c>
      <c r="G6" s="511">
        <v>11310</v>
      </c>
      <c r="H6" s="511">
        <v>11060</v>
      </c>
      <c r="I6" s="511">
        <v>10840</v>
      </c>
      <c r="J6" s="511">
        <v>10490</v>
      </c>
      <c r="K6" s="511">
        <v>10230</v>
      </c>
      <c r="L6" s="511">
        <v>9350</v>
      </c>
      <c r="M6" s="511">
        <v>9260</v>
      </c>
      <c r="N6" s="511">
        <v>8270</v>
      </c>
    </row>
    <row r="7" spans="1:14" s="28" customFormat="1" ht="11.4" x14ac:dyDescent="0.2">
      <c r="A7" s="28" t="s">
        <v>324</v>
      </c>
      <c r="B7" s="511">
        <v>1630</v>
      </c>
      <c r="C7" s="511">
        <v>1680</v>
      </c>
      <c r="D7" s="511">
        <v>1640</v>
      </c>
      <c r="E7" s="511">
        <v>1620</v>
      </c>
      <c r="F7" s="511">
        <v>1590</v>
      </c>
      <c r="G7" s="511">
        <v>1620</v>
      </c>
      <c r="H7" s="511">
        <v>1540</v>
      </c>
      <c r="I7" s="511">
        <v>1560</v>
      </c>
      <c r="J7" s="511">
        <v>1520</v>
      </c>
      <c r="K7" s="511">
        <v>1550</v>
      </c>
      <c r="L7" s="511">
        <v>1520</v>
      </c>
      <c r="M7" s="511">
        <v>1540</v>
      </c>
      <c r="N7" s="511">
        <v>1320</v>
      </c>
    </row>
    <row r="8" spans="1:14" s="28" customFormat="1" ht="11.4" x14ac:dyDescent="0.2">
      <c r="A8" s="28" t="s">
        <v>183</v>
      </c>
      <c r="B8" s="511">
        <v>760</v>
      </c>
      <c r="C8" s="511">
        <v>700</v>
      </c>
      <c r="D8" s="511">
        <v>610</v>
      </c>
      <c r="E8" s="511">
        <v>530</v>
      </c>
      <c r="F8" s="511">
        <v>490</v>
      </c>
      <c r="G8" s="511">
        <v>450</v>
      </c>
      <c r="H8" s="511">
        <v>350</v>
      </c>
      <c r="I8" s="511">
        <v>300</v>
      </c>
      <c r="J8" s="511">
        <v>280</v>
      </c>
      <c r="K8" s="511">
        <v>260</v>
      </c>
      <c r="L8" s="511">
        <v>210</v>
      </c>
      <c r="M8" s="511">
        <v>190</v>
      </c>
      <c r="N8" s="511">
        <v>160</v>
      </c>
    </row>
    <row r="9" spans="1:14" s="28" customFormat="1" ht="11.4" x14ac:dyDescent="0.2">
      <c r="A9" s="28" t="s">
        <v>184</v>
      </c>
      <c r="B9" s="511">
        <v>4710</v>
      </c>
      <c r="C9" s="511">
        <v>4620</v>
      </c>
      <c r="D9" s="511">
        <v>4210</v>
      </c>
      <c r="E9" s="511">
        <v>4070.0000000000005</v>
      </c>
      <c r="F9" s="511">
        <v>3890</v>
      </c>
      <c r="G9" s="511">
        <v>3760</v>
      </c>
      <c r="H9" s="511">
        <v>3450</v>
      </c>
      <c r="I9" s="511">
        <v>3300</v>
      </c>
      <c r="J9" s="511">
        <v>3130</v>
      </c>
      <c r="K9" s="511">
        <v>3150</v>
      </c>
      <c r="L9" s="511">
        <v>3040</v>
      </c>
      <c r="M9" s="511">
        <v>3140</v>
      </c>
      <c r="N9" s="511">
        <v>2730</v>
      </c>
    </row>
    <row r="10" spans="1:14" s="28" customFormat="1" ht="11.4" x14ac:dyDescent="0.2">
      <c r="A10" s="28" t="s">
        <v>185</v>
      </c>
      <c r="B10" s="511">
        <v>100</v>
      </c>
      <c r="C10" s="511">
        <v>100</v>
      </c>
      <c r="D10" s="511">
        <v>80</v>
      </c>
      <c r="E10" s="511">
        <v>90</v>
      </c>
      <c r="F10" s="511">
        <v>90</v>
      </c>
      <c r="G10" s="511">
        <v>100</v>
      </c>
      <c r="H10" s="511">
        <v>100</v>
      </c>
      <c r="I10" s="511">
        <v>90</v>
      </c>
      <c r="J10" s="511">
        <v>90</v>
      </c>
      <c r="K10" s="511">
        <v>90</v>
      </c>
      <c r="L10" s="511">
        <v>90</v>
      </c>
      <c r="M10" s="511">
        <v>90</v>
      </c>
      <c r="N10" s="511">
        <v>80</v>
      </c>
    </row>
    <row r="11" spans="1:14" s="28" customFormat="1" ht="11.4" x14ac:dyDescent="0.2">
      <c r="A11" s="28" t="s">
        <v>372</v>
      </c>
      <c r="B11" s="511">
        <v>10</v>
      </c>
      <c r="C11" s="511">
        <v>10</v>
      </c>
      <c r="D11" s="511">
        <v>10</v>
      </c>
      <c r="E11" s="511">
        <v>10</v>
      </c>
      <c r="F11" s="511">
        <v>10</v>
      </c>
      <c r="G11" s="511">
        <v>10</v>
      </c>
      <c r="H11" s="511">
        <v>10</v>
      </c>
      <c r="I11" s="511">
        <v>10</v>
      </c>
      <c r="J11" s="511">
        <v>10</v>
      </c>
      <c r="K11" s="511">
        <v>10</v>
      </c>
      <c r="L11" s="511">
        <v>20</v>
      </c>
      <c r="M11" s="511">
        <v>30</v>
      </c>
      <c r="N11" s="511">
        <v>30</v>
      </c>
    </row>
    <row r="12" spans="1:14" s="28" customFormat="1" ht="11.4" x14ac:dyDescent="0.2">
      <c r="A12" s="28" t="s">
        <v>328</v>
      </c>
      <c r="B12" s="511">
        <f>SUM(B6:B11)</f>
        <v>19540</v>
      </c>
      <c r="C12" s="511">
        <f t="shared" ref="C12:N12" si="0">SUM(C6:C11)</f>
        <v>19100</v>
      </c>
      <c r="D12" s="511">
        <f t="shared" si="0"/>
        <v>18010</v>
      </c>
      <c r="E12" s="511">
        <f t="shared" si="0"/>
        <v>17560</v>
      </c>
      <c r="F12" s="511">
        <f t="shared" si="0"/>
        <v>17150</v>
      </c>
      <c r="G12" s="511">
        <f t="shared" si="0"/>
        <v>17250</v>
      </c>
      <c r="H12" s="511">
        <f t="shared" si="0"/>
        <v>16510</v>
      </c>
      <c r="I12" s="511">
        <f t="shared" si="0"/>
        <v>16100</v>
      </c>
      <c r="J12" s="511">
        <f t="shared" si="0"/>
        <v>15520</v>
      </c>
      <c r="K12" s="511">
        <f t="shared" si="0"/>
        <v>15290</v>
      </c>
      <c r="L12" s="511">
        <f t="shared" si="0"/>
        <v>14230</v>
      </c>
      <c r="M12" s="511">
        <f t="shared" si="0"/>
        <v>14250</v>
      </c>
      <c r="N12" s="511">
        <f t="shared" si="0"/>
        <v>12590</v>
      </c>
    </row>
    <row r="13" spans="1:14" s="28" customFormat="1" ht="12" x14ac:dyDescent="0.25">
      <c r="A13" s="30" t="s">
        <v>327</v>
      </c>
      <c r="B13" s="376">
        <f>B12/1000</f>
        <v>19.54</v>
      </c>
      <c r="C13" s="376">
        <f t="shared" ref="C13:N13" si="1">C12/1000</f>
        <v>19.100000000000001</v>
      </c>
      <c r="D13" s="376">
        <f t="shared" si="1"/>
        <v>18.010000000000002</v>
      </c>
      <c r="E13" s="376">
        <f t="shared" si="1"/>
        <v>17.559999999999999</v>
      </c>
      <c r="F13" s="376">
        <f t="shared" si="1"/>
        <v>17.149999999999999</v>
      </c>
      <c r="G13" s="376">
        <f t="shared" si="1"/>
        <v>17.25</v>
      </c>
      <c r="H13" s="376">
        <f t="shared" si="1"/>
        <v>16.510000000000002</v>
      </c>
      <c r="I13" s="376">
        <f t="shared" si="1"/>
        <v>16.100000000000001</v>
      </c>
      <c r="J13" s="376">
        <f t="shared" si="1"/>
        <v>15.52</v>
      </c>
      <c r="K13" s="376">
        <f t="shared" si="1"/>
        <v>15.29</v>
      </c>
      <c r="L13" s="376">
        <f t="shared" si="1"/>
        <v>14.23</v>
      </c>
      <c r="M13" s="376">
        <f t="shared" si="1"/>
        <v>14.25</v>
      </c>
      <c r="N13" s="376">
        <f t="shared" si="1"/>
        <v>12.59</v>
      </c>
    </row>
    <row r="14" spans="1:14" s="28" customFormat="1" ht="11.4" x14ac:dyDescent="0.2">
      <c r="B14" s="279"/>
      <c r="C14" s="279"/>
      <c r="D14" s="279"/>
      <c r="E14" s="279"/>
      <c r="F14" s="279"/>
      <c r="G14" s="279"/>
      <c r="H14" s="279"/>
      <c r="I14" s="279"/>
      <c r="J14" s="279"/>
      <c r="K14" s="279"/>
      <c r="L14" s="279"/>
    </row>
    <row r="15" spans="1:14" s="28" customFormat="1" ht="12" x14ac:dyDescent="0.25">
      <c r="A15" s="280" t="s">
        <v>349</v>
      </c>
      <c r="B15" s="280">
        <v>2010</v>
      </c>
      <c r="C15" s="280">
        <v>2011</v>
      </c>
      <c r="D15" s="280">
        <v>2012</v>
      </c>
      <c r="E15" s="280">
        <v>2013</v>
      </c>
      <c r="F15" s="280">
        <v>2014</v>
      </c>
      <c r="G15" s="280">
        <v>2015</v>
      </c>
      <c r="H15" s="280">
        <v>2016</v>
      </c>
      <c r="I15" s="280">
        <v>2017</v>
      </c>
      <c r="J15" s="280">
        <v>2018</v>
      </c>
      <c r="K15" s="280">
        <v>2019</v>
      </c>
      <c r="L15" s="280">
        <v>2020</v>
      </c>
      <c r="M15" s="280">
        <v>2021</v>
      </c>
      <c r="N15" s="280">
        <v>2022</v>
      </c>
    </row>
    <row r="16" spans="1:14" s="28" customFormat="1" ht="11.4" x14ac:dyDescent="0.2">
      <c r="A16" s="28" t="s">
        <v>178</v>
      </c>
      <c r="B16" s="279">
        <f>(B6+B7+B10)/1000</f>
        <v>14.06</v>
      </c>
      <c r="C16" s="279">
        <f t="shared" ref="C16:J16" si="2">(C6+C7+C10)/1000</f>
        <v>13.77</v>
      </c>
      <c r="D16" s="279">
        <f t="shared" si="2"/>
        <v>13.18</v>
      </c>
      <c r="E16" s="279">
        <f t="shared" si="2"/>
        <v>12.95</v>
      </c>
      <c r="F16" s="279">
        <f t="shared" si="2"/>
        <v>12.76</v>
      </c>
      <c r="G16" s="279">
        <f t="shared" si="2"/>
        <v>13.03</v>
      </c>
      <c r="H16" s="279">
        <f t="shared" si="2"/>
        <v>12.7</v>
      </c>
      <c r="I16" s="279">
        <f t="shared" si="2"/>
        <v>12.49</v>
      </c>
      <c r="J16" s="279">
        <f t="shared" si="2"/>
        <v>12.1</v>
      </c>
      <c r="K16" s="279">
        <f t="shared" ref="K16:N16" si="3">(K6+K7+K10)/1000</f>
        <v>11.87</v>
      </c>
      <c r="L16" s="279">
        <f t="shared" si="3"/>
        <v>10.96</v>
      </c>
      <c r="M16" s="279">
        <f t="shared" si="3"/>
        <v>10.89</v>
      </c>
      <c r="N16" s="279">
        <f t="shared" si="3"/>
        <v>9.67</v>
      </c>
    </row>
    <row r="17" spans="1:17" s="28" customFormat="1" ht="11.4" x14ac:dyDescent="0.2">
      <c r="A17" s="28" t="s">
        <v>248</v>
      </c>
      <c r="B17" s="279">
        <f>B9/1000</f>
        <v>4.71</v>
      </c>
      <c r="C17" s="279">
        <f t="shared" ref="C17:J17" si="4">C9/1000</f>
        <v>4.62</v>
      </c>
      <c r="D17" s="279">
        <f t="shared" si="4"/>
        <v>4.21</v>
      </c>
      <c r="E17" s="279">
        <f t="shared" si="4"/>
        <v>4.07</v>
      </c>
      <c r="F17" s="279">
        <f t="shared" si="4"/>
        <v>3.89</v>
      </c>
      <c r="G17" s="279">
        <f t="shared" si="4"/>
        <v>3.76</v>
      </c>
      <c r="H17" s="279">
        <f t="shared" si="4"/>
        <v>3.45</v>
      </c>
      <c r="I17" s="279">
        <f t="shared" si="4"/>
        <v>3.3</v>
      </c>
      <c r="J17" s="279">
        <f t="shared" si="4"/>
        <v>3.13</v>
      </c>
      <c r="K17" s="279">
        <f t="shared" ref="K17:N17" si="5">K9/1000</f>
        <v>3.15</v>
      </c>
      <c r="L17" s="279">
        <f t="shared" si="5"/>
        <v>3.04</v>
      </c>
      <c r="M17" s="279">
        <f t="shared" si="5"/>
        <v>3.14</v>
      </c>
      <c r="N17" s="279">
        <f t="shared" si="5"/>
        <v>2.73</v>
      </c>
    </row>
    <row r="18" spans="1:17" s="28" customFormat="1" ht="11.4" x14ac:dyDescent="0.2">
      <c r="A18" s="28" t="s">
        <v>186</v>
      </c>
      <c r="B18" s="279">
        <f t="shared" ref="B18:I18" si="6">B8/1000+B11/1000</f>
        <v>0.77</v>
      </c>
      <c r="C18" s="279">
        <f t="shared" si="6"/>
        <v>0.71</v>
      </c>
      <c r="D18" s="279">
        <f t="shared" si="6"/>
        <v>0.62</v>
      </c>
      <c r="E18" s="279">
        <f t="shared" si="6"/>
        <v>0.54</v>
      </c>
      <c r="F18" s="279">
        <f t="shared" si="6"/>
        <v>0.5</v>
      </c>
      <c r="G18" s="279">
        <f t="shared" si="6"/>
        <v>0.46</v>
      </c>
      <c r="H18" s="279">
        <f t="shared" si="6"/>
        <v>0.36</v>
      </c>
      <c r="I18" s="279">
        <f t="shared" si="6"/>
        <v>0.31</v>
      </c>
      <c r="J18" s="279">
        <f>J8/1000+J11/1000</f>
        <v>0.29000000000000004</v>
      </c>
      <c r="K18" s="279">
        <f t="shared" ref="K18:N18" si="7">K8/1000+K11/1000</f>
        <v>0.27</v>
      </c>
      <c r="L18" s="279">
        <f t="shared" si="7"/>
        <v>0.22999999999999998</v>
      </c>
      <c r="M18" s="279">
        <f t="shared" si="7"/>
        <v>0.22</v>
      </c>
      <c r="N18" s="279">
        <f t="shared" si="7"/>
        <v>0.19</v>
      </c>
    </row>
    <row r="19" spans="1:17" s="28" customFormat="1" ht="12" x14ac:dyDescent="0.25">
      <c r="A19" s="30" t="s">
        <v>16</v>
      </c>
      <c r="B19" s="281">
        <f>SUM(B16:B18)</f>
        <v>19.54</v>
      </c>
      <c r="C19" s="281">
        <f t="shared" ref="C19:N19" si="8">SUM(C16:C18)</f>
        <v>19.100000000000001</v>
      </c>
      <c r="D19" s="281">
        <f t="shared" si="8"/>
        <v>18.010000000000002</v>
      </c>
      <c r="E19" s="281">
        <f t="shared" si="8"/>
        <v>17.559999999999999</v>
      </c>
      <c r="F19" s="281">
        <f t="shared" si="8"/>
        <v>17.149999999999999</v>
      </c>
      <c r="G19" s="281">
        <f t="shared" si="8"/>
        <v>17.25</v>
      </c>
      <c r="H19" s="281">
        <f t="shared" si="8"/>
        <v>16.509999999999998</v>
      </c>
      <c r="I19" s="281">
        <f t="shared" si="8"/>
        <v>16.099999999999998</v>
      </c>
      <c r="J19" s="281">
        <f t="shared" si="8"/>
        <v>15.52</v>
      </c>
      <c r="K19" s="281">
        <f t="shared" si="8"/>
        <v>15.29</v>
      </c>
      <c r="L19" s="281">
        <f t="shared" si="8"/>
        <v>14.23</v>
      </c>
      <c r="M19" s="281">
        <f t="shared" si="8"/>
        <v>14.250000000000002</v>
      </c>
      <c r="N19" s="281">
        <f t="shared" si="8"/>
        <v>12.59</v>
      </c>
    </row>
    <row r="20" spans="1:17" ht="12" customHeight="1" x14ac:dyDescent="0.3"/>
    <row r="21" spans="1:17" s="333" customFormat="1" ht="12" customHeight="1" x14ac:dyDescent="0.3">
      <c r="A21" s="28" t="s">
        <v>352</v>
      </c>
    </row>
    <row r="22" spans="1:17" s="333" customFormat="1" ht="12" customHeight="1" x14ac:dyDescent="0.3">
      <c r="A22" s="28" t="s">
        <v>353</v>
      </c>
    </row>
    <row r="23" spans="1:17" s="333" customFormat="1" ht="12" customHeight="1" x14ac:dyDescent="0.3"/>
    <row r="24" spans="1:17" ht="12" customHeight="1" x14ac:dyDescent="0.3">
      <c r="A24" s="280" t="s">
        <v>350</v>
      </c>
      <c r="B24" s="280">
        <v>2010</v>
      </c>
      <c r="C24" s="280">
        <v>2011</v>
      </c>
      <c r="D24" s="280">
        <v>2012</v>
      </c>
      <c r="E24" s="280">
        <v>2013</v>
      </c>
      <c r="F24" s="280">
        <v>2014</v>
      </c>
      <c r="G24" s="280">
        <v>2015</v>
      </c>
      <c r="H24" s="280">
        <v>2016</v>
      </c>
      <c r="I24" s="280">
        <v>2017</v>
      </c>
      <c r="J24" s="280">
        <v>2018</v>
      </c>
      <c r="K24" s="280">
        <v>2019</v>
      </c>
      <c r="L24" s="280">
        <v>2020</v>
      </c>
      <c r="M24" s="280">
        <v>2021</v>
      </c>
      <c r="N24" s="280">
        <v>2022</v>
      </c>
    </row>
    <row r="25" spans="1:17" ht="12" customHeight="1" x14ac:dyDescent="0.3">
      <c r="A25" s="28" t="s">
        <v>365</v>
      </c>
      <c r="B25" s="279">
        <f>B32/1000</f>
        <v>1.3952000000000002</v>
      </c>
      <c r="C25" s="279">
        <f t="shared" ref="C25:J25" si="9">C32/1000</f>
        <v>1.2692000000000019</v>
      </c>
      <c r="D25" s="279">
        <f t="shared" si="9"/>
        <v>1.0711999999999995</v>
      </c>
      <c r="E25" s="279">
        <f t="shared" si="9"/>
        <v>0.96049999999999935</v>
      </c>
      <c r="F25" s="279">
        <f t="shared" si="9"/>
        <v>0.87380000000000113</v>
      </c>
      <c r="G25" s="279">
        <f t="shared" si="9"/>
        <v>0.74280000000000079</v>
      </c>
      <c r="H25" s="279">
        <f t="shared" si="9"/>
        <v>0.65099999999999969</v>
      </c>
      <c r="I25" s="279">
        <f t="shared" si="9"/>
        <v>0.57449999999999934</v>
      </c>
      <c r="J25" s="279">
        <f t="shared" si="9"/>
        <v>0.50379999999999991</v>
      </c>
      <c r="K25" s="279"/>
      <c r="L25" s="279"/>
      <c r="Q25" s="512"/>
    </row>
    <row r="26" spans="1:17" ht="12" customHeight="1" x14ac:dyDescent="0.3">
      <c r="A26" s="28" t="s">
        <v>351</v>
      </c>
      <c r="B26" s="279">
        <f>B29/1000-B25</f>
        <v>13.957799999999999</v>
      </c>
      <c r="C26" s="279">
        <f t="shared" ref="C26:J26" si="10">C29/1000-C25</f>
        <v>16.1812</v>
      </c>
      <c r="D26" s="279">
        <f t="shared" si="10"/>
        <v>14.269300000000001</v>
      </c>
      <c r="E26" s="279">
        <f t="shared" si="10"/>
        <v>16.5778</v>
      </c>
      <c r="F26" s="279">
        <f t="shared" si="10"/>
        <v>15.182399999999999</v>
      </c>
      <c r="G26" s="279">
        <f t="shared" si="10"/>
        <v>15.541400000000001</v>
      </c>
      <c r="H26" s="279">
        <f t="shared" si="10"/>
        <v>16.030799999999999</v>
      </c>
      <c r="I26" s="279">
        <f t="shared" si="10"/>
        <v>16.3413</v>
      </c>
      <c r="J26" s="279">
        <f t="shared" si="10"/>
        <v>16.589200000000002</v>
      </c>
      <c r="K26" s="279"/>
      <c r="L26" s="279"/>
    </row>
    <row r="27" spans="1:17" ht="12" customHeight="1" x14ac:dyDescent="0.3">
      <c r="A27" s="28" t="s">
        <v>338</v>
      </c>
      <c r="B27" s="279">
        <v>59.854699999999994</v>
      </c>
      <c r="C27" s="279">
        <v>55.862499999999997</v>
      </c>
      <c r="D27" s="279">
        <v>53.195500000000003</v>
      </c>
      <c r="E27" s="279">
        <v>51.203099999999999</v>
      </c>
      <c r="F27" s="279">
        <v>50.199599999999997</v>
      </c>
      <c r="G27" s="279">
        <v>47.358699999999999</v>
      </c>
      <c r="H27" s="279">
        <v>44.657699999999998</v>
      </c>
      <c r="I27" s="279">
        <v>41.268900000000002</v>
      </c>
      <c r="J27" s="279">
        <v>38.866199999999999</v>
      </c>
      <c r="K27" s="279"/>
      <c r="L27" s="279"/>
    </row>
    <row r="28" spans="1:17" ht="12" customHeight="1" x14ac:dyDescent="0.3">
      <c r="A28" s="28"/>
      <c r="B28" s="279"/>
      <c r="C28" s="279"/>
      <c r="D28" s="279"/>
      <c r="E28" s="279"/>
      <c r="F28" s="279"/>
      <c r="G28" s="279"/>
      <c r="H28" s="279"/>
      <c r="I28" s="279"/>
      <c r="J28" s="279"/>
      <c r="K28" s="279"/>
      <c r="L28" s="279"/>
    </row>
    <row r="29" spans="1:17" ht="12" customHeight="1" x14ac:dyDescent="0.3">
      <c r="A29" s="28" t="s">
        <v>348</v>
      </c>
      <c r="B29" s="511">
        <v>15353</v>
      </c>
      <c r="C29" s="511">
        <v>17450.400000000001</v>
      </c>
      <c r="D29" s="511">
        <v>15340.5</v>
      </c>
      <c r="E29" s="511">
        <v>17538.3</v>
      </c>
      <c r="F29" s="511">
        <v>16056.2</v>
      </c>
      <c r="G29" s="511">
        <v>16284.2</v>
      </c>
      <c r="H29" s="511">
        <v>16681.8</v>
      </c>
      <c r="I29" s="511">
        <v>16915.8</v>
      </c>
      <c r="J29" s="511">
        <v>17093</v>
      </c>
      <c r="K29" s="377"/>
      <c r="L29" s="377"/>
    </row>
    <row r="30" spans="1:17" ht="12" customHeight="1" x14ac:dyDescent="0.3">
      <c r="A30" s="28" t="s">
        <v>346</v>
      </c>
      <c r="B30" s="511">
        <v>13189.4</v>
      </c>
      <c r="C30" s="511">
        <v>15403.4</v>
      </c>
      <c r="D30" s="511">
        <v>13497.1</v>
      </c>
      <c r="E30" s="511">
        <v>15805</v>
      </c>
      <c r="F30" s="511">
        <v>14397.4</v>
      </c>
      <c r="G30" s="511">
        <v>14740</v>
      </c>
      <c r="H30" s="511">
        <v>15207.9</v>
      </c>
      <c r="I30" s="511">
        <v>15507</v>
      </c>
      <c r="J30" s="511">
        <v>15751</v>
      </c>
      <c r="K30" s="377"/>
      <c r="L30" s="377"/>
    </row>
    <row r="31" spans="1:17" ht="12" customHeight="1" x14ac:dyDescent="0.3">
      <c r="A31" s="28" t="s">
        <v>347</v>
      </c>
      <c r="B31" s="511">
        <v>768.4</v>
      </c>
      <c r="C31" s="511">
        <v>777.8</v>
      </c>
      <c r="D31" s="511">
        <v>772.2</v>
      </c>
      <c r="E31" s="511">
        <v>772.8</v>
      </c>
      <c r="F31" s="511">
        <v>785</v>
      </c>
      <c r="G31" s="511">
        <v>801.4</v>
      </c>
      <c r="H31" s="511">
        <v>822.9</v>
      </c>
      <c r="I31" s="511">
        <v>834.3</v>
      </c>
      <c r="J31" s="511">
        <v>838.2</v>
      </c>
      <c r="K31" s="377"/>
      <c r="L31" s="377"/>
    </row>
    <row r="32" spans="1:17" ht="12" customHeight="1" x14ac:dyDescent="0.3">
      <c r="A32" s="28" t="s">
        <v>337</v>
      </c>
      <c r="B32" s="511">
        <f>B29-B30-B31</f>
        <v>1395.2000000000003</v>
      </c>
      <c r="C32" s="511">
        <f t="shared" ref="C32:J32" si="11">C29-C30-C31</f>
        <v>1269.2000000000019</v>
      </c>
      <c r="D32" s="511">
        <f t="shared" si="11"/>
        <v>1071.1999999999996</v>
      </c>
      <c r="E32" s="511">
        <f t="shared" si="11"/>
        <v>960.49999999999932</v>
      </c>
      <c r="F32" s="511">
        <f t="shared" si="11"/>
        <v>873.80000000000109</v>
      </c>
      <c r="G32" s="511">
        <f t="shared" si="11"/>
        <v>742.80000000000075</v>
      </c>
      <c r="H32" s="511">
        <f t="shared" si="11"/>
        <v>650.99999999999966</v>
      </c>
      <c r="I32" s="511">
        <f t="shared" si="11"/>
        <v>574.49999999999932</v>
      </c>
      <c r="J32" s="511">
        <f t="shared" si="11"/>
        <v>503.79999999999995</v>
      </c>
      <c r="K32" s="377"/>
      <c r="L32" s="377"/>
    </row>
    <row r="33" spans="1:9" x14ac:dyDescent="0.3">
      <c r="A33" s="28"/>
    </row>
    <row r="34" spans="1:9" x14ac:dyDescent="0.3">
      <c r="G34" s="333"/>
      <c r="H34" s="333"/>
      <c r="I34" s="33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2D2D2"/>
  </sheetPr>
  <dimension ref="A1:T42"/>
  <sheetViews>
    <sheetView topLeftCell="A4" zoomScale="90" zoomScaleNormal="90" workbookViewId="0">
      <selection activeCell="C39" sqref="C39:D42"/>
    </sheetView>
  </sheetViews>
  <sheetFormatPr defaultColWidth="8.88671875" defaultRowHeight="14.4" x14ac:dyDescent="0.3"/>
  <cols>
    <col min="1" max="1" width="37.88671875" style="14" customWidth="1"/>
    <col min="2" max="4" width="8.6640625" style="14" customWidth="1"/>
    <col min="5" max="5" width="11.6640625" style="78" customWidth="1"/>
    <col min="6" max="6" width="44.44140625" style="14" bestFit="1" customWidth="1"/>
    <col min="7" max="10" width="8.88671875" style="14"/>
    <col min="11" max="11" width="28.109375" style="14" customWidth="1"/>
    <col min="12" max="12" width="8.88671875" style="14"/>
    <col min="13" max="13" width="11.33203125" style="14" customWidth="1"/>
    <col min="14" max="16384" width="8.88671875" style="14"/>
  </cols>
  <sheetData>
    <row r="1" spans="1:16" ht="17.399999999999999" x14ac:dyDescent="0.3">
      <c r="A1" s="108" t="s">
        <v>284</v>
      </c>
      <c r="B1" s="379"/>
      <c r="C1" s="379"/>
      <c r="D1" s="379"/>
      <c r="E1" s="380"/>
      <c r="F1" s="379"/>
      <c r="G1" s="24"/>
      <c r="H1" s="24"/>
      <c r="I1" s="24"/>
    </row>
    <row r="2" spans="1:16" x14ac:dyDescent="0.3">
      <c r="A2" s="378" t="s">
        <v>368</v>
      </c>
      <c r="B2" s="24"/>
      <c r="C2" s="24"/>
      <c r="D2" s="24"/>
      <c r="E2" s="157"/>
      <c r="F2" s="24"/>
      <c r="G2" s="24"/>
      <c r="H2" s="24"/>
      <c r="I2" s="24"/>
    </row>
    <row r="3" spans="1:16" ht="15" thickBot="1" x14ac:dyDescent="0.35">
      <c r="A3" s="593" t="s">
        <v>385</v>
      </c>
      <c r="B3" s="593"/>
      <c r="C3" s="593"/>
      <c r="D3" s="593"/>
      <c r="E3" s="67"/>
      <c r="F3" s="593" t="s">
        <v>387</v>
      </c>
      <c r="G3" s="593"/>
      <c r="H3" s="593"/>
      <c r="I3" s="593"/>
      <c r="M3" s="593" t="s">
        <v>297</v>
      </c>
      <c r="N3" s="594"/>
      <c r="O3" s="594"/>
      <c r="P3" s="594"/>
    </row>
    <row r="4" spans="1:16" s="29" customFormat="1" thickBot="1" x14ac:dyDescent="0.35">
      <c r="A4" s="595" t="s">
        <v>386</v>
      </c>
      <c r="B4" s="595"/>
      <c r="C4" s="595"/>
      <c r="D4" s="595"/>
      <c r="E4" s="158"/>
      <c r="F4" s="595" t="s">
        <v>388</v>
      </c>
      <c r="G4" s="595"/>
      <c r="H4" s="595"/>
      <c r="I4" s="595"/>
      <c r="K4" s="50" t="s">
        <v>58</v>
      </c>
      <c r="M4" s="330" t="s">
        <v>298</v>
      </c>
      <c r="N4" s="323"/>
      <c r="O4" s="323"/>
      <c r="P4" s="323"/>
    </row>
    <row r="5" spans="1:16" ht="15" thickBot="1" x14ac:dyDescent="0.35">
      <c r="A5" s="596"/>
      <c r="B5" s="596"/>
      <c r="C5" s="596"/>
      <c r="D5" s="596"/>
      <c r="E5" s="32"/>
      <c r="F5" s="596"/>
      <c r="G5" s="596"/>
      <c r="H5" s="596"/>
      <c r="I5" s="596"/>
      <c r="K5" s="48" t="s">
        <v>56</v>
      </c>
      <c r="M5" s="324"/>
      <c r="N5" s="324"/>
      <c r="O5" s="324"/>
      <c r="P5" s="324"/>
    </row>
    <row r="6" spans="1:16" ht="15" thickBot="1" x14ac:dyDescent="0.35">
      <c r="A6" s="21" t="s">
        <v>120</v>
      </c>
      <c r="B6" s="21">
        <v>2019</v>
      </c>
      <c r="C6" s="25">
        <v>2030</v>
      </c>
      <c r="D6" s="26">
        <v>2045</v>
      </c>
      <c r="E6" s="79"/>
      <c r="F6" s="21" t="s">
        <v>120</v>
      </c>
      <c r="G6" s="21">
        <v>2019</v>
      </c>
      <c r="H6" s="25">
        <v>2030</v>
      </c>
      <c r="I6" s="26">
        <v>2045</v>
      </c>
      <c r="K6" s="49" t="s">
        <v>321</v>
      </c>
      <c r="M6" s="21" t="s">
        <v>296</v>
      </c>
      <c r="N6" s="21">
        <v>2019</v>
      </c>
      <c r="O6" s="25">
        <v>2030</v>
      </c>
      <c r="P6" s="26">
        <v>2045</v>
      </c>
    </row>
    <row r="7" spans="1:16" ht="15" thickBot="1" x14ac:dyDescent="0.35">
      <c r="A7" s="20" t="s">
        <v>95</v>
      </c>
      <c r="B7" s="534">
        <v>0.46602019730981081</v>
      </c>
      <c r="C7" s="535">
        <v>0.24248775393277419</v>
      </c>
      <c r="D7" s="536">
        <v>3.4316374444473184E-2</v>
      </c>
      <c r="E7" s="32"/>
      <c r="F7" s="20" t="s">
        <v>8</v>
      </c>
      <c r="G7" s="534">
        <v>0.46602019730981081</v>
      </c>
      <c r="H7" s="535">
        <v>0.24248775393277419</v>
      </c>
      <c r="I7" s="536">
        <v>3.4316374444473184E-2</v>
      </c>
      <c r="M7" s="20" t="s">
        <v>294</v>
      </c>
      <c r="N7" s="150"/>
      <c r="O7" s="151">
        <v>1.9785575329374168</v>
      </c>
      <c r="P7" s="152">
        <v>1.0335424620244051</v>
      </c>
    </row>
    <row r="8" spans="1:16" ht="15" thickBot="1" x14ac:dyDescent="0.35">
      <c r="A8" s="20" t="s">
        <v>96</v>
      </c>
      <c r="B8" s="534">
        <v>0.52061211025321885</v>
      </c>
      <c r="C8" s="535">
        <v>0.2974234300294572</v>
      </c>
      <c r="D8" s="536">
        <v>2.3768110670359732E-2</v>
      </c>
      <c r="E8" s="32"/>
      <c r="F8" s="20" t="s">
        <v>9</v>
      </c>
      <c r="G8" s="534">
        <v>0.52061211025321885</v>
      </c>
      <c r="H8" s="535">
        <v>0.2974234300294572</v>
      </c>
      <c r="I8" s="536">
        <v>2.3768110670359732E-2</v>
      </c>
      <c r="K8" s="332" t="s">
        <v>58</v>
      </c>
      <c r="M8" s="20" t="s">
        <v>7</v>
      </c>
      <c r="N8" s="150"/>
      <c r="O8" s="151">
        <v>0.4662835969758185</v>
      </c>
      <c r="P8" s="152">
        <v>0.83617248676713107</v>
      </c>
    </row>
    <row r="9" spans="1:16" ht="15" thickBot="1" x14ac:dyDescent="0.35">
      <c r="A9" s="20" t="s">
        <v>97</v>
      </c>
      <c r="B9" s="534">
        <v>1.3367692436970393E-2</v>
      </c>
      <c r="C9" s="535">
        <v>0.46008881603776874</v>
      </c>
      <c r="D9" s="536">
        <v>0.941915514885167</v>
      </c>
      <c r="E9" s="32"/>
      <c r="F9" s="20" t="s">
        <v>7</v>
      </c>
      <c r="G9" s="534">
        <v>1.3367692436970393E-2</v>
      </c>
      <c r="H9" s="535">
        <v>0.46008881603776874</v>
      </c>
      <c r="I9" s="536">
        <v>0.941915514885167</v>
      </c>
      <c r="K9" s="331" t="s">
        <v>320</v>
      </c>
      <c r="M9" s="21" t="s">
        <v>16</v>
      </c>
      <c r="N9" s="144"/>
      <c r="O9" s="145">
        <f t="shared" ref="O9" si="0">SUM(O7:O8)</f>
        <v>2.4448411299132351</v>
      </c>
      <c r="P9" s="146">
        <f t="shared" ref="P9" si="1">SUM(P7:P8)</f>
        <v>1.8697149487915361</v>
      </c>
    </row>
    <row r="10" spans="1:16" ht="15" thickBot="1" x14ac:dyDescent="0.35">
      <c r="A10" s="21" t="s">
        <v>16</v>
      </c>
      <c r="B10" s="139">
        <f t="shared" ref="B10:D10" si="2">SUM(B7:B9)</f>
        <v>1</v>
      </c>
      <c r="C10" s="140">
        <f>SUM(C7:C9)</f>
        <v>1</v>
      </c>
      <c r="D10" s="141">
        <f t="shared" si="2"/>
        <v>0.99999999999999989</v>
      </c>
      <c r="F10" s="21" t="s">
        <v>16</v>
      </c>
      <c r="G10" s="139">
        <f>SUM(G7:G9)</f>
        <v>1</v>
      </c>
      <c r="H10" s="140">
        <f t="shared" ref="H10" si="3">SUM(H7:H9)</f>
        <v>1</v>
      </c>
      <c r="I10" s="141">
        <f t="shared" ref="I10" si="4">SUM(I7:I9)</f>
        <v>0.99999999999999989</v>
      </c>
      <c r="K10" s="48" t="s">
        <v>319</v>
      </c>
    </row>
    <row r="11" spans="1:16" ht="15" thickBot="1" x14ac:dyDescent="0.35">
      <c r="A11" s="142"/>
      <c r="B11" s="143"/>
      <c r="C11" s="143"/>
      <c r="D11" s="143"/>
      <c r="F11" s="142"/>
      <c r="G11" s="143"/>
      <c r="H11" s="143"/>
      <c r="I11" s="143"/>
      <c r="K11" s="49" t="s">
        <v>317</v>
      </c>
      <c r="M11" s="593" t="s">
        <v>318</v>
      </c>
      <c r="N11" s="594"/>
      <c r="O11" s="594"/>
      <c r="P11" s="594"/>
    </row>
    <row r="12" spans="1:16" ht="15" thickBot="1" x14ac:dyDescent="0.35">
      <c r="A12" s="21" t="s">
        <v>204</v>
      </c>
      <c r="B12" s="21">
        <v>2019</v>
      </c>
      <c r="C12" s="25">
        <v>2030</v>
      </c>
      <c r="D12" s="26">
        <v>2045</v>
      </c>
      <c r="F12" s="21" t="s">
        <v>204</v>
      </c>
      <c r="G12" s="21">
        <v>2019</v>
      </c>
      <c r="H12" s="25">
        <v>2030</v>
      </c>
      <c r="I12" s="26">
        <v>2045</v>
      </c>
      <c r="M12" s="330" t="s">
        <v>295</v>
      </c>
      <c r="N12" s="323"/>
      <c r="O12" s="323"/>
      <c r="P12" s="323"/>
    </row>
    <row r="13" spans="1:16" ht="15" thickBot="1" x14ac:dyDescent="0.35">
      <c r="A13" s="21" t="s">
        <v>98</v>
      </c>
      <c r="B13" s="301">
        <v>83.058041172927773</v>
      </c>
      <c r="C13" s="302">
        <v>96.242881034691067</v>
      </c>
      <c r="D13" s="303">
        <v>110.82130388604155</v>
      </c>
      <c r="E13" s="32"/>
      <c r="F13" s="21" t="s">
        <v>98</v>
      </c>
      <c r="G13" s="301">
        <f>B13</f>
        <v>83.058041172927773</v>
      </c>
      <c r="H13" s="302">
        <f>C13</f>
        <v>96.242881034691067</v>
      </c>
      <c r="I13" s="303">
        <f>D13</f>
        <v>110.82130388604155</v>
      </c>
      <c r="M13" s="324"/>
      <c r="N13" s="324"/>
      <c r="O13" s="324"/>
      <c r="P13" s="324"/>
    </row>
    <row r="14" spans="1:16" ht="15" thickBot="1" x14ac:dyDescent="0.35">
      <c r="A14" s="25"/>
      <c r="B14" s="145"/>
      <c r="C14" s="145"/>
      <c r="D14" s="145"/>
      <c r="F14" s="28"/>
      <c r="G14" s="28"/>
      <c r="H14" s="28"/>
      <c r="I14" s="28"/>
      <c r="M14" s="21" t="s">
        <v>296</v>
      </c>
      <c r="N14" s="21">
        <v>2019</v>
      </c>
      <c r="O14" s="25">
        <v>2030</v>
      </c>
      <c r="P14" s="26">
        <v>2045</v>
      </c>
    </row>
    <row r="15" spans="1:16" ht="15" thickBot="1" x14ac:dyDescent="0.35">
      <c r="A15" s="21" t="s">
        <v>119</v>
      </c>
      <c r="B15" s="21">
        <v>2019</v>
      </c>
      <c r="C15" s="25">
        <v>2030</v>
      </c>
      <c r="D15" s="26">
        <v>2045</v>
      </c>
      <c r="F15" s="21" t="s">
        <v>119</v>
      </c>
      <c r="G15" s="21">
        <v>2019</v>
      </c>
      <c r="H15" s="25">
        <v>2030</v>
      </c>
      <c r="I15" s="26">
        <v>2045</v>
      </c>
      <c r="M15" s="20" t="s">
        <v>294</v>
      </c>
      <c r="N15" s="150"/>
      <c r="O15" s="151">
        <v>1.33</v>
      </c>
      <c r="P15" s="152">
        <v>0.97</v>
      </c>
    </row>
    <row r="16" spans="1:16" ht="15" thickBot="1" x14ac:dyDescent="0.35">
      <c r="A16" s="17" t="s">
        <v>95</v>
      </c>
      <c r="B16" s="147">
        <v>0.79051893345227997</v>
      </c>
      <c r="C16" s="148">
        <v>0.54362786502111604</v>
      </c>
      <c r="D16" s="149">
        <v>0.59493869654716436</v>
      </c>
      <c r="E16" s="32"/>
      <c r="F16" s="17" t="s">
        <v>95</v>
      </c>
      <c r="G16" s="147">
        <f t="shared" ref="G16:H18" si="5">B16</f>
        <v>0.79051893345227997</v>
      </c>
      <c r="H16" s="148">
        <f t="shared" si="5"/>
        <v>0.54362786502111604</v>
      </c>
      <c r="I16" s="149">
        <f t="shared" ref="I16" si="6">D16</f>
        <v>0.59493869654716436</v>
      </c>
      <c r="L16" s="333"/>
      <c r="M16" s="20" t="s">
        <v>7</v>
      </c>
      <c r="N16" s="150"/>
      <c r="O16" s="151">
        <v>0.88</v>
      </c>
      <c r="P16" s="152">
        <v>1.1200000000000001</v>
      </c>
    </row>
    <row r="17" spans="1:20" ht="15" thickBot="1" x14ac:dyDescent="0.35">
      <c r="A17" s="20" t="s">
        <v>96</v>
      </c>
      <c r="B17" s="150">
        <v>0.76531647909214717</v>
      </c>
      <c r="C17" s="151">
        <v>0.71409907323874344</v>
      </c>
      <c r="D17" s="152">
        <v>0.73856511182227358</v>
      </c>
      <c r="E17" s="32"/>
      <c r="F17" s="20" t="s">
        <v>96</v>
      </c>
      <c r="G17" s="150">
        <f t="shared" si="5"/>
        <v>0.76531647909214717</v>
      </c>
      <c r="H17" s="151">
        <f t="shared" si="5"/>
        <v>0.71409907323874344</v>
      </c>
      <c r="I17" s="152">
        <f>D17</f>
        <v>0.73856511182227358</v>
      </c>
      <c r="M17" s="21" t="s">
        <v>16</v>
      </c>
      <c r="N17" s="144"/>
      <c r="O17" s="145">
        <f t="shared" ref="O17:P17" si="7">SUM(O15:O16)</f>
        <v>2.21</v>
      </c>
      <c r="P17" s="146">
        <f t="shared" si="7"/>
        <v>2.09</v>
      </c>
    </row>
    <row r="18" spans="1:20" ht="15" thickBot="1" x14ac:dyDescent="0.35">
      <c r="A18" s="18" t="s">
        <v>97</v>
      </c>
      <c r="B18" s="153">
        <v>2.3296211541132998</v>
      </c>
      <c r="C18" s="154">
        <v>2.3690591161723722</v>
      </c>
      <c r="D18" s="155">
        <v>2.3690591161723722</v>
      </c>
      <c r="E18" s="32"/>
      <c r="F18" s="18" t="s">
        <v>97</v>
      </c>
      <c r="G18" s="153">
        <f t="shared" si="5"/>
        <v>2.3296211541132998</v>
      </c>
      <c r="H18" s="154">
        <f t="shared" si="5"/>
        <v>2.3690591161723722</v>
      </c>
      <c r="I18" s="155">
        <f>D18</f>
        <v>2.3690591161723722</v>
      </c>
    </row>
    <row r="19" spans="1:20" ht="15" thickBot="1" x14ac:dyDescent="0.35">
      <c r="B19" s="333"/>
      <c r="C19" s="333"/>
      <c r="D19" s="333"/>
      <c r="E19" s="87"/>
      <c r="F19" s="161"/>
      <c r="G19" s="161"/>
      <c r="H19" s="161"/>
      <c r="I19" s="161"/>
      <c r="M19" s="593" t="s">
        <v>317</v>
      </c>
      <c r="N19" s="594"/>
      <c r="O19" s="594"/>
      <c r="P19" s="594"/>
    </row>
    <row r="20" spans="1:20" ht="15" thickBot="1" x14ac:dyDescent="0.35">
      <c r="A20" s="21" t="s">
        <v>265</v>
      </c>
      <c r="B20" s="21">
        <v>2019</v>
      </c>
      <c r="C20" s="25">
        <v>2030</v>
      </c>
      <c r="D20" s="26">
        <v>2045</v>
      </c>
      <c r="E20" s="159"/>
      <c r="F20" s="21" t="s">
        <v>265</v>
      </c>
      <c r="G20" s="21">
        <v>2019</v>
      </c>
      <c r="H20" s="25">
        <v>2030</v>
      </c>
      <c r="I20" s="26">
        <v>2045</v>
      </c>
      <c r="M20" s="330" t="s">
        <v>295</v>
      </c>
      <c r="N20" s="323"/>
      <c r="O20" s="323"/>
      <c r="P20" s="323"/>
    </row>
    <row r="21" spans="1:20" ht="15" thickBot="1" x14ac:dyDescent="0.35">
      <c r="A21" s="17" t="s">
        <v>100</v>
      </c>
      <c r="B21" s="526">
        <v>0</v>
      </c>
      <c r="C21" s="286">
        <v>0.25</v>
      </c>
      <c r="D21" s="287">
        <v>0.84</v>
      </c>
      <c r="E21" s="160"/>
      <c r="F21" s="17" t="s">
        <v>100</v>
      </c>
      <c r="G21" s="526">
        <v>0</v>
      </c>
      <c r="H21" s="286">
        <v>0.25</v>
      </c>
      <c r="I21" s="287">
        <v>0.84</v>
      </c>
      <c r="M21" s="324"/>
      <c r="N21" s="324"/>
      <c r="O21" s="324"/>
      <c r="P21" s="324"/>
    </row>
    <row r="22" spans="1:20" ht="15" thickBot="1" x14ac:dyDescent="0.35">
      <c r="A22" s="20" t="s">
        <v>101</v>
      </c>
      <c r="B22" s="527">
        <v>0</v>
      </c>
      <c r="C22" s="288">
        <v>0.25</v>
      </c>
      <c r="D22" s="289">
        <v>0.84</v>
      </c>
      <c r="E22" s="160"/>
      <c r="F22" s="20" t="s">
        <v>101</v>
      </c>
      <c r="G22" s="527">
        <v>0</v>
      </c>
      <c r="H22" s="288">
        <v>0.25</v>
      </c>
      <c r="I22" s="289">
        <v>0.84</v>
      </c>
      <c r="M22" s="21" t="s">
        <v>296</v>
      </c>
      <c r="N22" s="21">
        <v>2019</v>
      </c>
      <c r="O22" s="25">
        <v>2030</v>
      </c>
      <c r="P22" s="26">
        <v>2045</v>
      </c>
    </row>
    <row r="23" spans="1:20" x14ac:dyDescent="0.3">
      <c r="A23" s="20" t="s">
        <v>102</v>
      </c>
      <c r="B23" s="527">
        <v>0</v>
      </c>
      <c r="C23" s="288">
        <v>0.1</v>
      </c>
      <c r="D23" s="289">
        <v>0.81</v>
      </c>
      <c r="E23" s="160"/>
      <c r="F23" s="20" t="s">
        <v>102</v>
      </c>
      <c r="G23" s="527">
        <v>0</v>
      </c>
      <c r="H23" s="288">
        <v>0.1</v>
      </c>
      <c r="I23" s="289">
        <v>0.81</v>
      </c>
      <c r="M23" s="20" t="s">
        <v>294</v>
      </c>
      <c r="N23" s="150"/>
      <c r="O23" s="151">
        <v>2.0649999999999999</v>
      </c>
      <c r="P23" s="152">
        <v>1.6099999999999999</v>
      </c>
    </row>
    <row r="24" spans="1:20" ht="15" thickBot="1" x14ac:dyDescent="0.35">
      <c r="A24" s="156" t="s">
        <v>103</v>
      </c>
      <c r="B24" s="527">
        <v>0</v>
      </c>
      <c r="C24" s="288">
        <v>0.1</v>
      </c>
      <c r="D24" s="290">
        <v>0.79</v>
      </c>
      <c r="E24" s="160"/>
      <c r="F24" s="156" t="s">
        <v>103</v>
      </c>
      <c r="G24" s="527">
        <v>0</v>
      </c>
      <c r="H24" s="288">
        <v>0.1</v>
      </c>
      <c r="I24" s="290">
        <v>0.79</v>
      </c>
      <c r="M24" s="20" t="s">
        <v>7</v>
      </c>
      <c r="N24" s="150"/>
      <c r="O24" s="151">
        <v>1.365</v>
      </c>
      <c r="P24" s="152">
        <v>2.17</v>
      </c>
    </row>
    <row r="25" spans="1:20" ht="15" thickBot="1" x14ac:dyDescent="0.35">
      <c r="A25" s="21" t="s">
        <v>99</v>
      </c>
      <c r="B25" s="528">
        <v>0</v>
      </c>
      <c r="C25" s="291">
        <v>2.4891587356064358E-2</v>
      </c>
      <c r="D25" s="292">
        <v>9.9566349424257433E-2</v>
      </c>
      <c r="E25" s="160"/>
      <c r="F25" s="21" t="s">
        <v>99</v>
      </c>
      <c r="G25" s="528">
        <v>0</v>
      </c>
      <c r="H25" s="291">
        <v>2.4891587356064358E-2</v>
      </c>
      <c r="I25" s="292">
        <v>9.9566349424257433E-2</v>
      </c>
      <c r="K25" s="333"/>
      <c r="L25" s="334"/>
      <c r="M25" s="21" t="s">
        <v>16</v>
      </c>
      <c r="N25" s="144"/>
      <c r="O25" s="145">
        <f t="shared" ref="O25" si="8">SUM(O23:O24)</f>
        <v>3.4299999999999997</v>
      </c>
      <c r="P25" s="146">
        <f t="shared" ref="P25" si="9">SUM(P23:P24)</f>
        <v>3.78</v>
      </c>
    </row>
    <row r="26" spans="1:20" ht="15" thickBot="1" x14ac:dyDescent="0.35">
      <c r="B26" s="333"/>
      <c r="C26" s="333"/>
      <c r="D26" s="333"/>
      <c r="E26" s="87"/>
      <c r="F26" s="161"/>
      <c r="G26" s="161"/>
      <c r="H26" s="161"/>
      <c r="I26" s="161"/>
      <c r="K26" s="333"/>
      <c r="L26" s="334"/>
      <c r="M26" s="334"/>
      <c r="N26" s="334"/>
      <c r="O26" s="334"/>
      <c r="P26" s="334"/>
      <c r="Q26" s="334"/>
      <c r="R26" s="334"/>
      <c r="S26" s="334"/>
      <c r="T26" s="334"/>
    </row>
    <row r="27" spans="1:20" ht="15" thickBot="1" x14ac:dyDescent="0.35">
      <c r="A27" s="21" t="s">
        <v>204</v>
      </c>
      <c r="B27" s="21">
        <v>2019</v>
      </c>
      <c r="C27" s="25">
        <v>2030</v>
      </c>
      <c r="D27" s="26">
        <v>2045</v>
      </c>
      <c r="E27" s="159"/>
      <c r="F27" s="21" t="s">
        <v>204</v>
      </c>
      <c r="G27" s="304">
        <v>2019</v>
      </c>
      <c r="H27" s="305">
        <v>2030</v>
      </c>
      <c r="I27" s="306">
        <v>2045</v>
      </c>
      <c r="K27" s="333"/>
      <c r="L27" s="335"/>
      <c r="M27" s="335"/>
      <c r="N27" s="333"/>
    </row>
    <row r="28" spans="1:20" x14ac:dyDescent="0.3">
      <c r="A28" s="17" t="s">
        <v>100</v>
      </c>
      <c r="B28" s="147"/>
      <c r="C28" s="308">
        <v>0.22095243940171372</v>
      </c>
      <c r="D28" s="311">
        <v>0.26056352414887451</v>
      </c>
      <c r="E28" s="32"/>
      <c r="F28" s="17" t="s">
        <v>100</v>
      </c>
      <c r="G28" s="147"/>
      <c r="H28" s="308">
        <f>C28</f>
        <v>0.22095243940171372</v>
      </c>
      <c r="I28" s="311">
        <f>D28</f>
        <v>0.26056352414887451</v>
      </c>
      <c r="K28" s="333"/>
      <c r="L28" s="335"/>
      <c r="M28" s="335"/>
      <c r="N28" s="333"/>
    </row>
    <row r="29" spans="1:20" x14ac:dyDescent="0.3">
      <c r="A29" s="20" t="s">
        <v>101</v>
      </c>
      <c r="B29" s="150"/>
      <c r="C29" s="309">
        <v>0.24048713697194765</v>
      </c>
      <c r="D29" s="312">
        <v>0.28360029014188726</v>
      </c>
      <c r="E29" s="32"/>
      <c r="F29" s="20" t="s">
        <v>101</v>
      </c>
      <c r="G29" s="150"/>
      <c r="H29" s="309">
        <f t="shared" ref="H29:I31" si="10">C29</f>
        <v>0.24048713697194765</v>
      </c>
      <c r="I29" s="312">
        <f t="shared" si="10"/>
        <v>0.28360029014188726</v>
      </c>
      <c r="K29" s="333"/>
      <c r="L29" s="333"/>
      <c r="M29" s="333"/>
      <c r="N29" s="333"/>
    </row>
    <row r="30" spans="1:20" x14ac:dyDescent="0.3">
      <c r="A30" s="20" t="s">
        <v>102</v>
      </c>
      <c r="B30" s="150"/>
      <c r="C30" s="309">
        <v>1.9682018403049411</v>
      </c>
      <c r="D30" s="312">
        <v>2.3210497658899261</v>
      </c>
      <c r="E30" s="32"/>
      <c r="F30" s="20" t="s">
        <v>102</v>
      </c>
      <c r="G30" s="150"/>
      <c r="H30" s="309">
        <f t="shared" si="10"/>
        <v>1.9682018403049411</v>
      </c>
      <c r="I30" s="312">
        <f t="shared" si="10"/>
        <v>2.3210497658899261</v>
      </c>
      <c r="K30" s="333"/>
      <c r="L30" s="333"/>
      <c r="M30" s="333"/>
      <c r="N30" s="333"/>
      <c r="O30" s="333"/>
    </row>
    <row r="31" spans="1:20" ht="15" thickBot="1" x14ac:dyDescent="0.35">
      <c r="A31" s="156" t="s">
        <v>103</v>
      </c>
      <c r="B31" s="150"/>
      <c r="C31" s="309">
        <v>3.5477319739661044</v>
      </c>
      <c r="D31" s="313">
        <v>4.1837489931106022</v>
      </c>
      <c r="E31" s="32"/>
      <c r="F31" s="18" t="s">
        <v>103</v>
      </c>
      <c r="G31" s="153"/>
      <c r="H31" s="310">
        <f t="shared" si="10"/>
        <v>3.5477319739661044</v>
      </c>
      <c r="I31" s="313">
        <f t="shared" si="10"/>
        <v>4.1837489931106022</v>
      </c>
      <c r="K31" s="333"/>
      <c r="L31" s="333"/>
      <c r="M31" s="333"/>
      <c r="N31" s="333"/>
      <c r="O31" s="333"/>
    </row>
    <row r="32" spans="1:20" ht="15" thickBot="1" x14ac:dyDescent="0.35">
      <c r="A32" s="21" t="s">
        <v>99</v>
      </c>
      <c r="B32" s="144"/>
      <c r="C32" s="302">
        <f t="shared" ref="C32" si="11">SUM(C28:C31)</f>
        <v>5.9773733906447069</v>
      </c>
      <c r="D32" s="303">
        <f>SUM(D28:D31)</f>
        <v>7.0489625732912895</v>
      </c>
      <c r="E32" s="160"/>
      <c r="F32" s="21" t="s">
        <v>99</v>
      </c>
      <c r="G32" s="307"/>
      <c r="H32" s="532">
        <f t="shared" ref="H32" si="12">SUM(H28:H31)</f>
        <v>5.9773733906447069</v>
      </c>
      <c r="I32" s="533">
        <f>SUM(I28:I31)</f>
        <v>7.0489625732912895</v>
      </c>
      <c r="K32" s="333"/>
      <c r="L32" s="333"/>
      <c r="M32" s="333"/>
      <c r="N32" s="333"/>
      <c r="O32" s="333"/>
    </row>
    <row r="33" spans="1:15" ht="15" thickBot="1" x14ac:dyDescent="0.35">
      <c r="B33" s="333"/>
      <c r="C33" s="496"/>
      <c r="D33" s="496"/>
      <c r="K33" s="333"/>
      <c r="L33" s="333"/>
      <c r="M33" s="333"/>
      <c r="N33" s="333"/>
      <c r="O33" s="333"/>
    </row>
    <row r="34" spans="1:15" ht="15" thickBot="1" x14ac:dyDescent="0.35">
      <c r="A34" s="21" t="s">
        <v>119</v>
      </c>
      <c r="B34" s="21">
        <v>2019</v>
      </c>
      <c r="C34" s="509">
        <v>2030</v>
      </c>
      <c r="D34" s="510">
        <v>2045</v>
      </c>
      <c r="F34" s="21" t="s">
        <v>119</v>
      </c>
      <c r="G34" s="304">
        <v>2019</v>
      </c>
      <c r="H34" s="305">
        <v>2030</v>
      </c>
      <c r="I34" s="306">
        <v>2045</v>
      </c>
    </row>
    <row r="35" spans="1:15" x14ac:dyDescent="0.3">
      <c r="A35" s="17" t="s">
        <v>105</v>
      </c>
      <c r="B35" s="147">
        <v>1.8017287547138701</v>
      </c>
      <c r="C35" s="148">
        <f>B35+(D35-B35)/($D$34-$B$34)*($C$34-$B$34)</f>
        <v>1.6649068439691834</v>
      </c>
      <c r="D35" s="149">
        <v>1.47833151113552</v>
      </c>
      <c r="E35" s="159"/>
      <c r="F35" s="17" t="s">
        <v>105</v>
      </c>
      <c r="G35" s="529">
        <v>1.8017287547138701</v>
      </c>
      <c r="H35" s="308">
        <v>1.6649068439691834</v>
      </c>
      <c r="I35" s="311">
        <v>1.47833151113552</v>
      </c>
    </row>
    <row r="36" spans="1:15" x14ac:dyDescent="0.3">
      <c r="A36" s="20" t="s">
        <v>106</v>
      </c>
      <c r="B36" s="150">
        <v>2.2601610915338699</v>
      </c>
      <c r="C36" s="151">
        <f t="shared" ref="C36:C38" si="13">B36+(D36-B36)/($D$34-$B$34)*($C$34-$B$34)</f>
        <v>2.0884322780651385</v>
      </c>
      <c r="D36" s="152">
        <v>1.8542566233350499</v>
      </c>
      <c r="E36" s="159"/>
      <c r="F36" s="20" t="s">
        <v>106</v>
      </c>
      <c r="G36" s="530">
        <v>2.2601610915338699</v>
      </c>
      <c r="H36" s="309">
        <v>2.0884322780651385</v>
      </c>
      <c r="I36" s="312">
        <v>1.8542566233350499</v>
      </c>
    </row>
    <row r="37" spans="1:15" x14ac:dyDescent="0.3">
      <c r="A37" s="20" t="s">
        <v>107</v>
      </c>
      <c r="B37" s="150">
        <v>2.91022847979053</v>
      </c>
      <c r="C37" s="151">
        <f t="shared" si="13"/>
        <v>2.7229641760793539</v>
      </c>
      <c r="D37" s="152">
        <v>2.4676037619277502</v>
      </c>
      <c r="E37" s="159"/>
      <c r="F37" s="20" t="s">
        <v>107</v>
      </c>
      <c r="G37" s="530">
        <v>2.91022847979053</v>
      </c>
      <c r="H37" s="309">
        <v>2.7229641760793539</v>
      </c>
      <c r="I37" s="312">
        <v>2.4676037619277502</v>
      </c>
    </row>
    <row r="38" spans="1:15" ht="15" thickBot="1" x14ac:dyDescent="0.35">
      <c r="A38" s="156" t="s">
        <v>108</v>
      </c>
      <c r="B38" s="153">
        <v>4.0444600227083596</v>
      </c>
      <c r="C38" s="154">
        <f t="shared" si="13"/>
        <v>3.7835614301620941</v>
      </c>
      <c r="D38" s="155">
        <v>3.4277906221444598</v>
      </c>
      <c r="E38" s="159"/>
      <c r="F38" s="18" t="s">
        <v>108</v>
      </c>
      <c r="G38" s="531">
        <v>4.0444600227083596</v>
      </c>
      <c r="H38" s="310">
        <v>3.7835614301620941</v>
      </c>
      <c r="I38" s="313">
        <v>3.4277906221444598</v>
      </c>
    </row>
    <row r="39" spans="1:15" x14ac:dyDescent="0.3">
      <c r="A39" s="17" t="s">
        <v>115</v>
      </c>
      <c r="B39" s="147">
        <v>9.0169813068265903</v>
      </c>
      <c r="C39" s="148">
        <v>9.0169813068265903</v>
      </c>
      <c r="D39" s="149">
        <v>9.0169813068265903</v>
      </c>
      <c r="E39" s="159"/>
      <c r="F39" s="17" t="s">
        <v>115</v>
      </c>
      <c r="G39" s="530">
        <v>9.0169813068265903</v>
      </c>
      <c r="H39" s="309">
        <v>9.0169813068265903</v>
      </c>
      <c r="I39" s="312">
        <v>9.0169813068265903</v>
      </c>
    </row>
    <row r="40" spans="1:15" x14ac:dyDescent="0.3">
      <c r="A40" s="20" t="s">
        <v>116</v>
      </c>
      <c r="B40" s="150">
        <v>11.310339377103301</v>
      </c>
      <c r="C40" s="151">
        <v>11.310339377103301</v>
      </c>
      <c r="D40" s="152">
        <v>11.310339377103301</v>
      </c>
      <c r="E40" s="159"/>
      <c r="F40" s="20" t="s">
        <v>116</v>
      </c>
      <c r="G40" s="530">
        <v>11.310339377103301</v>
      </c>
      <c r="H40" s="309">
        <v>11.310339377103301</v>
      </c>
      <c r="I40" s="312">
        <v>11.310339377103301</v>
      </c>
    </row>
    <row r="41" spans="1:15" x14ac:dyDescent="0.3">
      <c r="A41" s="20" t="s">
        <v>117</v>
      </c>
      <c r="B41" s="150">
        <v>14.6722825607026</v>
      </c>
      <c r="C41" s="151">
        <v>14.6722825607026</v>
      </c>
      <c r="D41" s="152">
        <v>14.6722825607026</v>
      </c>
      <c r="E41" s="159"/>
      <c r="F41" s="20" t="s">
        <v>117</v>
      </c>
      <c r="G41" s="530">
        <v>14.6722825607026</v>
      </c>
      <c r="H41" s="309">
        <v>14.6722825607026</v>
      </c>
      <c r="I41" s="312">
        <v>14.6722825607026</v>
      </c>
    </row>
    <row r="42" spans="1:15" ht="15" thickBot="1" x14ac:dyDescent="0.35">
      <c r="A42" s="156" t="s">
        <v>118</v>
      </c>
      <c r="B42" s="153">
        <v>20.381518841477</v>
      </c>
      <c r="C42" s="154">
        <v>20.381518841477</v>
      </c>
      <c r="D42" s="155">
        <v>20.381518841477</v>
      </c>
      <c r="E42" s="159"/>
      <c r="F42" s="156" t="s">
        <v>118</v>
      </c>
      <c r="G42" s="531">
        <v>20.381518841477</v>
      </c>
      <c r="H42" s="310">
        <v>20.381518841477</v>
      </c>
      <c r="I42" s="313">
        <v>20.381518841477</v>
      </c>
    </row>
  </sheetData>
  <mergeCells count="9">
    <mergeCell ref="M19:P19"/>
    <mergeCell ref="M11:P11"/>
    <mergeCell ref="M3:P3"/>
    <mergeCell ref="A4:D4"/>
    <mergeCell ref="A5:D5"/>
    <mergeCell ref="F4:I4"/>
    <mergeCell ref="F5:I5"/>
    <mergeCell ref="A3:D3"/>
    <mergeCell ref="F3:I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2D2D2"/>
  </sheetPr>
  <dimension ref="A1:O26"/>
  <sheetViews>
    <sheetView zoomScale="90" zoomScaleNormal="90" workbookViewId="0">
      <selection activeCell="C31" sqref="C31"/>
    </sheetView>
  </sheetViews>
  <sheetFormatPr defaultColWidth="8.88671875" defaultRowHeight="14.4" x14ac:dyDescent="0.3"/>
  <cols>
    <col min="1" max="1" width="35.33203125" style="14" customWidth="1"/>
    <col min="2" max="2" width="45.44140625" style="14" customWidth="1"/>
    <col min="3" max="3" width="25.33203125" style="14" customWidth="1"/>
    <col min="4" max="5" width="11.6640625" style="14" customWidth="1"/>
    <col min="6" max="6" width="118" style="14" customWidth="1"/>
    <col min="7" max="16384" width="8.88671875" style="14"/>
  </cols>
  <sheetData>
    <row r="1" spans="1:15" ht="17.399999999999999" x14ac:dyDescent="0.3">
      <c r="A1" s="108" t="s">
        <v>252</v>
      </c>
      <c r="C1" s="333"/>
      <c r="D1" s="192"/>
      <c r="E1" s="192"/>
      <c r="F1" s="297"/>
    </row>
    <row r="2" spans="1:15" ht="15" thickBot="1" x14ac:dyDescent="0.35">
      <c r="A2" s="378" t="s">
        <v>367</v>
      </c>
    </row>
    <row r="3" spans="1:15" s="110" customFormat="1" ht="16.2" thickBot="1" x14ac:dyDescent="0.35">
      <c r="A3" s="293" t="s">
        <v>252</v>
      </c>
      <c r="B3" s="294" t="s">
        <v>18</v>
      </c>
      <c r="C3" s="295" t="s">
        <v>14</v>
      </c>
      <c r="D3" s="115">
        <v>2030</v>
      </c>
      <c r="E3" s="116">
        <v>2045</v>
      </c>
      <c r="F3" s="299" t="s">
        <v>15</v>
      </c>
      <c r="G3" s="15"/>
      <c r="H3" s="109"/>
      <c r="I3" s="109"/>
      <c r="J3" s="109"/>
      <c r="K3" s="109"/>
      <c r="L3" s="109"/>
      <c r="M3" s="109"/>
      <c r="N3" s="109"/>
      <c r="O3" s="109"/>
    </row>
    <row r="4" spans="1:15" ht="15" customHeight="1" x14ac:dyDescent="0.3">
      <c r="A4" s="578" t="s">
        <v>281</v>
      </c>
      <c r="B4" s="599" t="s">
        <v>201</v>
      </c>
      <c r="C4" s="600"/>
      <c r="D4" s="540">
        <v>7.0000000000000007E-2</v>
      </c>
      <c r="E4" s="541">
        <v>0.19</v>
      </c>
      <c r="F4" s="17" t="s">
        <v>314</v>
      </c>
      <c r="G4" s="31"/>
      <c r="H4" s="28"/>
      <c r="I4" s="28"/>
      <c r="J4" s="28"/>
      <c r="K4" s="28"/>
      <c r="L4" s="28"/>
      <c r="M4" s="28"/>
      <c r="N4" s="28"/>
      <c r="O4" s="28"/>
    </row>
    <row r="5" spans="1:15" ht="15" customHeight="1" x14ac:dyDescent="0.3">
      <c r="A5" s="603"/>
      <c r="B5" s="601" t="s">
        <v>166</v>
      </c>
      <c r="C5" s="602"/>
      <c r="D5" s="540">
        <v>-0.05</v>
      </c>
      <c r="E5" s="541">
        <v>-0.05</v>
      </c>
      <c r="F5" s="20" t="s">
        <v>64</v>
      </c>
      <c r="G5" s="31"/>
      <c r="H5" s="28"/>
      <c r="I5" s="28"/>
      <c r="J5" s="28"/>
      <c r="K5" s="28"/>
      <c r="L5" s="28"/>
      <c r="M5" s="28"/>
      <c r="N5" s="28"/>
      <c r="O5" s="28"/>
    </row>
    <row r="6" spans="1:15" ht="15" customHeight="1" x14ac:dyDescent="0.3">
      <c r="A6" s="603"/>
      <c r="B6" s="601" t="s">
        <v>167</v>
      </c>
      <c r="C6" s="602"/>
      <c r="D6" s="540">
        <v>0</v>
      </c>
      <c r="E6" s="541">
        <v>0</v>
      </c>
      <c r="F6" s="20" t="s">
        <v>65</v>
      </c>
      <c r="G6" s="31"/>
      <c r="H6" s="28"/>
      <c r="I6" s="28"/>
      <c r="J6" s="28"/>
      <c r="K6" s="28"/>
      <c r="L6" s="28"/>
      <c r="M6" s="28"/>
      <c r="N6" s="28"/>
      <c r="O6" s="28"/>
    </row>
    <row r="7" spans="1:15" ht="15" customHeight="1" x14ac:dyDescent="0.3">
      <c r="A7" s="603"/>
      <c r="B7" s="601" t="s">
        <v>168</v>
      </c>
      <c r="C7" s="602"/>
      <c r="D7" s="540">
        <v>-0.06</v>
      </c>
      <c r="E7" s="541">
        <v>-0.06</v>
      </c>
      <c r="F7" s="20" t="s">
        <v>63</v>
      </c>
      <c r="G7" s="31"/>
      <c r="H7" s="28"/>
      <c r="I7" s="28"/>
      <c r="J7" s="28"/>
      <c r="K7" s="28"/>
      <c r="L7" s="28"/>
      <c r="M7" s="28"/>
      <c r="N7" s="28"/>
      <c r="O7" s="28"/>
    </row>
    <row r="8" spans="1:15" ht="15" customHeight="1" x14ac:dyDescent="0.3">
      <c r="A8" s="603"/>
      <c r="B8" s="601" t="s">
        <v>169</v>
      </c>
      <c r="C8" s="602"/>
      <c r="D8" s="540">
        <v>-0.25</v>
      </c>
      <c r="E8" s="541">
        <v>-0.25</v>
      </c>
      <c r="F8" s="20" t="s">
        <v>202</v>
      </c>
      <c r="G8" s="31"/>
      <c r="H8" s="28"/>
      <c r="I8" s="28"/>
      <c r="J8" s="28"/>
      <c r="K8" s="28"/>
      <c r="L8" s="28"/>
      <c r="M8" s="28"/>
      <c r="N8" s="28"/>
      <c r="O8" s="28"/>
    </row>
    <row r="9" spans="1:15" ht="15" customHeight="1" thickBot="1" x14ac:dyDescent="0.35">
      <c r="A9" s="582"/>
      <c r="B9" s="597" t="s">
        <v>170</v>
      </c>
      <c r="C9" s="598"/>
      <c r="D9" s="542">
        <v>-0.33129999999999998</v>
      </c>
      <c r="E9" s="543">
        <v>-0.33129999999999998</v>
      </c>
      <c r="F9" s="20" t="s">
        <v>313</v>
      </c>
      <c r="G9" s="31"/>
      <c r="H9" s="28"/>
      <c r="I9" s="28"/>
      <c r="J9" s="28"/>
      <c r="K9" s="28"/>
      <c r="L9" s="28"/>
      <c r="M9" s="28"/>
      <c r="N9" s="28"/>
      <c r="O9" s="28"/>
    </row>
    <row r="10" spans="1:15" ht="15" customHeight="1" x14ac:dyDescent="0.3">
      <c r="A10" s="567" t="s">
        <v>253</v>
      </c>
      <c r="B10" s="88" t="s">
        <v>8</v>
      </c>
      <c r="C10" s="129" t="s">
        <v>88</v>
      </c>
      <c r="D10" s="42">
        <v>2.36</v>
      </c>
      <c r="E10" s="43">
        <v>2.36</v>
      </c>
      <c r="F10" s="300" t="s">
        <v>278</v>
      </c>
      <c r="G10" s="31"/>
      <c r="H10" s="28"/>
      <c r="I10" s="28"/>
      <c r="J10" s="28"/>
      <c r="K10" s="28"/>
      <c r="L10" s="28"/>
      <c r="M10" s="28"/>
      <c r="N10" s="28"/>
      <c r="O10" s="28"/>
    </row>
    <row r="11" spans="1:15" ht="15" customHeight="1" x14ac:dyDescent="0.3">
      <c r="A11" s="568"/>
      <c r="B11" s="31" t="s">
        <v>9</v>
      </c>
      <c r="C11" s="125" t="s">
        <v>88</v>
      </c>
      <c r="D11" s="544">
        <v>2.54</v>
      </c>
      <c r="E11" s="545">
        <v>2.54</v>
      </c>
      <c r="F11" s="355" t="s">
        <v>279</v>
      </c>
      <c r="G11" s="31"/>
      <c r="H11" s="28"/>
      <c r="I11" s="28"/>
      <c r="J11" s="28"/>
      <c r="K11" s="28"/>
      <c r="L11" s="28"/>
      <c r="M11" s="28"/>
      <c r="N11" s="28"/>
      <c r="O11" s="28"/>
    </row>
    <row r="12" spans="1:15" ht="15" customHeight="1" thickBot="1" x14ac:dyDescent="0.35">
      <c r="A12" s="568" t="s">
        <v>62</v>
      </c>
      <c r="B12" s="31" t="s">
        <v>7</v>
      </c>
      <c r="C12" s="298" t="s">
        <v>262</v>
      </c>
      <c r="D12" s="46">
        <v>0</v>
      </c>
      <c r="E12" s="47">
        <v>0</v>
      </c>
      <c r="F12" s="355" t="s">
        <v>280</v>
      </c>
      <c r="G12" s="31"/>
      <c r="H12" s="28"/>
      <c r="I12" s="28"/>
      <c r="J12" s="28"/>
      <c r="K12" s="28"/>
      <c r="L12" s="28"/>
      <c r="M12" s="28"/>
      <c r="N12" s="28"/>
      <c r="O12" s="28"/>
    </row>
    <row r="13" spans="1:15" ht="15" customHeight="1" x14ac:dyDescent="0.3">
      <c r="A13" s="567" t="s">
        <v>254</v>
      </c>
      <c r="B13" s="88" t="s">
        <v>272</v>
      </c>
      <c r="C13" s="129" t="s">
        <v>271</v>
      </c>
      <c r="D13" s="546">
        <v>7.7550842592972236E-2</v>
      </c>
      <c r="E13" s="547">
        <v>9.8989877415270072E-2</v>
      </c>
      <c r="F13" s="355" t="s">
        <v>374</v>
      </c>
      <c r="G13" s="31"/>
      <c r="H13" s="28"/>
      <c r="I13" s="28"/>
      <c r="J13" s="28"/>
      <c r="K13" s="28"/>
      <c r="L13" s="28"/>
      <c r="M13" s="28"/>
      <c r="N13" s="28"/>
      <c r="O13" s="28"/>
    </row>
    <row r="14" spans="1:15" ht="15" customHeight="1" x14ac:dyDescent="0.3">
      <c r="A14" s="568"/>
      <c r="B14" s="31" t="s">
        <v>273</v>
      </c>
      <c r="C14" s="125" t="s">
        <v>271</v>
      </c>
      <c r="D14" s="548">
        <v>0.27034921676371687</v>
      </c>
      <c r="E14" s="549">
        <v>0.14436144578313254</v>
      </c>
      <c r="F14" s="355" t="s">
        <v>374</v>
      </c>
      <c r="G14" s="31"/>
      <c r="H14" s="28"/>
      <c r="I14" s="28"/>
      <c r="J14" s="28"/>
      <c r="K14" s="28"/>
      <c r="L14" s="28"/>
      <c r="M14" s="28"/>
      <c r="N14" s="28"/>
      <c r="O14" s="28"/>
    </row>
    <row r="15" spans="1:15" ht="15" customHeight="1" thickBot="1" x14ac:dyDescent="0.35">
      <c r="A15" s="568" t="s">
        <v>62</v>
      </c>
      <c r="B15" s="31" t="s">
        <v>274</v>
      </c>
      <c r="C15" s="298" t="s">
        <v>271</v>
      </c>
      <c r="D15" s="542">
        <v>0.71203235990528801</v>
      </c>
      <c r="E15" s="47">
        <v>0.6497534494458268</v>
      </c>
      <c r="F15" s="355" t="s">
        <v>374</v>
      </c>
      <c r="G15" s="31"/>
      <c r="H15" s="28"/>
      <c r="I15" s="28"/>
      <c r="J15" s="28"/>
      <c r="K15" s="28"/>
      <c r="L15" s="28"/>
      <c r="M15" s="28"/>
      <c r="N15" s="28"/>
      <c r="O15" s="28"/>
    </row>
    <row r="16" spans="1:15" ht="15" customHeight="1" x14ac:dyDescent="0.3">
      <c r="A16" s="567" t="s">
        <v>260</v>
      </c>
      <c r="B16" s="88" t="s">
        <v>272</v>
      </c>
      <c r="C16" s="129" t="s">
        <v>271</v>
      </c>
      <c r="D16" s="550">
        <v>1.0408134814875558E-3</v>
      </c>
      <c r="E16" s="551">
        <v>1.1574767531447141E-3</v>
      </c>
      <c r="F16" s="355" t="s">
        <v>374</v>
      </c>
      <c r="G16" s="31"/>
      <c r="H16" s="28"/>
      <c r="I16" s="28"/>
      <c r="J16" s="28"/>
      <c r="K16" s="28"/>
      <c r="L16" s="28"/>
      <c r="M16" s="28"/>
      <c r="N16" s="28"/>
      <c r="O16" s="28"/>
    </row>
    <row r="17" spans="1:15" ht="15" customHeight="1" x14ac:dyDescent="0.3">
      <c r="A17" s="568"/>
      <c r="B17" s="31" t="s">
        <v>273</v>
      </c>
      <c r="C17" s="125" t="s">
        <v>271</v>
      </c>
      <c r="D17" s="552">
        <v>2.8459443943246125E-3</v>
      </c>
      <c r="E17" s="553">
        <v>3.2172048192771084E-3</v>
      </c>
      <c r="F17" s="355" t="s">
        <v>374</v>
      </c>
      <c r="G17" s="31"/>
      <c r="H17" s="28"/>
      <c r="I17" s="28"/>
      <c r="J17" s="28"/>
      <c r="K17" s="28"/>
      <c r="L17" s="28"/>
      <c r="M17" s="28"/>
      <c r="N17" s="28"/>
      <c r="O17" s="28"/>
    </row>
    <row r="18" spans="1:15" ht="15" customHeight="1" thickBot="1" x14ac:dyDescent="0.35">
      <c r="A18" s="575" t="s">
        <v>62</v>
      </c>
      <c r="B18" s="89" t="s">
        <v>274</v>
      </c>
      <c r="C18" s="356" t="s">
        <v>271</v>
      </c>
      <c r="D18" s="554">
        <v>6.3625690607734802E-3</v>
      </c>
      <c r="E18" s="555">
        <v>4.1000000000000003E-3</v>
      </c>
      <c r="F18" s="355" t="s">
        <v>374</v>
      </c>
      <c r="G18" s="31"/>
      <c r="H18" s="28"/>
      <c r="I18" s="28"/>
      <c r="J18" s="28"/>
      <c r="K18" s="28"/>
      <c r="L18" s="28"/>
      <c r="M18" s="28"/>
      <c r="N18" s="28"/>
      <c r="O18" s="28"/>
    </row>
    <row r="19" spans="1:15" ht="15" customHeight="1" x14ac:dyDescent="0.3">
      <c r="A19" s="584" t="s">
        <v>261</v>
      </c>
      <c r="B19" s="268" t="s">
        <v>282</v>
      </c>
      <c r="C19" s="268" t="s">
        <v>271</v>
      </c>
      <c r="D19" s="556">
        <v>0.12</v>
      </c>
      <c r="E19" s="557">
        <v>0.12</v>
      </c>
      <c r="F19" s="268" t="s">
        <v>373</v>
      </c>
      <c r="G19" s="31"/>
      <c r="H19" s="28"/>
      <c r="I19" s="28"/>
      <c r="J19" s="28"/>
      <c r="K19" s="28"/>
      <c r="L19" s="28"/>
      <c r="M19" s="28"/>
      <c r="N19" s="28"/>
      <c r="O19" s="28"/>
    </row>
    <row r="20" spans="1:15" ht="15" customHeight="1" thickBot="1" x14ac:dyDescent="0.35">
      <c r="A20" s="584"/>
      <c r="B20" s="268" t="s">
        <v>283</v>
      </c>
      <c r="C20" s="268" t="s">
        <v>271</v>
      </c>
      <c r="D20" s="558">
        <v>0.37</v>
      </c>
      <c r="E20" s="559">
        <v>0.37</v>
      </c>
      <c r="F20" s="268" t="s">
        <v>373</v>
      </c>
      <c r="G20" s="31"/>
      <c r="H20" s="28"/>
      <c r="I20" s="28"/>
      <c r="J20" s="28"/>
      <c r="K20" s="28"/>
      <c r="L20" s="28"/>
      <c r="M20" s="28"/>
      <c r="N20" s="28"/>
      <c r="O20" s="28"/>
    </row>
    <row r="21" spans="1:15" x14ac:dyDescent="0.3">
      <c r="A21" s="576" t="s">
        <v>89</v>
      </c>
      <c r="B21" s="88" t="s">
        <v>90</v>
      </c>
      <c r="C21" s="129" t="s">
        <v>93</v>
      </c>
      <c r="D21" s="560">
        <v>9.1</v>
      </c>
      <c r="E21" s="561">
        <v>9.1</v>
      </c>
      <c r="F21" s="355" t="s">
        <v>275</v>
      </c>
      <c r="G21" s="31"/>
      <c r="H21" s="28"/>
      <c r="I21" s="28"/>
      <c r="J21" s="28"/>
      <c r="K21" s="28"/>
      <c r="L21" s="28"/>
      <c r="M21" s="28"/>
      <c r="N21" s="28"/>
      <c r="O21" s="28"/>
    </row>
    <row r="22" spans="1:15" ht="15" customHeight="1" x14ac:dyDescent="0.3">
      <c r="A22" s="581"/>
      <c r="B22" s="31" t="s">
        <v>91</v>
      </c>
      <c r="C22" s="125" t="s">
        <v>93</v>
      </c>
      <c r="D22" s="44">
        <v>9.8000000000000007</v>
      </c>
      <c r="E22" s="45">
        <v>9.8000000000000007</v>
      </c>
      <c r="F22" s="355" t="s">
        <v>275</v>
      </c>
      <c r="G22" s="31"/>
      <c r="H22" s="28"/>
      <c r="I22" s="28"/>
      <c r="J22" s="28"/>
      <c r="K22" s="28"/>
      <c r="L22" s="28"/>
      <c r="M22" s="28"/>
      <c r="N22" s="28"/>
      <c r="O22" s="28"/>
    </row>
    <row r="23" spans="1:15" ht="15" customHeight="1" x14ac:dyDescent="0.3">
      <c r="A23" s="581"/>
      <c r="B23" s="31" t="s">
        <v>127</v>
      </c>
      <c r="C23" s="125" t="s">
        <v>93</v>
      </c>
      <c r="D23" s="44">
        <v>5.86</v>
      </c>
      <c r="E23" s="45">
        <v>5.86</v>
      </c>
      <c r="F23" s="355" t="s">
        <v>275</v>
      </c>
      <c r="G23" s="31"/>
      <c r="H23" s="28"/>
      <c r="I23" s="28"/>
      <c r="J23" s="28"/>
      <c r="K23" s="28"/>
      <c r="L23" s="28"/>
      <c r="M23" s="28"/>
      <c r="N23" s="28"/>
      <c r="O23" s="28"/>
    </row>
    <row r="24" spans="1:15" x14ac:dyDescent="0.3">
      <c r="A24" s="581"/>
      <c r="B24" s="31" t="s">
        <v>92</v>
      </c>
      <c r="C24" s="125" t="s">
        <v>93</v>
      </c>
      <c r="D24" s="44">
        <v>8.9600000000000009</v>
      </c>
      <c r="E24" s="45">
        <v>8.9600000000000009</v>
      </c>
      <c r="F24" s="355" t="s">
        <v>275</v>
      </c>
      <c r="G24" s="31"/>
      <c r="H24" s="28"/>
      <c r="I24" s="28"/>
      <c r="J24" s="28"/>
      <c r="K24" s="28"/>
      <c r="L24" s="28"/>
      <c r="M24" s="28"/>
      <c r="N24" s="28"/>
      <c r="O24" s="28"/>
    </row>
    <row r="25" spans="1:15" x14ac:dyDescent="0.3">
      <c r="A25" s="581"/>
      <c r="B25" s="31" t="s">
        <v>128</v>
      </c>
      <c r="C25" s="125" t="s">
        <v>93</v>
      </c>
      <c r="D25" s="44">
        <v>9.17</v>
      </c>
      <c r="E25" s="45">
        <v>9.17</v>
      </c>
      <c r="F25" s="355" t="s">
        <v>275</v>
      </c>
      <c r="G25" s="31"/>
      <c r="H25" s="28"/>
      <c r="I25" s="28"/>
      <c r="J25" s="28"/>
      <c r="K25" s="28"/>
      <c r="L25" s="28"/>
      <c r="M25" s="28"/>
      <c r="N25" s="28"/>
      <c r="O25" s="28"/>
    </row>
    <row r="26" spans="1:15" ht="15" thickBot="1" x14ac:dyDescent="0.35">
      <c r="A26" s="577"/>
      <c r="B26" s="89" t="s">
        <v>94</v>
      </c>
      <c r="C26" s="126" t="s">
        <v>93</v>
      </c>
      <c r="D26" s="562">
        <v>9.44</v>
      </c>
      <c r="E26" s="563">
        <v>9.44</v>
      </c>
      <c r="F26" s="300" t="s">
        <v>275</v>
      </c>
      <c r="G26" s="31"/>
      <c r="H26" s="28"/>
      <c r="I26" s="28"/>
      <c r="J26" s="28"/>
      <c r="K26" s="28"/>
      <c r="L26" s="28"/>
      <c r="M26" s="28"/>
      <c r="N26" s="28"/>
      <c r="O26" s="28"/>
    </row>
  </sheetData>
  <mergeCells count="12">
    <mergeCell ref="A13:A15"/>
    <mergeCell ref="A19:A20"/>
    <mergeCell ref="A16:A18"/>
    <mergeCell ref="A21:A26"/>
    <mergeCell ref="A4:A9"/>
    <mergeCell ref="B9:C9"/>
    <mergeCell ref="A10:A12"/>
    <mergeCell ref="B4:C4"/>
    <mergeCell ref="B5:C5"/>
    <mergeCell ref="B6:C6"/>
    <mergeCell ref="B7:C7"/>
    <mergeCell ref="B8:C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L87"/>
  <sheetViews>
    <sheetView tabSelected="1" topLeftCell="A10" zoomScale="90" zoomScaleNormal="90" workbookViewId="0">
      <selection activeCell="H17" sqref="H17"/>
    </sheetView>
  </sheetViews>
  <sheetFormatPr defaultColWidth="8.88671875" defaultRowHeight="14.4" x14ac:dyDescent="0.3"/>
  <cols>
    <col min="1" max="1" width="70.5546875" style="24" bestFit="1" customWidth="1"/>
    <col min="2" max="8" width="8.88671875" style="24"/>
    <col min="9" max="16384" width="8.88671875" style="14"/>
  </cols>
  <sheetData>
    <row r="1" spans="1:12" ht="17.399999999999999" x14ac:dyDescent="0.3">
      <c r="A1" s="108" t="s">
        <v>203</v>
      </c>
      <c r="B1" s="28"/>
      <c r="C1" s="28"/>
      <c r="D1" s="28"/>
      <c r="E1" s="28"/>
      <c r="F1" s="28"/>
      <c r="G1" s="28"/>
      <c r="H1" s="28"/>
      <c r="I1" s="28"/>
      <c r="J1" s="28"/>
      <c r="K1" s="28"/>
      <c r="L1" s="28"/>
    </row>
    <row r="2" spans="1:12" x14ac:dyDescent="0.3">
      <c r="A2" s="609" t="s">
        <v>371</v>
      </c>
      <c r="B2" s="609"/>
      <c r="C2" s="609"/>
      <c r="D2" s="609"/>
      <c r="E2" s="609"/>
      <c r="F2" s="609"/>
      <c r="G2" s="609"/>
      <c r="H2" s="609"/>
    </row>
    <row r="3" spans="1:12" x14ac:dyDescent="0.3">
      <c r="A3" s="610" t="s">
        <v>369</v>
      </c>
      <c r="B3" s="611"/>
      <c r="C3" s="172"/>
      <c r="D3" s="172"/>
      <c r="E3" s="172"/>
      <c r="F3" s="172"/>
      <c r="G3" s="172"/>
      <c r="H3" s="172"/>
    </row>
    <row r="4" spans="1:12" ht="17.399999999999999" x14ac:dyDescent="0.3">
      <c r="A4" s="108"/>
      <c r="B4" s="28"/>
      <c r="C4" s="28"/>
      <c r="D4" s="28"/>
      <c r="E4" s="28"/>
      <c r="F4" s="28"/>
      <c r="G4" s="28"/>
      <c r="H4" s="28"/>
      <c r="I4" s="28"/>
      <c r="J4" s="28"/>
      <c r="K4" s="28"/>
      <c r="L4" s="28"/>
    </row>
    <row r="5" spans="1:12" ht="18" thickBot="1" x14ac:dyDescent="0.35">
      <c r="A5" s="108"/>
      <c r="B5" s="28"/>
      <c r="C5" s="28"/>
      <c r="D5" s="28"/>
      <c r="E5" s="28"/>
      <c r="F5" s="28"/>
      <c r="G5" s="28"/>
      <c r="H5" s="28"/>
      <c r="I5" s="28"/>
      <c r="J5" s="28"/>
      <c r="K5" s="28"/>
      <c r="L5" s="28"/>
    </row>
    <row r="6" spans="1:12" ht="15" thickBot="1" x14ac:dyDescent="0.35">
      <c r="B6" s="169"/>
      <c r="C6" s="606" t="s">
        <v>370</v>
      </c>
      <c r="D6" s="612"/>
      <c r="E6" s="608" t="s">
        <v>59</v>
      </c>
      <c r="F6" s="605"/>
      <c r="G6" s="608" t="s">
        <v>60</v>
      </c>
      <c r="H6" s="605"/>
    </row>
    <row r="7" spans="1:12" ht="15" thickBot="1" x14ac:dyDescent="0.35">
      <c r="A7" s="520" t="s">
        <v>44</v>
      </c>
      <c r="B7" s="92">
        <v>2019</v>
      </c>
      <c r="C7" s="92">
        <v>2030</v>
      </c>
      <c r="D7" s="93">
        <v>2045</v>
      </c>
      <c r="E7" s="92">
        <v>2030</v>
      </c>
      <c r="F7" s="170">
        <v>2045</v>
      </c>
      <c r="G7" s="93">
        <v>2030</v>
      </c>
      <c r="H7" s="170">
        <v>2045</v>
      </c>
    </row>
    <row r="8" spans="1:12" x14ac:dyDescent="0.3">
      <c r="A8" s="319" t="s">
        <v>285</v>
      </c>
      <c r="B8" s="69">
        <v>4.7E-2</v>
      </c>
      <c r="C8" s="328">
        <f>Indata!E9</f>
        <v>0.05</v>
      </c>
      <c r="D8" s="513">
        <f>Indata!F9</f>
        <v>7.0000000000000007E-2</v>
      </c>
      <c r="E8" s="328">
        <f>Indata!G9</f>
        <v>0.05</v>
      </c>
      <c r="F8" s="329">
        <f>Indata!H9</f>
        <v>7.0000000000000007E-2</v>
      </c>
      <c r="G8" s="513">
        <f>Indata!I9</f>
        <v>0.05</v>
      </c>
      <c r="H8" s="329">
        <f>Indata!J9</f>
        <v>7.0000000000000007E-2</v>
      </c>
    </row>
    <row r="9" spans="1:12" ht="15" thickBot="1" x14ac:dyDescent="0.35">
      <c r="A9" s="18" t="s">
        <v>286</v>
      </c>
      <c r="B9" s="70">
        <v>4.0000000000000001E-3</v>
      </c>
      <c r="C9" s="1">
        <f>Indata!E10</f>
        <v>2.9000000000000001E-2</v>
      </c>
      <c r="D9" s="3">
        <f>Indata!F10</f>
        <v>0.93</v>
      </c>
      <c r="E9" s="1">
        <f>Indata!G10</f>
        <v>2.9000000000000001E-2</v>
      </c>
      <c r="F9" s="2">
        <f>Indata!H10</f>
        <v>0.93</v>
      </c>
      <c r="G9" s="3">
        <f>Indata!I10</f>
        <v>2.9000000000000001E-2</v>
      </c>
      <c r="H9" s="2">
        <f>Indata!J10</f>
        <v>0.93</v>
      </c>
    </row>
    <row r="10" spans="1:12" ht="15" thickBot="1" x14ac:dyDescent="0.35">
      <c r="A10" s="19" t="s">
        <v>165</v>
      </c>
      <c r="B10" s="4">
        <v>1</v>
      </c>
      <c r="C10" s="147">
        <f>$B$10*(1+Indata!E13)^(C7-$B$7)</f>
        <v>1</v>
      </c>
      <c r="D10" s="148">
        <f>$B$10*(1+Indata!F13)^(D7-$B$7)</f>
        <v>1</v>
      </c>
      <c r="E10" s="147">
        <f>$B$10*(1+Indata!G13)^(E7-$B$7)</f>
        <v>1</v>
      </c>
      <c r="F10" s="149">
        <f>$B$10*(1+Indata!H13)^(F7-$B$7)</f>
        <v>1</v>
      </c>
      <c r="G10" s="148">
        <f>$B$10*(1+Indata!I13)^(G7-$B$7)</f>
        <v>1</v>
      </c>
      <c r="H10" s="149">
        <f>$B$10*(1+Indata!J13)^(H7-$B$7)</f>
        <v>1</v>
      </c>
      <c r="J10" s="321"/>
    </row>
    <row r="11" spans="1:12" x14ac:dyDescent="0.3">
      <c r="A11" s="20" t="s">
        <v>210</v>
      </c>
      <c r="B11" s="521">
        <v>6.05</v>
      </c>
      <c r="C11" s="11">
        <f>B11+(D11-B11)/($D$7-$B$7)*($C$7-$B$7)</f>
        <v>12.135496153846155</v>
      </c>
      <c r="D11" s="327">
        <v>20.433900000000001</v>
      </c>
      <c r="E11" s="11">
        <f>B11+(F11-B11)/($F$7-$B$7)*($E$7-$B$7)</f>
        <v>12.135496153846155</v>
      </c>
      <c r="F11" s="134">
        <v>20.433900000000001</v>
      </c>
      <c r="G11" s="11">
        <f>B11+(H11-B11)/($H$7-$B$7)*($G$7-$B$7)</f>
        <v>12.135496153846155</v>
      </c>
      <c r="H11" s="134">
        <v>20.433900000000001</v>
      </c>
    </row>
    <row r="12" spans="1:12" x14ac:dyDescent="0.3">
      <c r="A12" s="20" t="s">
        <v>211</v>
      </c>
      <c r="B12" s="522">
        <v>5.86</v>
      </c>
      <c r="C12" s="7">
        <f>B12+(D12-B12)/($D$7-$B$7)*($C$7-$B$7)</f>
        <v>7.1800000000000006</v>
      </c>
      <c r="D12" s="138">
        <v>8.98</v>
      </c>
      <c r="E12" s="7">
        <f>B12+(F12-B12)/($F$7-$B$7)*($E$7-$B$7)</f>
        <v>7.1800000000000006</v>
      </c>
      <c r="F12" s="135">
        <v>8.98</v>
      </c>
      <c r="G12" s="7">
        <f>B12+(H12-B12)/($H$7-$B$7)*($G$7-$B$7)</f>
        <v>7.1800000000000006</v>
      </c>
      <c r="H12" s="135">
        <v>8.98</v>
      </c>
      <c r="J12" s="321"/>
    </row>
    <row r="13" spans="1:12" x14ac:dyDescent="0.3">
      <c r="A13" s="20" t="s">
        <v>212</v>
      </c>
      <c r="B13" s="522">
        <v>9.6</v>
      </c>
      <c r="C13" s="7">
        <f>B13+(D13-B13)/($D$7-$B$7)*($C$7-$B$7)</f>
        <v>11.761923076923077</v>
      </c>
      <c r="D13" s="138">
        <v>14.71</v>
      </c>
      <c r="E13" s="7">
        <f>B13+(F13-B13)/($F$7-$B$7)*($E$7-$B$7)</f>
        <v>11.761923076923077</v>
      </c>
      <c r="F13" s="135">
        <v>14.71</v>
      </c>
      <c r="G13" s="7">
        <f>B13+(H13-B13)/($H$7-$B$7)*($G$7-$B$7)</f>
        <v>11.761923076923077</v>
      </c>
      <c r="H13" s="135">
        <v>14.71</v>
      </c>
      <c r="J13" s="321"/>
    </row>
    <row r="14" spans="1:12" ht="15" thickBot="1" x14ac:dyDescent="0.35">
      <c r="A14" s="20" t="s">
        <v>213</v>
      </c>
      <c r="B14" s="523">
        <v>13.7</v>
      </c>
      <c r="C14" s="7">
        <f>B14+(D14-B14)/($D$7-$B$7)*($C$7-$B$7)</f>
        <v>16.788461538461537</v>
      </c>
      <c r="D14" s="138">
        <v>21</v>
      </c>
      <c r="E14" s="7">
        <f>B14+(F14-B14)/($F$7-$B$7)*($E$7-$B$7)</f>
        <v>16.788461538461537</v>
      </c>
      <c r="F14" s="135">
        <v>21</v>
      </c>
      <c r="G14" s="7">
        <f>B14+(H14-B14)/($H$7-$B$7)*($G$7-$B$7)</f>
        <v>16.788461538461537</v>
      </c>
      <c r="H14" s="135">
        <v>21</v>
      </c>
      <c r="J14" s="321"/>
    </row>
    <row r="15" spans="1:12" ht="15" thickBot="1" x14ac:dyDescent="0.35">
      <c r="A15" s="21" t="s">
        <v>2</v>
      </c>
      <c r="B15" s="5">
        <f>B12*(1-B8-B9)+B13*B8+B14*B9</f>
        <v>6.0671400000000002</v>
      </c>
      <c r="C15" s="5">
        <f t="shared" ref="C15" si="0">C12*(1-C8-C9)+C13*C8+C14*C9</f>
        <v>7.6877415384615384</v>
      </c>
      <c r="D15" s="16">
        <f>D12*(1-D8-D9)+D13*D8+D14*D9</f>
        <v>20.559699999999999</v>
      </c>
      <c r="E15" s="5">
        <f t="shared" ref="E15" si="1">E12*(1-E8-E9)+E13*E8+E14*E9</f>
        <v>7.6877415384615384</v>
      </c>
      <c r="F15" s="6">
        <f>F12*(1-F8-F9)+F13*F8+F14*F9</f>
        <v>20.559699999999999</v>
      </c>
      <c r="G15" s="16">
        <f t="shared" ref="G15" si="2">G12*(1-G8-G9)+G13*G8+G14*G9</f>
        <v>7.6877415384615384</v>
      </c>
      <c r="H15" s="6">
        <f>H12*(1-H8-H9)+H13*H8+H14*H9</f>
        <v>20.559699999999999</v>
      </c>
    </row>
    <row r="16" spans="1:12" x14ac:dyDescent="0.3">
      <c r="A16" s="20" t="s">
        <v>163</v>
      </c>
      <c r="B16" s="524">
        <v>3.95</v>
      </c>
      <c r="C16" s="7">
        <f>PRODUCT($B16,C$10)</f>
        <v>3.95</v>
      </c>
      <c r="D16" s="138">
        <f t="shared" ref="D16:H17" si="3">PRODUCT($B16,D$10)</f>
        <v>3.95</v>
      </c>
      <c r="E16" s="7">
        <f t="shared" si="3"/>
        <v>3.95</v>
      </c>
      <c r="F16" s="135">
        <f t="shared" si="3"/>
        <v>3.95</v>
      </c>
      <c r="G16" s="13">
        <f t="shared" si="3"/>
        <v>3.95</v>
      </c>
      <c r="H16" s="135">
        <f t="shared" si="3"/>
        <v>3.95</v>
      </c>
      <c r="I16" s="60"/>
    </row>
    <row r="17" spans="1:9" ht="15" thickBot="1" x14ac:dyDescent="0.35">
      <c r="A17" s="20" t="s">
        <v>164</v>
      </c>
      <c r="B17" s="525">
        <v>2.62</v>
      </c>
      <c r="C17" s="7">
        <f>PRODUCT($B17,C$10)</f>
        <v>2.62</v>
      </c>
      <c r="D17" s="138">
        <f t="shared" si="3"/>
        <v>2.62</v>
      </c>
      <c r="E17" s="7">
        <f t="shared" si="3"/>
        <v>2.62</v>
      </c>
      <c r="F17" s="135">
        <f t="shared" si="3"/>
        <v>2.62</v>
      </c>
      <c r="G17" s="13">
        <f t="shared" si="3"/>
        <v>2.62</v>
      </c>
      <c r="H17" s="135">
        <f t="shared" si="3"/>
        <v>2.62</v>
      </c>
      <c r="I17" s="60"/>
    </row>
    <row r="18" spans="1:9" ht="15" thickBot="1" x14ac:dyDescent="0.35">
      <c r="A18" s="21" t="s">
        <v>3</v>
      </c>
      <c r="B18" s="5">
        <f>SUM(B16,B17)</f>
        <v>6.57</v>
      </c>
      <c r="C18" s="5">
        <f t="shared" ref="C18:H18" si="4">SUM(C16,C17)</f>
        <v>6.57</v>
      </c>
      <c r="D18" s="16">
        <f t="shared" si="4"/>
        <v>6.57</v>
      </c>
      <c r="E18" s="5">
        <f t="shared" si="4"/>
        <v>6.57</v>
      </c>
      <c r="F18" s="6">
        <f t="shared" si="4"/>
        <v>6.57</v>
      </c>
      <c r="G18" s="16">
        <f t="shared" si="4"/>
        <v>6.57</v>
      </c>
      <c r="H18" s="6">
        <f t="shared" si="4"/>
        <v>6.57</v>
      </c>
    </row>
    <row r="19" spans="1:9" ht="15" thickBot="1" x14ac:dyDescent="0.35">
      <c r="A19" s="21" t="s">
        <v>205</v>
      </c>
      <c r="B19" s="5">
        <f xml:space="preserve"> B15+B18</f>
        <v>12.63714</v>
      </c>
      <c r="C19" s="519">
        <f t="shared" ref="C19:H19" si="5" xml:space="preserve"> C15+C18</f>
        <v>14.257741538461538</v>
      </c>
      <c r="D19" s="514">
        <f t="shared" si="5"/>
        <v>27.1297</v>
      </c>
      <c r="E19" s="519">
        <f t="shared" si="5"/>
        <v>14.257741538461538</v>
      </c>
      <c r="F19" s="515">
        <f t="shared" si="5"/>
        <v>27.1297</v>
      </c>
      <c r="G19" s="514">
        <f t="shared" si="5"/>
        <v>14.257741538461538</v>
      </c>
      <c r="H19" s="515">
        <f t="shared" si="5"/>
        <v>27.1297</v>
      </c>
    </row>
    <row r="20" spans="1:9" x14ac:dyDescent="0.3">
      <c r="A20" s="20" t="s">
        <v>4</v>
      </c>
      <c r="B20" s="7">
        <f>PRODUCT(B15,0.25)</f>
        <v>1.516785</v>
      </c>
      <c r="C20" s="11">
        <f t="shared" ref="C20:H20" si="6">PRODUCT(C15,0.25)</f>
        <v>1.9219353846153846</v>
      </c>
      <c r="D20" s="9">
        <f t="shared" si="6"/>
        <v>5.1399249999999999</v>
      </c>
      <c r="E20" s="11">
        <f t="shared" si="6"/>
        <v>1.9219353846153846</v>
      </c>
      <c r="F20" s="349">
        <f t="shared" si="6"/>
        <v>5.1399249999999999</v>
      </c>
      <c r="G20" s="9">
        <f t="shared" si="6"/>
        <v>1.9219353846153846</v>
      </c>
      <c r="H20" s="349">
        <f t="shared" si="6"/>
        <v>5.1399249999999999</v>
      </c>
    </row>
    <row r="21" spans="1:9" ht="15" thickBot="1" x14ac:dyDescent="0.35">
      <c r="A21" s="20" t="s">
        <v>5</v>
      </c>
      <c r="B21" s="7">
        <f t="shared" ref="B21" si="7">PRODUCT(B18,0.25)</f>
        <v>1.6425000000000001</v>
      </c>
      <c r="C21" s="12">
        <f t="shared" ref="C21:D21" si="8">PRODUCT(C18,0.25)</f>
        <v>1.6425000000000001</v>
      </c>
      <c r="D21" s="10">
        <f t="shared" si="8"/>
        <v>1.6425000000000001</v>
      </c>
      <c r="E21" s="12">
        <f t="shared" ref="E21:F21" si="9">PRODUCT(E18,0.25)</f>
        <v>1.6425000000000001</v>
      </c>
      <c r="F21" s="350">
        <f t="shared" si="9"/>
        <v>1.6425000000000001</v>
      </c>
      <c r="G21" s="10">
        <f t="shared" ref="G21:H21" si="10">PRODUCT(G18,0.25)</f>
        <v>1.6425000000000001</v>
      </c>
      <c r="H21" s="350">
        <f t="shared" si="10"/>
        <v>1.6425000000000001</v>
      </c>
    </row>
    <row r="22" spans="1:9" ht="15" thickBot="1" x14ac:dyDescent="0.35">
      <c r="A22" s="21" t="s">
        <v>6</v>
      </c>
      <c r="B22" s="5">
        <f t="shared" ref="B22" si="11">SUM(B20,B21)</f>
        <v>3.1592850000000001</v>
      </c>
      <c r="C22" s="325">
        <f>SUM(C20,C21)</f>
        <v>3.5644353846153845</v>
      </c>
      <c r="D22" s="348">
        <f t="shared" ref="D22" si="12">SUM(D20,D21)</f>
        <v>6.7824249999999999</v>
      </c>
      <c r="E22" s="325">
        <f>SUM(E20,E21)</f>
        <v>3.5644353846153845</v>
      </c>
      <c r="F22" s="326">
        <f t="shared" ref="F22" si="13">SUM(F20,F21)</f>
        <v>6.7824249999999999</v>
      </c>
      <c r="G22" s="348">
        <f>SUM(G20,G21)</f>
        <v>3.5644353846153845</v>
      </c>
      <c r="H22" s="326">
        <f t="shared" ref="H22" si="14">SUM(H20,H21)</f>
        <v>6.7824249999999999</v>
      </c>
    </row>
    <row r="23" spans="1:9" ht="15" thickBot="1" x14ac:dyDescent="0.35">
      <c r="A23" s="22" t="s">
        <v>206</v>
      </c>
      <c r="B23" s="136">
        <f>SUM(B19,B22)</f>
        <v>15.796425000000001</v>
      </c>
      <c r="C23" s="516">
        <f t="shared" ref="C23:H23" si="15">SUM(C19,C22)</f>
        <v>17.822176923076924</v>
      </c>
      <c r="D23" s="517">
        <f t="shared" si="15"/>
        <v>33.912125000000003</v>
      </c>
      <c r="E23" s="516">
        <f t="shared" si="15"/>
        <v>17.822176923076924</v>
      </c>
      <c r="F23" s="518">
        <f t="shared" si="15"/>
        <v>33.912125000000003</v>
      </c>
      <c r="G23" s="517">
        <f t="shared" si="15"/>
        <v>17.822176923076924</v>
      </c>
      <c r="H23" s="518">
        <f t="shared" si="15"/>
        <v>33.912125000000003</v>
      </c>
    </row>
    <row r="24" spans="1:9" ht="15" thickBot="1" x14ac:dyDescent="0.35">
      <c r="B24" s="320"/>
      <c r="C24" s="320"/>
      <c r="D24" s="320"/>
      <c r="E24" s="320"/>
      <c r="F24" s="320"/>
    </row>
    <row r="25" spans="1:9" ht="15" thickBot="1" x14ac:dyDescent="0.35">
      <c r="B25" s="169"/>
      <c r="C25" s="606" t="s">
        <v>370</v>
      </c>
      <c r="D25" s="612"/>
      <c r="E25" s="608" t="s">
        <v>59</v>
      </c>
      <c r="F25" s="605"/>
      <c r="G25" s="608" t="s">
        <v>60</v>
      </c>
      <c r="H25" s="605"/>
    </row>
    <row r="26" spans="1:9" ht="15" thickBot="1" x14ac:dyDescent="0.35">
      <c r="A26" s="520" t="s">
        <v>45</v>
      </c>
      <c r="B26" s="92">
        <v>2019</v>
      </c>
      <c r="C26" s="92">
        <v>2030</v>
      </c>
      <c r="D26" s="93">
        <v>2045</v>
      </c>
      <c r="E26" s="92">
        <v>2030</v>
      </c>
      <c r="F26" s="93">
        <v>2045</v>
      </c>
      <c r="G26" s="92">
        <v>2030</v>
      </c>
      <c r="H26" s="93">
        <v>2045</v>
      </c>
    </row>
    <row r="27" spans="1:9" x14ac:dyDescent="0.3">
      <c r="A27" s="17" t="s">
        <v>288</v>
      </c>
      <c r="B27" s="69">
        <v>5.7000000000000002E-2</v>
      </c>
      <c r="C27" s="328">
        <f>Indata!E9</f>
        <v>0.05</v>
      </c>
      <c r="D27" s="513">
        <f>Indata!F9</f>
        <v>7.0000000000000007E-2</v>
      </c>
      <c r="E27" s="328">
        <f>Indata!G9</f>
        <v>0.05</v>
      </c>
      <c r="F27" s="329">
        <f>Indata!H9</f>
        <v>7.0000000000000007E-2</v>
      </c>
      <c r="G27" s="513">
        <f>Indata!I9</f>
        <v>0.05</v>
      </c>
      <c r="H27" s="329">
        <f>Indata!J9</f>
        <v>7.0000000000000007E-2</v>
      </c>
    </row>
    <row r="28" spans="1:9" ht="15" thickBot="1" x14ac:dyDescent="0.35">
      <c r="A28" s="18" t="s">
        <v>289</v>
      </c>
      <c r="B28" s="70">
        <v>0.17399999999999999</v>
      </c>
      <c r="C28" s="1">
        <f>Indata!E10</f>
        <v>2.9000000000000001E-2</v>
      </c>
      <c r="D28" s="3">
        <f>Indata!F10</f>
        <v>0.93</v>
      </c>
      <c r="E28" s="1">
        <f>Indata!G10</f>
        <v>2.9000000000000001E-2</v>
      </c>
      <c r="F28" s="2">
        <f>Indata!H10</f>
        <v>0.93</v>
      </c>
      <c r="G28" s="3">
        <f>Indata!I10</f>
        <v>2.9000000000000001E-2</v>
      </c>
      <c r="H28" s="2">
        <f>Indata!J10</f>
        <v>0.93</v>
      </c>
    </row>
    <row r="29" spans="1:9" ht="15" thickBot="1" x14ac:dyDescent="0.35">
      <c r="A29" s="19" t="s">
        <v>165</v>
      </c>
      <c r="B29" s="4">
        <v>1</v>
      </c>
      <c r="C29" s="147">
        <f>$B$10*(1+Indata!E13)^(C26-$B$7)</f>
        <v>1</v>
      </c>
      <c r="D29" s="148">
        <f>$B$10*(1+Indata!F13)^(D26-$B$7)</f>
        <v>1</v>
      </c>
      <c r="E29" s="147">
        <f>$B$10*(1+Indata!G13)^(E26-$B$7)</f>
        <v>1</v>
      </c>
      <c r="F29" s="149">
        <f>$B$10*(1+Indata!H13)^(F26-$B$7)</f>
        <v>1</v>
      </c>
      <c r="G29" s="148">
        <f>$B$10*(1+Indata!I13)^(G26-$B$7)</f>
        <v>1</v>
      </c>
      <c r="H29" s="149">
        <f>$B$10*(1+Indata!J13)^(H26-$B$7)</f>
        <v>1</v>
      </c>
    </row>
    <row r="30" spans="1:9" x14ac:dyDescent="0.3">
      <c r="A30" s="20" t="s">
        <v>214</v>
      </c>
      <c r="B30" s="521">
        <v>8.25</v>
      </c>
      <c r="C30" s="11">
        <f>B30+(D30-B30)/($D$26-$B$26)*($C$26-$B$26)</f>
        <v>13.585000000000001</v>
      </c>
      <c r="D30" s="327">
        <v>20.86</v>
      </c>
      <c r="E30" s="11">
        <f>B30+(F30-B30)/($F$26-$B$26)*($E$26-$B$26)</f>
        <v>13.585000000000001</v>
      </c>
      <c r="F30" s="134">
        <v>20.86</v>
      </c>
      <c r="G30" s="11">
        <f>B30+(H30-B30)/($H$26-$B$26)*($G$26-$B$26)</f>
        <v>13.585000000000001</v>
      </c>
      <c r="H30" s="134">
        <v>20.86</v>
      </c>
    </row>
    <row r="31" spans="1:9" x14ac:dyDescent="0.3">
      <c r="A31" s="20" t="s">
        <v>215</v>
      </c>
      <c r="B31" s="522">
        <v>6.81</v>
      </c>
      <c r="C31" s="7">
        <f>B31+(D31-B31)/($D$26-$B$26)*($C$26-$B$26)</f>
        <v>8.2315384615384612</v>
      </c>
      <c r="D31" s="138">
        <v>10.17</v>
      </c>
      <c r="E31" s="7">
        <f>B31+(F31-B31)/($F$26-$B$26)*($E$26-$B$26)</f>
        <v>8.2315384615384612</v>
      </c>
      <c r="F31" s="135">
        <v>10.17</v>
      </c>
      <c r="G31" s="7">
        <f>B31+(H31-B31)/($H$26-$B$26)*($G$26-$B$26)</f>
        <v>8.2315384615384612</v>
      </c>
      <c r="H31" s="135">
        <v>10.17</v>
      </c>
    </row>
    <row r="32" spans="1:9" x14ac:dyDescent="0.3">
      <c r="A32" s="20" t="s">
        <v>216</v>
      </c>
      <c r="B32" s="522">
        <v>10.8</v>
      </c>
      <c r="C32" s="7">
        <f>B32+(D32-B32)/($D$26-$B$26)*($C$26-$B$26)</f>
        <v>14.26923076923077</v>
      </c>
      <c r="D32" s="138">
        <v>19</v>
      </c>
      <c r="E32" s="7">
        <f>B32+(F32-B32)/($F$26-$B$26)*($E$26-$B$26)</f>
        <v>14.26923076923077</v>
      </c>
      <c r="F32" s="135">
        <v>19</v>
      </c>
      <c r="G32" s="7">
        <f>B32+(H32-B32)/($H$26-$B$26)*($G$26-$B$26)</f>
        <v>14.26923076923077</v>
      </c>
      <c r="H32" s="135">
        <v>19</v>
      </c>
    </row>
    <row r="33" spans="1:9" ht="15" thickBot="1" x14ac:dyDescent="0.35">
      <c r="A33" s="20" t="s">
        <v>287</v>
      </c>
      <c r="B33" s="523">
        <v>13.7</v>
      </c>
      <c r="C33" s="7">
        <f>B33+(D33-B33)/($D$26-$B$26)*($C$26-$B$26)</f>
        <v>16.788461538461537</v>
      </c>
      <c r="D33" s="138">
        <v>21</v>
      </c>
      <c r="E33" s="7">
        <f>B33+(F33-B33)/($F$26-$B$26)*($E$26-$B$26)</f>
        <v>16.788461538461537</v>
      </c>
      <c r="F33" s="135">
        <v>21</v>
      </c>
      <c r="G33" s="7">
        <f>B33+(H33-B33)/($H$26-$B$26)*($G$26-$B$26)</f>
        <v>16.788461538461537</v>
      </c>
      <c r="H33" s="135">
        <v>21</v>
      </c>
    </row>
    <row r="34" spans="1:9" ht="15" thickBot="1" x14ac:dyDescent="0.35">
      <c r="A34" s="21" t="s">
        <v>2</v>
      </c>
      <c r="B34" s="5">
        <f>B31*(1-B27-B28)+B32*B27+B33*B28</f>
        <v>8.2362899999999986</v>
      </c>
      <c r="C34" s="5">
        <f t="shared" ref="C34:H34" si="16">C31*(1-C27-C28)+C32*C27+C33*C28</f>
        <v>8.7815738461538455</v>
      </c>
      <c r="D34" s="16">
        <f t="shared" si="16"/>
        <v>20.86</v>
      </c>
      <c r="E34" s="5">
        <f t="shared" si="16"/>
        <v>8.7815738461538455</v>
      </c>
      <c r="F34" s="6">
        <f t="shared" si="16"/>
        <v>20.86</v>
      </c>
      <c r="G34" s="16">
        <f t="shared" si="16"/>
        <v>8.7815738461538455</v>
      </c>
      <c r="H34" s="6">
        <f t="shared" si="16"/>
        <v>20.86</v>
      </c>
    </row>
    <row r="35" spans="1:9" x14ac:dyDescent="0.3">
      <c r="A35" s="20" t="s">
        <v>163</v>
      </c>
      <c r="B35" s="521">
        <v>2.39</v>
      </c>
      <c r="C35" s="7">
        <f>PRODUCT($B35,C$29)</f>
        <v>2.39</v>
      </c>
      <c r="D35" s="138">
        <f t="shared" ref="D35:H36" si="17">PRODUCT($B35,D$29)</f>
        <v>2.39</v>
      </c>
      <c r="E35" s="7">
        <f t="shared" si="17"/>
        <v>2.39</v>
      </c>
      <c r="F35" s="135">
        <f t="shared" si="17"/>
        <v>2.39</v>
      </c>
      <c r="G35" s="13">
        <f t="shared" si="17"/>
        <v>2.39</v>
      </c>
      <c r="H35" s="135">
        <f t="shared" si="17"/>
        <v>2.39</v>
      </c>
      <c r="I35" s="60"/>
    </row>
    <row r="36" spans="1:9" ht="15" thickBot="1" x14ac:dyDescent="0.35">
      <c r="A36" s="20" t="s">
        <v>164</v>
      </c>
      <c r="B36" s="523">
        <v>2.2400000000000002</v>
      </c>
      <c r="C36" s="7">
        <f>PRODUCT($B36,C$29)</f>
        <v>2.2400000000000002</v>
      </c>
      <c r="D36" s="138">
        <f t="shared" si="17"/>
        <v>2.2400000000000002</v>
      </c>
      <c r="E36" s="7">
        <f t="shared" si="17"/>
        <v>2.2400000000000002</v>
      </c>
      <c r="F36" s="135">
        <f t="shared" si="17"/>
        <v>2.2400000000000002</v>
      </c>
      <c r="G36" s="13">
        <f t="shared" si="17"/>
        <v>2.2400000000000002</v>
      </c>
      <c r="H36" s="135">
        <f t="shared" si="17"/>
        <v>2.2400000000000002</v>
      </c>
      <c r="I36" s="60"/>
    </row>
    <row r="37" spans="1:9" ht="15" thickBot="1" x14ac:dyDescent="0.35">
      <c r="A37" s="21" t="s">
        <v>3</v>
      </c>
      <c r="B37" s="5">
        <f>SUM(B35,B36)</f>
        <v>4.6300000000000008</v>
      </c>
      <c r="C37" s="5">
        <f>SUM(C35,C36)</f>
        <v>4.6300000000000008</v>
      </c>
      <c r="D37" s="16">
        <f t="shared" ref="D37" si="18">SUM(D35,D36)</f>
        <v>4.6300000000000008</v>
      </c>
      <c r="E37" s="5">
        <f>SUM(E35,E36)</f>
        <v>4.6300000000000008</v>
      </c>
      <c r="F37" s="6">
        <f t="shared" ref="F37" si="19">SUM(F35,F36)</f>
        <v>4.6300000000000008</v>
      </c>
      <c r="G37" s="16">
        <f>SUM(G35,G36)</f>
        <v>4.6300000000000008</v>
      </c>
      <c r="H37" s="6">
        <f t="shared" ref="H37" si="20">SUM(H35,H36)</f>
        <v>4.6300000000000008</v>
      </c>
    </row>
    <row r="38" spans="1:9" ht="15" thickBot="1" x14ac:dyDescent="0.35">
      <c r="A38" s="21" t="s">
        <v>205</v>
      </c>
      <c r="B38" s="5">
        <f xml:space="preserve"> B34+B37</f>
        <v>12.866289999999999</v>
      </c>
      <c r="C38" s="519">
        <f xml:space="preserve"> C34+C37</f>
        <v>13.411573846153846</v>
      </c>
      <c r="D38" s="514">
        <f t="shared" ref="D38" si="21" xml:space="preserve"> D34+D37</f>
        <v>25.490000000000002</v>
      </c>
      <c r="E38" s="519">
        <f xml:space="preserve"> E34+E37</f>
        <v>13.411573846153846</v>
      </c>
      <c r="F38" s="515">
        <f t="shared" ref="F38" si="22" xml:space="preserve"> F34+F37</f>
        <v>25.490000000000002</v>
      </c>
      <c r="G38" s="514">
        <f xml:space="preserve"> G34+G37</f>
        <v>13.411573846153846</v>
      </c>
      <c r="H38" s="515">
        <f t="shared" ref="H38" si="23" xml:space="preserve"> H34+H37</f>
        <v>25.490000000000002</v>
      </c>
    </row>
    <row r="39" spans="1:9" x14ac:dyDescent="0.3">
      <c r="A39" s="20" t="s">
        <v>4</v>
      </c>
      <c r="B39" s="7">
        <f>PRODUCT(B34,0.25)</f>
        <v>2.0590724999999996</v>
      </c>
      <c r="C39" s="11">
        <f>PRODUCT(C34,0.25)</f>
        <v>2.1953934615384614</v>
      </c>
      <c r="D39" s="9">
        <f t="shared" ref="D39" si="24">PRODUCT(D34,0.25)</f>
        <v>5.2149999999999999</v>
      </c>
      <c r="E39" s="11">
        <f>PRODUCT(E34,0.25)</f>
        <v>2.1953934615384614</v>
      </c>
      <c r="F39" s="349">
        <f t="shared" ref="F39" si="25">PRODUCT(F34,0.25)</f>
        <v>5.2149999999999999</v>
      </c>
      <c r="G39" s="9">
        <f>PRODUCT(G34,0.25)</f>
        <v>2.1953934615384614</v>
      </c>
      <c r="H39" s="349">
        <f t="shared" ref="H39" si="26">PRODUCT(H34,0.25)</f>
        <v>5.2149999999999999</v>
      </c>
    </row>
    <row r="40" spans="1:9" ht="15" thickBot="1" x14ac:dyDescent="0.35">
      <c r="A40" s="20" t="s">
        <v>5</v>
      </c>
      <c r="B40" s="7">
        <f>PRODUCT(B37,0.25)</f>
        <v>1.1575000000000002</v>
      </c>
      <c r="C40" s="12">
        <f t="shared" ref="C40:D40" si="27">PRODUCT(C37,0.25)</f>
        <v>1.1575000000000002</v>
      </c>
      <c r="D40" s="10">
        <f t="shared" si="27"/>
        <v>1.1575000000000002</v>
      </c>
      <c r="E40" s="12">
        <f t="shared" ref="E40:F40" si="28">PRODUCT(E37,0.25)</f>
        <v>1.1575000000000002</v>
      </c>
      <c r="F40" s="350">
        <f t="shared" si="28"/>
        <v>1.1575000000000002</v>
      </c>
      <c r="G40" s="10">
        <f t="shared" ref="G40:H40" si="29">PRODUCT(G37,0.25)</f>
        <v>1.1575000000000002</v>
      </c>
      <c r="H40" s="350">
        <f t="shared" si="29"/>
        <v>1.1575000000000002</v>
      </c>
    </row>
    <row r="41" spans="1:9" ht="15" thickBot="1" x14ac:dyDescent="0.35">
      <c r="A41" s="21" t="s">
        <v>6</v>
      </c>
      <c r="B41" s="5">
        <f t="shared" ref="B41" si="30">SUM(B39,B40)</f>
        <v>3.2165724999999998</v>
      </c>
      <c r="C41" s="325">
        <f t="shared" ref="C41:D41" si="31">SUM(C39,C40)</f>
        <v>3.3528934615384616</v>
      </c>
      <c r="D41" s="348">
        <f t="shared" si="31"/>
        <v>6.3725000000000005</v>
      </c>
      <c r="E41" s="325">
        <f t="shared" ref="E41:F41" si="32">SUM(E39,E40)</f>
        <v>3.3528934615384616</v>
      </c>
      <c r="F41" s="326">
        <f t="shared" si="32"/>
        <v>6.3725000000000005</v>
      </c>
      <c r="G41" s="348">
        <f t="shared" ref="G41:H41" si="33">SUM(G39,G40)</f>
        <v>3.3528934615384616</v>
      </c>
      <c r="H41" s="326">
        <f t="shared" si="33"/>
        <v>6.3725000000000005</v>
      </c>
    </row>
    <row r="42" spans="1:9" ht="15" thickBot="1" x14ac:dyDescent="0.35">
      <c r="A42" s="22" t="s">
        <v>207</v>
      </c>
      <c r="B42" s="136">
        <f>SUM(B38,B41)</f>
        <v>16.082862499999997</v>
      </c>
      <c r="C42" s="516">
        <f>SUM(C38,C41)</f>
        <v>16.764467307692307</v>
      </c>
      <c r="D42" s="517">
        <f t="shared" ref="D42" si="34">SUM(D38,D41)</f>
        <v>31.862500000000004</v>
      </c>
      <c r="E42" s="516">
        <f>SUM(E38,E41)</f>
        <v>16.764467307692307</v>
      </c>
      <c r="F42" s="518">
        <f t="shared" ref="F42" si="35">SUM(F38,F41)</f>
        <v>31.862500000000004</v>
      </c>
      <c r="G42" s="517">
        <f>SUM(G38,G41)</f>
        <v>16.764467307692307</v>
      </c>
      <c r="H42" s="518">
        <f t="shared" ref="H42" si="36">SUM(H38,H41)</f>
        <v>31.862500000000004</v>
      </c>
    </row>
    <row r="43" spans="1:9" ht="15" thickBot="1" x14ac:dyDescent="0.35">
      <c r="D43" s="320"/>
    </row>
    <row r="44" spans="1:9" ht="15" thickBot="1" x14ac:dyDescent="0.35">
      <c r="B44" s="169"/>
      <c r="C44" s="606" t="s">
        <v>370</v>
      </c>
      <c r="D44" s="612"/>
      <c r="E44" s="608" t="s">
        <v>59</v>
      </c>
      <c r="F44" s="605"/>
      <c r="G44" s="608" t="s">
        <v>60</v>
      </c>
      <c r="H44" s="605"/>
    </row>
    <row r="45" spans="1:9" ht="15" thickBot="1" x14ac:dyDescent="0.35">
      <c r="A45" s="520" t="s">
        <v>48</v>
      </c>
      <c r="B45" s="92">
        <v>2019</v>
      </c>
      <c r="C45" s="92">
        <v>2030</v>
      </c>
      <c r="D45" s="93">
        <v>2045</v>
      </c>
      <c r="E45" s="92">
        <v>2030</v>
      </c>
      <c r="F45" s="93">
        <v>2045</v>
      </c>
      <c r="G45" s="92">
        <v>2030</v>
      </c>
      <c r="H45" s="93">
        <v>2045</v>
      </c>
    </row>
    <row r="46" spans="1:9" x14ac:dyDescent="0.3">
      <c r="A46" s="17" t="s">
        <v>46</v>
      </c>
      <c r="B46" s="69">
        <v>5.7000000000000002E-2</v>
      </c>
      <c r="C46" s="328">
        <f>Indata!E9</f>
        <v>0.05</v>
      </c>
      <c r="D46" s="513">
        <f>Indata!F9</f>
        <v>7.0000000000000007E-2</v>
      </c>
      <c r="E46" s="328">
        <f>Indata!G9</f>
        <v>0.05</v>
      </c>
      <c r="F46" s="329">
        <f>Indata!H9</f>
        <v>7.0000000000000007E-2</v>
      </c>
      <c r="G46" s="513">
        <f>Indata!I9</f>
        <v>0.05</v>
      </c>
      <c r="H46" s="329">
        <f>Indata!J9</f>
        <v>7.0000000000000007E-2</v>
      </c>
    </row>
    <row r="47" spans="1:9" ht="15" thickBot="1" x14ac:dyDescent="0.35">
      <c r="A47" s="18" t="s">
        <v>47</v>
      </c>
      <c r="B47" s="70">
        <v>0.17399999999999999</v>
      </c>
      <c r="C47" s="1">
        <f>Indata!E10</f>
        <v>2.9000000000000001E-2</v>
      </c>
      <c r="D47" s="3">
        <f>Indata!F10</f>
        <v>0.93</v>
      </c>
      <c r="E47" s="1">
        <f>Indata!G10</f>
        <v>2.9000000000000001E-2</v>
      </c>
      <c r="F47" s="2">
        <f>Indata!H10</f>
        <v>0.93</v>
      </c>
      <c r="G47" s="3">
        <f>Indata!I10</f>
        <v>2.9000000000000001E-2</v>
      </c>
      <c r="H47" s="2">
        <f>Indata!J10</f>
        <v>0.93</v>
      </c>
    </row>
    <row r="48" spans="1:9" ht="15" thickBot="1" x14ac:dyDescent="0.35">
      <c r="A48" s="19" t="s">
        <v>165</v>
      </c>
      <c r="B48" s="4"/>
      <c r="C48" s="147">
        <f>$B$10*(1+Indata!E13)^(C45-$B$7)</f>
        <v>1</v>
      </c>
      <c r="D48" s="148">
        <f>$B$10*(1+Indata!F13)^(D45-$B$7)</f>
        <v>1</v>
      </c>
      <c r="E48" s="147">
        <f>$B$10*(1+Indata!G13)^(E45-$B$7)</f>
        <v>1</v>
      </c>
      <c r="F48" s="149">
        <f>$B$10*(1+Indata!H13)^(F45-$B$7)</f>
        <v>1</v>
      </c>
      <c r="G48" s="148">
        <f>$B$10*(1+Indata!I13)^(G45-$B$7)</f>
        <v>1</v>
      </c>
      <c r="H48" s="149">
        <f>$B$10*(1+Indata!J13)^(H45-$B$7)</f>
        <v>1</v>
      </c>
    </row>
    <row r="49" spans="1:8" x14ac:dyDescent="0.3">
      <c r="A49" s="20" t="s">
        <v>214</v>
      </c>
      <c r="B49" s="521">
        <v>7.25</v>
      </c>
      <c r="C49" s="11">
        <f>B49+(D49-B49)/($D$45-$B$45)*($C$45-$B$45)</f>
        <v>13.008076923076922</v>
      </c>
      <c r="D49" s="327">
        <v>20.86</v>
      </c>
      <c r="E49" s="11">
        <f>B49+(F49-B49)/($F$45-$B$45)*($E$45-$B$45)</f>
        <v>13.008076923076922</v>
      </c>
      <c r="F49" s="134">
        <v>20.86</v>
      </c>
      <c r="G49" s="11">
        <f>B49+(H49-B49)/($H$45-$B$45)*($G$45-$B$45)</f>
        <v>13.008076923076922</v>
      </c>
      <c r="H49" s="134">
        <v>20.86</v>
      </c>
    </row>
    <row r="50" spans="1:8" x14ac:dyDescent="0.3">
      <c r="A50" s="20" t="s">
        <v>215</v>
      </c>
      <c r="B50" s="522">
        <v>6.81</v>
      </c>
      <c r="C50" s="7">
        <f>B50+(D50-B50)/($D$45-$B$45)*($C$45-$B$45)</f>
        <v>8.2315384615384612</v>
      </c>
      <c r="D50" s="138">
        <v>10.17</v>
      </c>
      <c r="E50" s="7">
        <f>B50+(F50-B50)/($F$45-$B$45)*($E$45-$B$45)</f>
        <v>8.2315384615384612</v>
      </c>
      <c r="F50" s="135">
        <v>10.17</v>
      </c>
      <c r="G50" s="7">
        <f>B50+(H50-B50)/($H$45-$B$45)*($G$45-$B$45)</f>
        <v>8.2315384615384612</v>
      </c>
      <c r="H50" s="135">
        <v>10.17</v>
      </c>
    </row>
    <row r="51" spans="1:8" x14ac:dyDescent="0.3">
      <c r="A51" s="20" t="s">
        <v>216</v>
      </c>
      <c r="B51" s="522">
        <v>10.8</v>
      </c>
      <c r="C51" s="7">
        <f>B51+(D51-B51)/($D$45-$B$45)*($C$45-$B$45)</f>
        <v>14.26923076923077</v>
      </c>
      <c r="D51" s="138">
        <v>19</v>
      </c>
      <c r="E51" s="7">
        <f>B51+(F51-B51)/($F$45-$B$45)*($E$45-$B$45)</f>
        <v>14.26923076923077</v>
      </c>
      <c r="F51" s="135">
        <v>19</v>
      </c>
      <c r="G51" s="7">
        <f>B51+(H51-B51)/($H$45-$B$45)*($G$45-$B$45)</f>
        <v>14.26923076923077</v>
      </c>
      <c r="H51" s="135">
        <v>19</v>
      </c>
    </row>
    <row r="52" spans="1:8" ht="15" thickBot="1" x14ac:dyDescent="0.35">
      <c r="A52" s="20" t="s">
        <v>213</v>
      </c>
      <c r="B52" s="523">
        <v>13.7</v>
      </c>
      <c r="C52" s="7">
        <f>B52+(D52-B52)/($D$45-$B$45)*($C$45-$B$45)</f>
        <v>16.788461538461537</v>
      </c>
      <c r="D52" s="138">
        <v>21</v>
      </c>
      <c r="E52" s="7">
        <f>B52+(F52-B52)/($F$45-$B$45)*($E$45-$B$45)</f>
        <v>16.788461538461537</v>
      </c>
      <c r="F52" s="135">
        <v>21</v>
      </c>
      <c r="G52" s="7">
        <f>B52+(H52-B52)/($H$45-$B$45)*($G$45-$B$45)</f>
        <v>16.788461538461537</v>
      </c>
      <c r="H52" s="135">
        <v>21</v>
      </c>
    </row>
    <row r="53" spans="1:8" ht="15" thickBot="1" x14ac:dyDescent="0.35">
      <c r="A53" s="21" t="s">
        <v>2</v>
      </c>
      <c r="B53" s="347">
        <v>7.25</v>
      </c>
      <c r="C53" s="5">
        <v>19.04</v>
      </c>
      <c r="D53" s="16">
        <v>19.86</v>
      </c>
      <c r="E53" s="5">
        <v>19.04</v>
      </c>
      <c r="F53" s="6">
        <v>19.86</v>
      </c>
      <c r="G53" s="16">
        <v>19.04</v>
      </c>
      <c r="H53" s="6">
        <v>19.86</v>
      </c>
    </row>
    <row r="54" spans="1:8" x14ac:dyDescent="0.3">
      <c r="A54" s="20" t="s">
        <v>163</v>
      </c>
      <c r="B54" s="521">
        <f>B35</f>
        <v>2.39</v>
      </c>
      <c r="C54" s="7">
        <f>PRODUCT($B54,C$48)</f>
        <v>2.39</v>
      </c>
      <c r="D54" s="138">
        <f t="shared" ref="D54:H55" si="37">PRODUCT($B54,D$48)</f>
        <v>2.39</v>
      </c>
      <c r="E54" s="7">
        <f t="shared" si="37"/>
        <v>2.39</v>
      </c>
      <c r="F54" s="135">
        <f t="shared" si="37"/>
        <v>2.39</v>
      </c>
      <c r="G54" s="13">
        <f t="shared" si="37"/>
        <v>2.39</v>
      </c>
      <c r="H54" s="135">
        <f t="shared" si="37"/>
        <v>2.39</v>
      </c>
    </row>
    <row r="55" spans="1:8" ht="15" thickBot="1" x14ac:dyDescent="0.35">
      <c r="A55" s="20" t="s">
        <v>164</v>
      </c>
      <c r="B55" s="523">
        <f>B36</f>
        <v>2.2400000000000002</v>
      </c>
      <c r="C55" s="7">
        <f>PRODUCT($B55,C$48)</f>
        <v>2.2400000000000002</v>
      </c>
      <c r="D55" s="138">
        <f t="shared" si="37"/>
        <v>2.2400000000000002</v>
      </c>
      <c r="E55" s="7">
        <f t="shared" si="37"/>
        <v>2.2400000000000002</v>
      </c>
      <c r="F55" s="135">
        <f t="shared" si="37"/>
        <v>2.2400000000000002</v>
      </c>
      <c r="G55" s="13">
        <f t="shared" si="37"/>
        <v>2.2400000000000002</v>
      </c>
      <c r="H55" s="135">
        <f t="shared" si="37"/>
        <v>2.2400000000000002</v>
      </c>
    </row>
    <row r="56" spans="1:8" ht="15" thickBot="1" x14ac:dyDescent="0.35">
      <c r="A56" s="21" t="s">
        <v>3</v>
      </c>
      <c r="B56" s="325">
        <f>SUM(B54,B55)</f>
        <v>4.6300000000000008</v>
      </c>
      <c r="C56" s="5">
        <f>SUM(C54,C55)</f>
        <v>4.6300000000000008</v>
      </c>
      <c r="D56" s="16">
        <f t="shared" ref="D56" si="38">SUM(D54,D55)</f>
        <v>4.6300000000000008</v>
      </c>
      <c r="E56" s="5">
        <f>SUM(E54,E55)</f>
        <v>4.6300000000000008</v>
      </c>
      <c r="F56" s="6">
        <f t="shared" ref="F56" si="39">SUM(F54,F55)</f>
        <v>4.6300000000000008</v>
      </c>
      <c r="G56" s="16">
        <f>SUM(G54,G55)</f>
        <v>4.6300000000000008</v>
      </c>
      <c r="H56" s="6">
        <f t="shared" ref="H56" si="40">SUM(H54,H55)</f>
        <v>4.6300000000000008</v>
      </c>
    </row>
    <row r="57" spans="1:8" ht="15" thickBot="1" x14ac:dyDescent="0.35">
      <c r="A57" s="21" t="s">
        <v>205</v>
      </c>
      <c r="B57" s="5">
        <f xml:space="preserve"> B53+B56</f>
        <v>11.88</v>
      </c>
      <c r="C57" s="519">
        <f xml:space="preserve"> C53+C56</f>
        <v>23.67</v>
      </c>
      <c r="D57" s="514">
        <f t="shared" ref="D57" si="41" xml:space="preserve"> D53+D56</f>
        <v>24.490000000000002</v>
      </c>
      <c r="E57" s="519">
        <f xml:space="preserve"> E53+E56</f>
        <v>23.67</v>
      </c>
      <c r="F57" s="515">
        <f t="shared" ref="F57" si="42" xml:space="preserve"> F53+F56</f>
        <v>24.490000000000002</v>
      </c>
      <c r="G57" s="514">
        <f xml:space="preserve"> G53+G56</f>
        <v>23.67</v>
      </c>
      <c r="H57" s="515">
        <f t="shared" ref="H57" si="43" xml:space="preserve"> H53+H56</f>
        <v>24.490000000000002</v>
      </c>
    </row>
    <row r="58" spans="1:8" x14ac:dyDescent="0.3">
      <c r="A58" s="20" t="s">
        <v>4</v>
      </c>
      <c r="B58" s="7">
        <f>PRODUCT(B53,0.25)</f>
        <v>1.8125</v>
      </c>
      <c r="C58" s="11">
        <f>PRODUCT(C53,0.25)</f>
        <v>4.76</v>
      </c>
      <c r="D58" s="9">
        <f t="shared" ref="D58" si="44">PRODUCT(D53,0.25)</f>
        <v>4.9649999999999999</v>
      </c>
      <c r="E58" s="11">
        <f>PRODUCT(E53,0.25)</f>
        <v>4.76</v>
      </c>
      <c r="F58" s="349">
        <f t="shared" ref="F58" si="45">PRODUCT(F53,0.25)</f>
        <v>4.9649999999999999</v>
      </c>
      <c r="G58" s="9">
        <f>PRODUCT(G53,0.25)</f>
        <v>4.76</v>
      </c>
      <c r="H58" s="349">
        <f t="shared" ref="H58" si="46">PRODUCT(H53,0.25)</f>
        <v>4.9649999999999999</v>
      </c>
    </row>
    <row r="59" spans="1:8" ht="15" thickBot="1" x14ac:dyDescent="0.35">
      <c r="A59" s="20" t="s">
        <v>5</v>
      </c>
      <c r="B59" s="7">
        <f>PRODUCT(B56,0.25)</f>
        <v>1.1575000000000002</v>
      </c>
      <c r="C59" s="12">
        <f>PRODUCT(C56,0.25)</f>
        <v>1.1575000000000002</v>
      </c>
      <c r="D59" s="10">
        <f t="shared" ref="D59" si="47">PRODUCT(D56,0.25)</f>
        <v>1.1575000000000002</v>
      </c>
      <c r="E59" s="12">
        <f>PRODUCT(E56,0.25)</f>
        <v>1.1575000000000002</v>
      </c>
      <c r="F59" s="350">
        <f t="shared" ref="F59" si="48">PRODUCT(F56,0.25)</f>
        <v>1.1575000000000002</v>
      </c>
      <c r="G59" s="10">
        <f>PRODUCT(G56,0.25)</f>
        <v>1.1575000000000002</v>
      </c>
      <c r="H59" s="350">
        <f t="shared" ref="H59" si="49">PRODUCT(H56,0.25)</f>
        <v>1.1575000000000002</v>
      </c>
    </row>
    <row r="60" spans="1:8" ht="15" thickBot="1" x14ac:dyDescent="0.35">
      <c r="A60" s="21" t="s">
        <v>6</v>
      </c>
      <c r="B60" s="5">
        <f t="shared" ref="B60" si="50">SUM(B58,B59)</f>
        <v>2.97</v>
      </c>
      <c r="C60" s="325">
        <f t="shared" ref="C60:D60" si="51">SUM(C58,C59)</f>
        <v>5.9175000000000004</v>
      </c>
      <c r="D60" s="348">
        <f t="shared" si="51"/>
        <v>6.1225000000000005</v>
      </c>
      <c r="E60" s="325">
        <f t="shared" ref="E60:F60" si="52">SUM(E58,E59)</f>
        <v>5.9175000000000004</v>
      </c>
      <c r="F60" s="326">
        <f t="shared" si="52"/>
        <v>6.1225000000000005</v>
      </c>
      <c r="G60" s="348">
        <f t="shared" ref="G60:H60" si="53">SUM(G58,G59)</f>
        <v>5.9175000000000004</v>
      </c>
      <c r="H60" s="326">
        <f t="shared" si="53"/>
        <v>6.1225000000000005</v>
      </c>
    </row>
    <row r="61" spans="1:8" ht="15" thickBot="1" x14ac:dyDescent="0.35">
      <c r="A61" s="22" t="s">
        <v>207</v>
      </c>
      <c r="B61" s="136">
        <f>SUM(B57,B60)</f>
        <v>14.850000000000001</v>
      </c>
      <c r="C61" s="516">
        <f>SUM(C57,C60)</f>
        <v>29.587500000000002</v>
      </c>
      <c r="D61" s="517">
        <f t="shared" ref="D61" si="54">SUM(D57,D60)</f>
        <v>30.612500000000004</v>
      </c>
      <c r="E61" s="516">
        <f>SUM(E57,E60)</f>
        <v>29.587500000000002</v>
      </c>
      <c r="F61" s="518">
        <f t="shared" ref="F61" si="55">SUM(F57,F60)</f>
        <v>30.612500000000004</v>
      </c>
      <c r="G61" s="517">
        <f>SUM(G57,G60)</f>
        <v>29.587500000000002</v>
      </c>
      <c r="H61" s="518">
        <f t="shared" ref="H61" si="56">SUM(H57,H60)</f>
        <v>30.612500000000004</v>
      </c>
    </row>
    <row r="62" spans="1:8" ht="15" thickBot="1" x14ac:dyDescent="0.35"/>
    <row r="63" spans="1:8" ht="15" thickBot="1" x14ac:dyDescent="0.35">
      <c r="B63" s="169"/>
      <c r="C63" s="606" t="s">
        <v>370</v>
      </c>
      <c r="D63" s="607"/>
      <c r="E63" s="604" t="s">
        <v>59</v>
      </c>
      <c r="F63" s="605"/>
      <c r="G63" s="608" t="s">
        <v>60</v>
      </c>
      <c r="H63" s="605"/>
    </row>
    <row r="64" spans="1:8" ht="15" thickBot="1" x14ac:dyDescent="0.35">
      <c r="A64" s="520" t="s">
        <v>49</v>
      </c>
      <c r="B64" s="92">
        <v>2019</v>
      </c>
      <c r="C64" s="92">
        <v>2030</v>
      </c>
      <c r="D64" s="93">
        <v>2045</v>
      </c>
      <c r="E64" s="92">
        <v>2030</v>
      </c>
      <c r="F64" s="93">
        <v>2045</v>
      </c>
      <c r="G64" s="92">
        <v>2030</v>
      </c>
      <c r="H64" s="93">
        <v>2045</v>
      </c>
    </row>
    <row r="65" spans="1:8" ht="15" thickBot="1" x14ac:dyDescent="0.35">
      <c r="A65" s="19" t="s">
        <v>208</v>
      </c>
      <c r="B65" s="521">
        <v>0.77</v>
      </c>
      <c r="C65" s="11">
        <f>B65+(D65-B65)/($D$64-$B$64)*($C$64-$B$64)</f>
        <v>0.91807692307692312</v>
      </c>
      <c r="D65" s="138">
        <v>1.1200000000000001</v>
      </c>
      <c r="E65" s="11">
        <f>B65+(F65-B65)/($F$64-$B$64)*($E$64-$B$64)</f>
        <v>0.91807692307692312</v>
      </c>
      <c r="F65" s="135">
        <v>1.1200000000000001</v>
      </c>
      <c r="G65" s="11">
        <f>B65+(H65-B65)/($H$64-$B$64)*($G$64-$B$64)</f>
        <v>0.91807692307692312</v>
      </c>
      <c r="H65" s="135">
        <v>1.1200000000000001</v>
      </c>
    </row>
    <row r="66" spans="1:8" ht="15" thickBot="1" x14ac:dyDescent="0.35">
      <c r="A66" s="21" t="s">
        <v>2</v>
      </c>
      <c r="B66" s="5">
        <f>B65</f>
        <v>0.77</v>
      </c>
      <c r="C66" s="5">
        <f t="shared" ref="C66" si="57">C65</f>
        <v>0.91807692307692312</v>
      </c>
      <c r="D66" s="16">
        <f>D65</f>
        <v>1.1200000000000001</v>
      </c>
      <c r="E66" s="5">
        <f t="shared" ref="E66" si="58">E65</f>
        <v>0.91807692307692312</v>
      </c>
      <c r="F66" s="6">
        <f>F65</f>
        <v>1.1200000000000001</v>
      </c>
      <c r="G66" s="16">
        <f t="shared" ref="G66" si="59">G65</f>
        <v>0.91807692307692312</v>
      </c>
      <c r="H66" s="6">
        <f>H65</f>
        <v>1.1200000000000001</v>
      </c>
    </row>
    <row r="67" spans="1:8" x14ac:dyDescent="0.3">
      <c r="A67" s="20" t="s">
        <v>163</v>
      </c>
      <c r="B67" s="521">
        <v>0.35</v>
      </c>
      <c r="C67" s="7">
        <v>0.35</v>
      </c>
      <c r="D67" s="138">
        <v>0.35</v>
      </c>
      <c r="E67" s="7">
        <v>0.35</v>
      </c>
      <c r="F67" s="135">
        <v>0.35</v>
      </c>
      <c r="G67" s="13">
        <v>0.35</v>
      </c>
      <c r="H67" s="135">
        <v>0.35</v>
      </c>
    </row>
    <row r="68" spans="1:8" ht="15" thickBot="1" x14ac:dyDescent="0.35">
      <c r="A68" s="20" t="s">
        <v>164</v>
      </c>
      <c r="B68" s="523">
        <v>0</v>
      </c>
      <c r="C68" s="7">
        <f>D68</f>
        <v>0</v>
      </c>
      <c r="D68" s="138">
        <f>0/100</f>
        <v>0</v>
      </c>
      <c r="E68" s="7">
        <f>F68</f>
        <v>0</v>
      </c>
      <c r="F68" s="135">
        <f>0/100</f>
        <v>0</v>
      </c>
      <c r="G68" s="13">
        <f>H68</f>
        <v>0</v>
      </c>
      <c r="H68" s="135">
        <f>0/100</f>
        <v>0</v>
      </c>
    </row>
    <row r="69" spans="1:8" ht="15" thickBot="1" x14ac:dyDescent="0.35">
      <c r="A69" s="21" t="s">
        <v>3</v>
      </c>
      <c r="B69" s="5">
        <f>SUM(B67,B68)</f>
        <v>0.35</v>
      </c>
      <c r="C69" s="5">
        <f>SUM(C67,C68)</f>
        <v>0.35</v>
      </c>
      <c r="D69" s="16">
        <f t="shared" ref="D69" si="60">SUM(D67,D68)</f>
        <v>0.35</v>
      </c>
      <c r="E69" s="5">
        <f>SUM(E67,E68)</f>
        <v>0.35</v>
      </c>
      <c r="F69" s="6">
        <f t="shared" ref="F69" si="61">SUM(F67,F68)</f>
        <v>0.35</v>
      </c>
      <c r="G69" s="16">
        <f>SUM(G67,G68)</f>
        <v>0.35</v>
      </c>
      <c r="H69" s="6">
        <f t="shared" ref="H69" si="62">SUM(H67,H68)</f>
        <v>0.35</v>
      </c>
    </row>
    <row r="70" spans="1:8" ht="15" thickBot="1" x14ac:dyDescent="0.35">
      <c r="A70" s="21" t="s">
        <v>209</v>
      </c>
      <c r="B70" s="5">
        <f xml:space="preserve"> B66+B69</f>
        <v>1.1200000000000001</v>
      </c>
      <c r="C70" s="5">
        <f xml:space="preserve"> C66+C69</f>
        <v>1.2680769230769231</v>
      </c>
      <c r="D70" s="16">
        <f t="shared" ref="D70" si="63" xml:space="preserve"> D66+D69</f>
        <v>1.4700000000000002</v>
      </c>
      <c r="E70" s="5">
        <f xml:space="preserve"> E66+E69</f>
        <v>1.2680769230769231</v>
      </c>
      <c r="F70" s="6">
        <f t="shared" ref="F70" si="64" xml:space="preserve"> F66+F69</f>
        <v>1.4700000000000002</v>
      </c>
      <c r="G70" s="16">
        <f xml:space="preserve"> G66+G69</f>
        <v>1.2680769230769231</v>
      </c>
      <c r="H70" s="6">
        <f t="shared" ref="H70" si="65" xml:space="preserve"> H66+H69</f>
        <v>1.4700000000000002</v>
      </c>
    </row>
    <row r="71" spans="1:8" x14ac:dyDescent="0.3">
      <c r="A71" s="20" t="s">
        <v>4</v>
      </c>
      <c r="B71" s="7">
        <f>PRODUCT(B66,0.25)</f>
        <v>0.1925</v>
      </c>
      <c r="C71" s="7">
        <f>PRODUCT(C66,0.25)</f>
        <v>0.22951923076923078</v>
      </c>
      <c r="D71" s="13">
        <f t="shared" ref="D71" si="66">PRODUCT(D66,0.25)</f>
        <v>0.28000000000000003</v>
      </c>
      <c r="E71" s="7">
        <f>PRODUCT(E66,0.25)</f>
        <v>0.22951923076923078</v>
      </c>
      <c r="F71" s="8">
        <f t="shared" ref="F71" si="67">PRODUCT(F66,0.25)</f>
        <v>0.28000000000000003</v>
      </c>
      <c r="G71" s="13">
        <f>PRODUCT(G66,0.25)</f>
        <v>0.22951923076923078</v>
      </c>
      <c r="H71" s="8">
        <f t="shared" ref="H71" si="68">PRODUCT(H66,0.25)</f>
        <v>0.28000000000000003</v>
      </c>
    </row>
    <row r="72" spans="1:8" ht="15" thickBot="1" x14ac:dyDescent="0.35">
      <c r="A72" s="20" t="s">
        <v>5</v>
      </c>
      <c r="B72" s="7">
        <f>PRODUCT(B69,0.25)</f>
        <v>8.7499999999999994E-2</v>
      </c>
      <c r="C72" s="7">
        <f t="shared" ref="C72:D72" si="69">PRODUCT(C69,0.25)</f>
        <v>8.7499999999999994E-2</v>
      </c>
      <c r="D72" s="13">
        <f t="shared" si="69"/>
        <v>8.7499999999999994E-2</v>
      </c>
      <c r="E72" s="7">
        <f t="shared" ref="E72:F72" si="70">PRODUCT(E69,0.25)</f>
        <v>8.7499999999999994E-2</v>
      </c>
      <c r="F72" s="8">
        <f t="shared" si="70"/>
        <v>8.7499999999999994E-2</v>
      </c>
      <c r="G72" s="13">
        <f t="shared" ref="G72:H72" si="71">PRODUCT(G69,0.25)</f>
        <v>8.7499999999999994E-2</v>
      </c>
      <c r="H72" s="8">
        <f t="shared" si="71"/>
        <v>8.7499999999999994E-2</v>
      </c>
    </row>
    <row r="73" spans="1:8" ht="15" thickBot="1" x14ac:dyDescent="0.35">
      <c r="A73" s="21" t="s">
        <v>6</v>
      </c>
      <c r="B73" s="5">
        <f t="shared" ref="B73" si="72">SUM(B71,B72)</f>
        <v>0.28000000000000003</v>
      </c>
      <c r="C73" s="5">
        <f>SUM(C71,C72)</f>
        <v>0.31701923076923078</v>
      </c>
      <c r="D73" s="16">
        <f t="shared" ref="D73" si="73">SUM(D71,D72)</f>
        <v>0.36750000000000005</v>
      </c>
      <c r="E73" s="5">
        <f>SUM(E71,E72)</f>
        <v>0.31701923076923078</v>
      </c>
      <c r="F73" s="6">
        <f t="shared" ref="F73" si="74">SUM(F71,F72)</f>
        <v>0.36750000000000005</v>
      </c>
      <c r="G73" s="16">
        <f>SUM(G71,G72)</f>
        <v>0.31701923076923078</v>
      </c>
      <c r="H73" s="6">
        <f t="shared" ref="H73" si="75">SUM(H71,H72)</f>
        <v>0.36750000000000005</v>
      </c>
    </row>
    <row r="74" spans="1:8" ht="15" thickBot="1" x14ac:dyDescent="0.35">
      <c r="A74" s="22" t="s">
        <v>50</v>
      </c>
      <c r="B74" s="136">
        <f>SUM(B70,B73)</f>
        <v>1.4000000000000001</v>
      </c>
      <c r="C74" s="516">
        <f>SUM(C70,C73)</f>
        <v>1.5850961538461539</v>
      </c>
      <c r="D74" s="517">
        <f t="shared" ref="D74" si="76">SUM(D70,D73)</f>
        <v>1.8375000000000004</v>
      </c>
      <c r="E74" s="516">
        <f>SUM(E70,E73)</f>
        <v>1.5850961538461539</v>
      </c>
      <c r="F74" s="518">
        <f t="shared" ref="F74" si="77">SUM(F70,F73)</f>
        <v>1.8375000000000004</v>
      </c>
      <c r="G74" s="517">
        <f>SUM(G70,G73)</f>
        <v>1.5850961538461539</v>
      </c>
      <c r="H74" s="518">
        <f t="shared" ref="H74" si="78">SUM(H70,H73)</f>
        <v>1.8375000000000004</v>
      </c>
    </row>
    <row r="75" spans="1:8" ht="15" thickBot="1" x14ac:dyDescent="0.35">
      <c r="D75" s="320"/>
    </row>
    <row r="76" spans="1:8" ht="15" thickBot="1" x14ac:dyDescent="0.35">
      <c r="B76" s="169"/>
      <c r="C76" s="606" t="s">
        <v>370</v>
      </c>
      <c r="D76" s="607"/>
      <c r="E76" s="604" t="s">
        <v>59</v>
      </c>
      <c r="F76" s="605"/>
      <c r="G76" s="608" t="s">
        <v>60</v>
      </c>
      <c r="H76" s="605"/>
    </row>
    <row r="77" spans="1:8" ht="15" thickBot="1" x14ac:dyDescent="0.35">
      <c r="A77" s="171" t="s">
        <v>51</v>
      </c>
      <c r="B77" s="93">
        <v>2019</v>
      </c>
      <c r="C77" s="92">
        <v>2030</v>
      </c>
      <c r="D77" s="93">
        <v>2045</v>
      </c>
      <c r="E77" s="92">
        <v>2030</v>
      </c>
      <c r="F77" s="170">
        <v>2045</v>
      </c>
      <c r="G77" s="93">
        <v>2030</v>
      </c>
      <c r="H77" s="93">
        <v>2045</v>
      </c>
    </row>
    <row r="78" spans="1:8" ht="15" thickBot="1" x14ac:dyDescent="0.35">
      <c r="A78" s="23" t="s">
        <v>208</v>
      </c>
      <c r="B78" s="132">
        <v>1.33</v>
      </c>
      <c r="C78" s="11">
        <f>B78+(D78-B78)/($D$77-$B$77)*($C$77-$B$77)</f>
        <v>1.3934615384615385</v>
      </c>
      <c r="D78" s="138">
        <v>1.48</v>
      </c>
      <c r="E78" s="11">
        <f>B78+(F78-B78)/($F$77-$B$77)*($E$77-$B$77)</f>
        <v>1.3934615384615385</v>
      </c>
      <c r="F78" s="135">
        <v>1.48</v>
      </c>
      <c r="G78" s="11">
        <f>B78+(H78-B78)/($H$77-$B$77)*($G$77-$B$77)</f>
        <v>1.3934615384615385</v>
      </c>
      <c r="H78" s="135">
        <v>1.48</v>
      </c>
    </row>
    <row r="79" spans="1:8" ht="15" thickBot="1" x14ac:dyDescent="0.35">
      <c r="A79" s="21" t="s">
        <v>2</v>
      </c>
      <c r="B79" s="5">
        <f>B78</f>
        <v>1.33</v>
      </c>
      <c r="C79" s="5">
        <f>C78</f>
        <v>1.3934615384615385</v>
      </c>
      <c r="D79" s="16">
        <f t="shared" ref="D79" si="79">D78</f>
        <v>1.48</v>
      </c>
      <c r="E79" s="5">
        <f>E78</f>
        <v>1.3934615384615385</v>
      </c>
      <c r="F79" s="6">
        <f t="shared" ref="F79" si="80">F78</f>
        <v>1.48</v>
      </c>
      <c r="G79" s="16">
        <f>G78</f>
        <v>1.3934615384615385</v>
      </c>
      <c r="H79" s="6">
        <f t="shared" ref="H79" si="81">H78</f>
        <v>1.48</v>
      </c>
    </row>
    <row r="80" spans="1:8" x14ac:dyDescent="0.3">
      <c r="A80" s="20" t="s">
        <v>163</v>
      </c>
      <c r="B80" s="133">
        <v>0.35</v>
      </c>
      <c r="C80" s="7">
        <v>0.35</v>
      </c>
      <c r="D80" s="138">
        <v>0.35</v>
      </c>
      <c r="E80" s="7">
        <v>0.35</v>
      </c>
      <c r="F80" s="135">
        <v>0.35</v>
      </c>
      <c r="G80" s="13">
        <v>0.35</v>
      </c>
      <c r="H80" s="135">
        <v>0.35</v>
      </c>
    </row>
    <row r="81" spans="1:8" ht="15" thickBot="1" x14ac:dyDescent="0.35">
      <c r="A81" s="20" t="s">
        <v>164</v>
      </c>
      <c r="B81" s="133">
        <f>0/100</f>
        <v>0</v>
      </c>
      <c r="C81" s="7">
        <f>D81</f>
        <v>0</v>
      </c>
      <c r="D81" s="138">
        <f>0/100</f>
        <v>0</v>
      </c>
      <c r="E81" s="7">
        <f>F81</f>
        <v>0</v>
      </c>
      <c r="F81" s="135">
        <f>0/100</f>
        <v>0</v>
      </c>
      <c r="G81" s="13">
        <f>H81</f>
        <v>0</v>
      </c>
      <c r="H81" s="135">
        <f>0/100</f>
        <v>0</v>
      </c>
    </row>
    <row r="82" spans="1:8" ht="15" thickBot="1" x14ac:dyDescent="0.35">
      <c r="A82" s="21" t="s">
        <v>3</v>
      </c>
      <c r="B82" s="5">
        <f>SUM(B80,B81)</f>
        <v>0.35</v>
      </c>
      <c r="C82" s="5">
        <f>SUM(C80,C81)</f>
        <v>0.35</v>
      </c>
      <c r="D82" s="16">
        <f t="shared" ref="D82" si="82">SUM(D80,D81)</f>
        <v>0.35</v>
      </c>
      <c r="E82" s="5">
        <f>SUM(E80,E81)</f>
        <v>0.35</v>
      </c>
      <c r="F82" s="6">
        <f t="shared" ref="F82" si="83">SUM(F80,F81)</f>
        <v>0.35</v>
      </c>
      <c r="G82" s="16">
        <f>SUM(G80,G81)</f>
        <v>0.35</v>
      </c>
      <c r="H82" s="6">
        <f t="shared" ref="H82" si="84">SUM(H80,H81)</f>
        <v>0.35</v>
      </c>
    </row>
    <row r="83" spans="1:8" ht="15" thickBot="1" x14ac:dyDescent="0.35">
      <c r="A83" s="21" t="s">
        <v>209</v>
      </c>
      <c r="B83" s="5">
        <f xml:space="preserve"> B79+B82</f>
        <v>1.6800000000000002</v>
      </c>
      <c r="C83" s="5">
        <f xml:space="preserve"> C79+C82</f>
        <v>1.7434615384615384</v>
      </c>
      <c r="D83" s="16">
        <f t="shared" ref="D83" si="85" xml:space="preserve"> D79+D82</f>
        <v>1.83</v>
      </c>
      <c r="E83" s="5">
        <f xml:space="preserve"> E79+E82</f>
        <v>1.7434615384615384</v>
      </c>
      <c r="F83" s="6">
        <f t="shared" ref="F83" si="86" xml:space="preserve"> F79+F82</f>
        <v>1.83</v>
      </c>
      <c r="G83" s="16">
        <f xml:space="preserve"> G79+G82</f>
        <v>1.7434615384615384</v>
      </c>
      <c r="H83" s="6">
        <f t="shared" ref="H83" si="87" xml:space="preserve"> H79+H82</f>
        <v>1.83</v>
      </c>
    </row>
    <row r="84" spans="1:8" x14ac:dyDescent="0.3">
      <c r="A84" s="20" t="s">
        <v>4</v>
      </c>
      <c r="B84" s="7">
        <f>PRODUCT(B79,0.25)</f>
        <v>0.33250000000000002</v>
      </c>
      <c r="C84" s="7">
        <f t="shared" ref="C84:H84" si="88">PRODUCT(C79,0.25)</f>
        <v>0.34836538461538463</v>
      </c>
      <c r="D84" s="13">
        <f t="shared" si="88"/>
        <v>0.37</v>
      </c>
      <c r="E84" s="7">
        <f t="shared" si="88"/>
        <v>0.34836538461538463</v>
      </c>
      <c r="F84" s="8">
        <f t="shared" si="88"/>
        <v>0.37</v>
      </c>
      <c r="G84" s="13">
        <f t="shared" si="88"/>
        <v>0.34836538461538463</v>
      </c>
      <c r="H84" s="8">
        <f t="shared" si="88"/>
        <v>0.37</v>
      </c>
    </row>
    <row r="85" spans="1:8" ht="15" thickBot="1" x14ac:dyDescent="0.35">
      <c r="A85" s="20" t="s">
        <v>5</v>
      </c>
      <c r="B85" s="7">
        <f>PRODUCT(B82,0.25)</f>
        <v>8.7499999999999994E-2</v>
      </c>
      <c r="C85" s="7">
        <f t="shared" ref="C85:H85" si="89">PRODUCT(C82,0.25)</f>
        <v>8.7499999999999994E-2</v>
      </c>
      <c r="D85" s="13">
        <f t="shared" si="89"/>
        <v>8.7499999999999994E-2</v>
      </c>
      <c r="E85" s="7">
        <f t="shared" si="89"/>
        <v>8.7499999999999994E-2</v>
      </c>
      <c r="F85" s="8">
        <f t="shared" si="89"/>
        <v>8.7499999999999994E-2</v>
      </c>
      <c r="G85" s="13">
        <f t="shared" si="89"/>
        <v>8.7499999999999994E-2</v>
      </c>
      <c r="H85" s="8">
        <f t="shared" si="89"/>
        <v>8.7499999999999994E-2</v>
      </c>
    </row>
    <row r="86" spans="1:8" ht="15" thickBot="1" x14ac:dyDescent="0.35">
      <c r="A86" s="21" t="s">
        <v>6</v>
      </c>
      <c r="B86" s="5">
        <f t="shared" ref="B86" si="90">SUM(B84,B85)</f>
        <v>0.42000000000000004</v>
      </c>
      <c r="C86" s="5">
        <f t="shared" ref="C86:D86" si="91">SUM(C84,C85)</f>
        <v>0.4358653846153846</v>
      </c>
      <c r="D86" s="16">
        <f t="shared" si="91"/>
        <v>0.45750000000000002</v>
      </c>
      <c r="E86" s="5">
        <f t="shared" ref="E86:F86" si="92">SUM(E84,E85)</f>
        <v>0.4358653846153846</v>
      </c>
      <c r="F86" s="6">
        <f t="shared" si="92"/>
        <v>0.45750000000000002</v>
      </c>
      <c r="G86" s="16">
        <f t="shared" ref="G86:H86" si="93">SUM(G84,G85)</f>
        <v>0.4358653846153846</v>
      </c>
      <c r="H86" s="6">
        <f t="shared" si="93"/>
        <v>0.45750000000000002</v>
      </c>
    </row>
    <row r="87" spans="1:8" ht="15" thickBot="1" x14ac:dyDescent="0.35">
      <c r="A87" s="22" t="s">
        <v>50</v>
      </c>
      <c r="B87" s="136">
        <f>SUM(B83,B86)</f>
        <v>2.1</v>
      </c>
      <c r="C87" s="516">
        <f>SUM(C83,C86)</f>
        <v>2.179326923076923</v>
      </c>
      <c r="D87" s="517">
        <f t="shared" ref="D87" si="94">SUM(D83,D86)</f>
        <v>2.2875000000000001</v>
      </c>
      <c r="E87" s="516">
        <f>SUM(E83,E86)</f>
        <v>2.179326923076923</v>
      </c>
      <c r="F87" s="518">
        <f t="shared" ref="F87" si="95">SUM(F83,F86)</f>
        <v>2.2875000000000001</v>
      </c>
      <c r="G87" s="517">
        <f>SUM(G83,G86)</f>
        <v>2.179326923076923</v>
      </c>
      <c r="H87" s="518">
        <f t="shared" ref="H87" si="96">SUM(H83,H86)</f>
        <v>2.2875000000000001</v>
      </c>
    </row>
  </sheetData>
  <mergeCells count="17">
    <mergeCell ref="C63:D63"/>
    <mergeCell ref="E63:F63"/>
    <mergeCell ref="C76:D76"/>
    <mergeCell ref="E76:F76"/>
    <mergeCell ref="G76:H76"/>
    <mergeCell ref="A2:H2"/>
    <mergeCell ref="A3:B3"/>
    <mergeCell ref="G25:H25"/>
    <mergeCell ref="C6:D6"/>
    <mergeCell ref="E6:F6"/>
    <mergeCell ref="C25:D25"/>
    <mergeCell ref="E25:F25"/>
    <mergeCell ref="C44:D44"/>
    <mergeCell ref="E44:F44"/>
    <mergeCell ref="G44:H44"/>
    <mergeCell ref="G63:H63"/>
    <mergeCell ref="G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AM92"/>
  <sheetViews>
    <sheetView zoomScale="90" zoomScaleNormal="90" workbookViewId="0">
      <pane ySplit="4" topLeftCell="A5" activePane="bottomLeft" state="frozen"/>
      <selection pane="bottomLeft" activeCell="D7" sqref="D7"/>
    </sheetView>
  </sheetViews>
  <sheetFormatPr defaultColWidth="8.88671875" defaultRowHeight="14.4" x14ac:dyDescent="0.3"/>
  <cols>
    <col min="1" max="1" width="22.109375" style="28" customWidth="1"/>
    <col min="2" max="2" width="27.109375" style="28" bestFit="1" customWidth="1"/>
    <col min="3" max="3" width="29.33203125" style="28" bestFit="1" customWidth="1"/>
    <col min="4" max="9" width="13.33203125" style="28" customWidth="1"/>
    <col min="10" max="10" width="8.88671875" style="14"/>
    <col min="11" max="11" width="22.109375" style="28" customWidth="1"/>
    <col min="12" max="12" width="27.109375" style="28" bestFit="1" customWidth="1"/>
    <col min="13" max="13" width="29.33203125" style="28" bestFit="1" customWidth="1"/>
    <col min="14" max="19" width="13.33203125" style="28" customWidth="1"/>
    <col min="20" max="20" width="8.88671875" style="14"/>
    <col min="21" max="21" width="22.109375" style="28" customWidth="1"/>
    <col min="22" max="22" width="27.109375" style="28" bestFit="1" customWidth="1"/>
    <col min="23" max="23" width="29.33203125" style="28" bestFit="1" customWidth="1"/>
    <col min="24" max="29" width="13.33203125" style="28" customWidth="1"/>
    <col min="30" max="30" width="8.88671875" style="14"/>
    <col min="31" max="31" width="22.109375" style="14" customWidth="1"/>
    <col min="32" max="32" width="27.109375" style="14" customWidth="1"/>
    <col min="33" max="33" width="29.33203125" style="14" customWidth="1"/>
    <col min="34" max="39" width="13.33203125" style="14" customWidth="1"/>
    <col min="40" max="16384" width="8.88671875" style="14"/>
  </cols>
  <sheetData>
    <row r="1" spans="1:39" ht="17.399999999999999" x14ac:dyDescent="0.3">
      <c r="A1" s="108" t="s">
        <v>244</v>
      </c>
    </row>
    <row r="2" spans="1:39" ht="15" thickBot="1" x14ac:dyDescent="0.35"/>
    <row r="3" spans="1:39" s="296" customFormat="1" ht="25.95" customHeight="1" thickBot="1" x14ac:dyDescent="0.35">
      <c r="A3" s="616" t="s">
        <v>61</v>
      </c>
      <c r="B3" s="618" t="s">
        <v>217</v>
      </c>
      <c r="C3" s="619"/>
      <c r="D3" s="616" t="s">
        <v>370</v>
      </c>
      <c r="E3" s="629"/>
      <c r="F3" s="616" t="s">
        <v>59</v>
      </c>
      <c r="G3" s="629"/>
      <c r="H3" s="630" t="s">
        <v>60</v>
      </c>
      <c r="I3" s="629"/>
      <c r="K3" s="616" t="s">
        <v>61</v>
      </c>
      <c r="L3" s="622" t="s">
        <v>228</v>
      </c>
      <c r="M3" s="623"/>
      <c r="N3" s="616" t="s">
        <v>370</v>
      </c>
      <c r="O3" s="629"/>
      <c r="P3" s="616" t="s">
        <v>59</v>
      </c>
      <c r="Q3" s="629"/>
      <c r="R3" s="630" t="s">
        <v>60</v>
      </c>
      <c r="S3" s="629"/>
      <c r="U3" s="616" t="s">
        <v>61</v>
      </c>
      <c r="V3" s="622" t="s">
        <v>218</v>
      </c>
      <c r="W3" s="623"/>
      <c r="X3" s="616" t="s">
        <v>370</v>
      </c>
      <c r="Y3" s="629"/>
      <c r="Z3" s="616" t="s">
        <v>59</v>
      </c>
      <c r="AA3" s="629"/>
      <c r="AB3" s="630" t="s">
        <v>60</v>
      </c>
      <c r="AC3" s="629"/>
      <c r="AE3" s="616" t="s">
        <v>61</v>
      </c>
      <c r="AF3" s="622" t="s">
        <v>229</v>
      </c>
      <c r="AG3" s="623"/>
      <c r="AH3" s="616" t="s">
        <v>370</v>
      </c>
      <c r="AI3" s="629"/>
      <c r="AJ3" s="616" t="s">
        <v>59</v>
      </c>
      <c r="AK3" s="629"/>
      <c r="AL3" s="630" t="s">
        <v>60</v>
      </c>
      <c r="AM3" s="629"/>
    </row>
    <row r="4" spans="1:39" s="109" customFormat="1" ht="25.95" customHeight="1" thickBot="1" x14ac:dyDescent="0.3">
      <c r="A4" s="617"/>
      <c r="B4" s="620"/>
      <c r="C4" s="621"/>
      <c r="D4" s="240">
        <v>2030</v>
      </c>
      <c r="E4" s="241">
        <v>2045</v>
      </c>
      <c r="F4" s="240">
        <v>2030</v>
      </c>
      <c r="G4" s="241">
        <v>2045</v>
      </c>
      <c r="H4" s="242">
        <v>2030</v>
      </c>
      <c r="I4" s="241">
        <v>2045</v>
      </c>
      <c r="K4" s="617"/>
      <c r="L4" s="624"/>
      <c r="M4" s="625"/>
      <c r="N4" s="240">
        <v>2030</v>
      </c>
      <c r="O4" s="241">
        <v>2045</v>
      </c>
      <c r="P4" s="240">
        <v>2030</v>
      </c>
      <c r="Q4" s="241">
        <v>2045</v>
      </c>
      <c r="R4" s="242">
        <v>2030</v>
      </c>
      <c r="S4" s="241">
        <v>2045</v>
      </c>
      <c r="U4" s="617"/>
      <c r="V4" s="624"/>
      <c r="W4" s="625"/>
      <c r="X4" s="240">
        <v>2030</v>
      </c>
      <c r="Y4" s="241">
        <v>2045</v>
      </c>
      <c r="Z4" s="240">
        <v>2030</v>
      </c>
      <c r="AA4" s="241">
        <v>2045</v>
      </c>
      <c r="AB4" s="242">
        <v>2030</v>
      </c>
      <c r="AC4" s="241">
        <v>2045</v>
      </c>
      <c r="AE4" s="617"/>
      <c r="AF4" s="624"/>
      <c r="AG4" s="625"/>
      <c r="AH4" s="240">
        <v>2030</v>
      </c>
      <c r="AI4" s="241">
        <v>2045</v>
      </c>
      <c r="AJ4" s="240">
        <v>2030</v>
      </c>
      <c r="AK4" s="241">
        <v>2045</v>
      </c>
      <c r="AL4" s="242">
        <v>2030</v>
      </c>
      <c r="AM4" s="241">
        <v>2045</v>
      </c>
    </row>
    <row r="5" spans="1:39" ht="15" thickBot="1" x14ac:dyDescent="0.35">
      <c r="A5" s="30" t="s">
        <v>73</v>
      </c>
      <c r="D5" s="176"/>
      <c r="E5" s="176"/>
      <c r="F5" s="176"/>
      <c r="G5" s="176"/>
      <c r="H5" s="176"/>
      <c r="I5" s="176"/>
      <c r="K5" s="30" t="s">
        <v>230</v>
      </c>
      <c r="N5" s="176"/>
      <c r="O5" s="176"/>
      <c r="P5" s="176"/>
      <c r="Q5" s="176"/>
      <c r="R5" s="176"/>
      <c r="S5" s="176"/>
      <c r="U5" s="30" t="s">
        <v>83</v>
      </c>
      <c r="X5" s="176"/>
      <c r="Y5" s="176"/>
      <c r="Z5" s="176"/>
      <c r="AA5" s="176"/>
      <c r="AB5" s="176"/>
      <c r="AC5" s="176"/>
      <c r="AE5" s="30" t="s">
        <v>146</v>
      </c>
      <c r="AF5" s="28"/>
      <c r="AG5" s="28"/>
      <c r="AH5" s="176"/>
      <c r="AI5" s="176"/>
      <c r="AJ5" s="176"/>
      <c r="AK5" s="176"/>
      <c r="AL5" s="176"/>
      <c r="AM5" s="176"/>
    </row>
    <row r="6" spans="1:39" x14ac:dyDescent="0.3">
      <c r="A6" s="626" t="s">
        <v>0</v>
      </c>
      <c r="B6" s="117" t="s">
        <v>8</v>
      </c>
      <c r="C6" s="117" t="s">
        <v>200</v>
      </c>
      <c r="D6" s="177">
        <f>Indata!E32</f>
        <v>17.822176923076924</v>
      </c>
      <c r="E6" s="178">
        <f>Indata!F32</f>
        <v>33.912125000000003</v>
      </c>
      <c r="F6" s="177">
        <f>Indata!G32</f>
        <v>17.822176923076924</v>
      </c>
      <c r="G6" s="178">
        <f>Indata!H32</f>
        <v>33.912125000000003</v>
      </c>
      <c r="H6" s="179">
        <f>Indata!I32</f>
        <v>17.822176923076924</v>
      </c>
      <c r="I6" s="178">
        <f>Indata!J32</f>
        <v>33.912125000000003</v>
      </c>
      <c r="K6" s="626" t="s">
        <v>0</v>
      </c>
      <c r="L6" s="117" t="s">
        <v>8</v>
      </c>
      <c r="M6" s="117" t="s">
        <v>200</v>
      </c>
      <c r="N6" s="177">
        <f>'Modell - Drivmedelpriser'!C23</f>
        <v>17.822176923076924</v>
      </c>
      <c r="O6" s="178">
        <f>'Modell - Drivmedelpriser'!D23</f>
        <v>33.912125000000003</v>
      </c>
      <c r="P6" s="177">
        <f>'Modell - Drivmedelpriser'!E23</f>
        <v>17.822176923076924</v>
      </c>
      <c r="Q6" s="178">
        <f>'Modell - Drivmedelpriser'!F23</f>
        <v>33.912125000000003</v>
      </c>
      <c r="R6" s="179">
        <f>'Modell - Drivmedelpriser'!G23</f>
        <v>17.822176923076924</v>
      </c>
      <c r="S6" s="178">
        <f>'Modell - Drivmedelpriser'!H23</f>
        <v>33.912125000000003</v>
      </c>
      <c r="U6" s="626" t="s">
        <v>0</v>
      </c>
      <c r="V6" s="117" t="s">
        <v>8</v>
      </c>
      <c r="W6" s="117" t="s">
        <v>200</v>
      </c>
      <c r="X6" s="177">
        <f>N6</f>
        <v>17.822176923076924</v>
      </c>
      <c r="Y6" s="178">
        <f t="shared" ref="Y6:Y8" si="0">O6</f>
        <v>33.912125000000003</v>
      </c>
      <c r="Z6" s="177">
        <f t="shared" ref="Z6:Z8" si="1">P6</f>
        <v>17.822176923076924</v>
      </c>
      <c r="AA6" s="178">
        <f t="shared" ref="AA6:AA8" si="2">Q6</f>
        <v>33.912125000000003</v>
      </c>
      <c r="AB6" s="179">
        <f t="shared" ref="AB6:AB8" si="3">R6</f>
        <v>17.822176923076924</v>
      </c>
      <c r="AC6" s="178">
        <f t="shared" ref="AC6:AC8" si="4">S6</f>
        <v>33.912125000000003</v>
      </c>
      <c r="AE6" s="626" t="s">
        <v>0</v>
      </c>
      <c r="AF6" s="117" t="s">
        <v>8</v>
      </c>
      <c r="AG6" s="117" t="s">
        <v>200</v>
      </c>
      <c r="AH6" s="177">
        <f>X6</f>
        <v>17.822176923076924</v>
      </c>
      <c r="AI6" s="178">
        <f t="shared" ref="AI6:AI8" si="5">Y6</f>
        <v>33.912125000000003</v>
      </c>
      <c r="AJ6" s="177">
        <f t="shared" ref="AJ6:AJ8" si="6">Z6</f>
        <v>17.822176923076924</v>
      </c>
      <c r="AK6" s="178">
        <f t="shared" ref="AK6:AK8" si="7">AA6</f>
        <v>33.912125000000003</v>
      </c>
      <c r="AL6" s="179">
        <f t="shared" ref="AL6:AL8" si="8">AB6</f>
        <v>17.822176923076924</v>
      </c>
      <c r="AM6" s="178">
        <f t="shared" ref="AM6:AM8" si="9">AC6</f>
        <v>33.912125000000003</v>
      </c>
    </row>
    <row r="7" spans="1:39" x14ac:dyDescent="0.3">
      <c r="A7" s="627"/>
      <c r="B7" s="118" t="s">
        <v>9</v>
      </c>
      <c r="C7" s="118" t="s">
        <v>200</v>
      </c>
      <c r="D7" s="180">
        <f>Indata!E33</f>
        <v>16.764467307692307</v>
      </c>
      <c r="E7" s="181">
        <f>Indata!F33</f>
        <v>31.862500000000004</v>
      </c>
      <c r="F7" s="180">
        <f>Indata!G33</f>
        <v>16.764467307692307</v>
      </c>
      <c r="G7" s="181">
        <f>Indata!H33</f>
        <v>31.862500000000004</v>
      </c>
      <c r="H7" s="182">
        <f>Indata!I33</f>
        <v>16.764467307692307</v>
      </c>
      <c r="I7" s="181">
        <f>Indata!J33</f>
        <v>31.862500000000004</v>
      </c>
      <c r="K7" s="627"/>
      <c r="L7" s="118" t="s">
        <v>9</v>
      </c>
      <c r="M7" s="118" t="s">
        <v>200</v>
      </c>
      <c r="N7" s="180">
        <f>'Modell - Drivmedelpriser'!C42</f>
        <v>16.764467307692307</v>
      </c>
      <c r="O7" s="181">
        <f>'Modell - Drivmedelpriser'!D42</f>
        <v>31.862500000000004</v>
      </c>
      <c r="P7" s="180">
        <f>'Modell - Drivmedelpriser'!E42</f>
        <v>16.764467307692307</v>
      </c>
      <c r="Q7" s="181">
        <f>'Modell - Drivmedelpriser'!F42</f>
        <v>31.862500000000004</v>
      </c>
      <c r="R7" s="182">
        <f>'Modell - Drivmedelpriser'!G42</f>
        <v>16.764467307692307</v>
      </c>
      <c r="S7" s="181">
        <f>'Modell - Drivmedelpriser'!H42</f>
        <v>31.862500000000004</v>
      </c>
      <c r="U7" s="627"/>
      <c r="V7" s="118" t="s">
        <v>9</v>
      </c>
      <c r="W7" s="118" t="s">
        <v>200</v>
      </c>
      <c r="X7" s="180">
        <f t="shared" ref="X7:X8" si="10">N7</f>
        <v>16.764467307692307</v>
      </c>
      <c r="Y7" s="181">
        <f t="shared" si="0"/>
        <v>31.862500000000004</v>
      </c>
      <c r="Z7" s="180">
        <f t="shared" si="1"/>
        <v>16.764467307692307</v>
      </c>
      <c r="AA7" s="181">
        <f t="shared" si="2"/>
        <v>31.862500000000004</v>
      </c>
      <c r="AB7" s="182">
        <f t="shared" si="3"/>
        <v>16.764467307692307</v>
      </c>
      <c r="AC7" s="181">
        <f t="shared" si="4"/>
        <v>31.862500000000004</v>
      </c>
      <c r="AE7" s="627"/>
      <c r="AF7" s="118" t="s">
        <v>9</v>
      </c>
      <c r="AG7" s="118" t="s">
        <v>200</v>
      </c>
      <c r="AH7" s="180">
        <f t="shared" ref="AH7:AH8" si="11">X7</f>
        <v>16.764467307692307</v>
      </c>
      <c r="AI7" s="181">
        <f t="shared" si="5"/>
        <v>31.862500000000004</v>
      </c>
      <c r="AJ7" s="180">
        <f t="shared" si="6"/>
        <v>16.764467307692307</v>
      </c>
      <c r="AK7" s="181">
        <f t="shared" si="7"/>
        <v>31.862500000000004</v>
      </c>
      <c r="AL7" s="182">
        <f t="shared" si="8"/>
        <v>16.764467307692307</v>
      </c>
      <c r="AM7" s="181">
        <f t="shared" si="9"/>
        <v>31.862500000000004</v>
      </c>
    </row>
    <row r="8" spans="1:39" x14ac:dyDescent="0.3">
      <c r="A8" s="627"/>
      <c r="B8" s="118" t="s">
        <v>7</v>
      </c>
      <c r="C8" s="118" t="s">
        <v>177</v>
      </c>
      <c r="D8" s="180">
        <f>Indata!E34</f>
        <v>1.5850961538461539</v>
      </c>
      <c r="E8" s="181">
        <f>Indata!F34</f>
        <v>1.8375000000000004</v>
      </c>
      <c r="F8" s="180">
        <f>Indata!G34</f>
        <v>1.5850961538461539</v>
      </c>
      <c r="G8" s="181">
        <f>Indata!H34</f>
        <v>1.8375000000000004</v>
      </c>
      <c r="H8" s="182">
        <f>Indata!I34</f>
        <v>1.5850961538461539</v>
      </c>
      <c r="I8" s="181">
        <f>Indata!J34</f>
        <v>1.8375000000000004</v>
      </c>
      <c r="K8" s="627"/>
      <c r="L8" s="118" t="s">
        <v>7</v>
      </c>
      <c r="M8" s="118" t="s">
        <v>177</v>
      </c>
      <c r="N8" s="180">
        <f>'Modell - Drivmedelpriser'!C74</f>
        <v>1.5850961538461539</v>
      </c>
      <c r="O8" s="181">
        <f>'Modell - Drivmedelpriser'!D74</f>
        <v>1.8375000000000004</v>
      </c>
      <c r="P8" s="180">
        <f>'Modell - Drivmedelpriser'!E74</f>
        <v>1.5850961538461539</v>
      </c>
      <c r="Q8" s="181">
        <f>'Modell - Drivmedelpriser'!F74</f>
        <v>1.8375000000000004</v>
      </c>
      <c r="R8" s="182">
        <f>'Modell - Drivmedelpriser'!G74</f>
        <v>1.5850961538461539</v>
      </c>
      <c r="S8" s="181">
        <f>'Modell - Drivmedelpriser'!H74</f>
        <v>1.8375000000000004</v>
      </c>
      <c r="U8" s="627"/>
      <c r="V8" s="118" t="s">
        <v>7</v>
      </c>
      <c r="W8" s="118" t="s">
        <v>177</v>
      </c>
      <c r="X8" s="180">
        <f t="shared" si="10"/>
        <v>1.5850961538461539</v>
      </c>
      <c r="Y8" s="181">
        <f t="shared" si="0"/>
        <v>1.8375000000000004</v>
      </c>
      <c r="Z8" s="180">
        <f t="shared" si="1"/>
        <v>1.5850961538461539</v>
      </c>
      <c r="AA8" s="181">
        <f t="shared" si="2"/>
        <v>1.8375000000000004</v>
      </c>
      <c r="AB8" s="182">
        <f t="shared" si="3"/>
        <v>1.5850961538461539</v>
      </c>
      <c r="AC8" s="181">
        <f t="shared" si="4"/>
        <v>1.8375000000000004</v>
      </c>
      <c r="AE8" s="627"/>
      <c r="AF8" s="118" t="s">
        <v>7</v>
      </c>
      <c r="AG8" s="118" t="s">
        <v>177</v>
      </c>
      <c r="AH8" s="180">
        <f t="shared" si="11"/>
        <v>1.5850961538461539</v>
      </c>
      <c r="AI8" s="181">
        <f t="shared" si="5"/>
        <v>1.8375000000000004</v>
      </c>
      <c r="AJ8" s="180">
        <f t="shared" si="6"/>
        <v>1.5850961538461539</v>
      </c>
      <c r="AK8" s="181">
        <f t="shared" si="7"/>
        <v>1.8375000000000004</v>
      </c>
      <c r="AL8" s="182">
        <f t="shared" si="8"/>
        <v>1.5850961538461539</v>
      </c>
      <c r="AM8" s="181">
        <f t="shared" si="9"/>
        <v>1.8375000000000004</v>
      </c>
    </row>
    <row r="9" spans="1:39" s="278" customFormat="1" x14ac:dyDescent="0.3">
      <c r="A9" s="627"/>
      <c r="B9" s="162" t="s">
        <v>20</v>
      </c>
      <c r="C9" s="162" t="s">
        <v>200</v>
      </c>
      <c r="D9" s="173">
        <f>Indata!E35</f>
        <v>17.239511419698804</v>
      </c>
      <c r="E9" s="174">
        <f>Indata!F35</f>
        <v>33.073420589753013</v>
      </c>
      <c r="F9" s="173">
        <f>Indata!G35</f>
        <v>17.239511419698804</v>
      </c>
      <c r="G9" s="174">
        <f>Indata!H35</f>
        <v>33.073420589753013</v>
      </c>
      <c r="H9" s="175">
        <f>Indata!I35</f>
        <v>17.239511419698804</v>
      </c>
      <c r="I9" s="174">
        <f>Indata!J35</f>
        <v>33.073420589753013</v>
      </c>
      <c r="K9" s="627"/>
      <c r="L9" s="162" t="s">
        <v>20</v>
      </c>
      <c r="M9" s="162" t="s">
        <v>200</v>
      </c>
      <c r="N9" s="283">
        <f>SUMPRODUCT(N6:N7,D18:D19)/SUM(D18:D19)</f>
        <v>17.239511419698804</v>
      </c>
      <c r="O9" s="284">
        <f t="shared" ref="O9:S9" si="12">SUMPRODUCT(O6:O7,E18:E19)/SUM(E18:E19)</f>
        <v>33.073420589753013</v>
      </c>
      <c r="P9" s="283">
        <f t="shared" si="12"/>
        <v>17.239511419698804</v>
      </c>
      <c r="Q9" s="284">
        <f t="shared" si="12"/>
        <v>33.073420589753013</v>
      </c>
      <c r="R9" s="285">
        <f t="shared" si="12"/>
        <v>17.239511419698804</v>
      </c>
      <c r="S9" s="284">
        <f t="shared" si="12"/>
        <v>33.073420589753013</v>
      </c>
      <c r="U9" s="627"/>
      <c r="V9" s="162" t="s">
        <v>20</v>
      </c>
      <c r="W9" s="162" t="s">
        <v>200</v>
      </c>
      <c r="X9" s="173">
        <f>SUMPRODUCT(X6:X7,X18:X19)/SUM(X18:X19)</f>
        <v>17.239511419698804</v>
      </c>
      <c r="Y9" s="174">
        <f t="shared" ref="Y9:AC9" si="13">SUMPRODUCT(Y6:Y7,Y18:Y19)/SUM(Y18:Y19)</f>
        <v>33.073420589753013</v>
      </c>
      <c r="Z9" s="173">
        <f t="shared" si="13"/>
        <v>17.239511419698804</v>
      </c>
      <c r="AA9" s="174">
        <f t="shared" si="13"/>
        <v>33.073420589753013</v>
      </c>
      <c r="AB9" s="175">
        <f t="shared" si="13"/>
        <v>17.239511419698804</v>
      </c>
      <c r="AC9" s="174">
        <f t="shared" si="13"/>
        <v>33.073420589753013</v>
      </c>
      <c r="AE9" s="627"/>
      <c r="AF9" s="162" t="s">
        <v>20</v>
      </c>
      <c r="AG9" s="162" t="s">
        <v>200</v>
      </c>
      <c r="AH9" s="173">
        <f>SUMPRODUCT(AH6:AH7,AH18:AH19)/SUM(AH18:AH19)</f>
        <v>17.239511419698804</v>
      </c>
      <c r="AI9" s="174">
        <f t="shared" ref="AI9:AM9" si="14">SUMPRODUCT(AI6:AI7,AI18:AI19)/SUM(AI18:AI19)</f>
        <v>33.073420589753013</v>
      </c>
      <c r="AJ9" s="173">
        <f t="shared" si="14"/>
        <v>17.239511419698804</v>
      </c>
      <c r="AK9" s="174">
        <f t="shared" si="14"/>
        <v>33.073420589753013</v>
      </c>
      <c r="AL9" s="175">
        <f t="shared" si="14"/>
        <v>17.239511419698804</v>
      </c>
      <c r="AM9" s="174">
        <f t="shared" si="14"/>
        <v>33.073420589753013</v>
      </c>
    </row>
    <row r="10" spans="1:39" ht="15" thickBot="1" x14ac:dyDescent="0.35">
      <c r="A10" s="628"/>
      <c r="B10" s="163" t="s">
        <v>225</v>
      </c>
      <c r="C10" s="163" t="s">
        <v>25</v>
      </c>
      <c r="D10" s="199" t="s">
        <v>72</v>
      </c>
      <c r="E10" s="200" t="s">
        <v>72</v>
      </c>
      <c r="F10" s="199" t="s">
        <v>72</v>
      </c>
      <c r="G10" s="200" t="s">
        <v>72</v>
      </c>
      <c r="H10" s="201" t="s">
        <v>72</v>
      </c>
      <c r="I10" s="200" t="s">
        <v>72</v>
      </c>
      <c r="K10" s="628"/>
      <c r="L10" s="163" t="s">
        <v>225</v>
      </c>
      <c r="M10" s="163" t="s">
        <v>25</v>
      </c>
      <c r="N10" s="199">
        <f t="shared" ref="N10:S10" si="15">N9/D9-1</f>
        <v>0</v>
      </c>
      <c r="O10" s="200">
        <f t="shared" si="15"/>
        <v>0</v>
      </c>
      <c r="P10" s="199">
        <f>P9/F9-1</f>
        <v>0</v>
      </c>
      <c r="Q10" s="200">
        <f t="shared" si="15"/>
        <v>0</v>
      </c>
      <c r="R10" s="201">
        <f t="shared" si="15"/>
        <v>0</v>
      </c>
      <c r="S10" s="200">
        <f t="shared" si="15"/>
        <v>0</v>
      </c>
      <c r="U10" s="628"/>
      <c r="V10" s="163" t="s">
        <v>225</v>
      </c>
      <c r="W10" s="163" t="s">
        <v>25</v>
      </c>
      <c r="X10" s="199">
        <f>X9/D9-1</f>
        <v>0</v>
      </c>
      <c r="Y10" s="200">
        <f t="shared" ref="Y10:AC10" si="16">Y9/E9-1</f>
        <v>0</v>
      </c>
      <c r="Z10" s="199">
        <f t="shared" si="16"/>
        <v>0</v>
      </c>
      <c r="AA10" s="200">
        <f t="shared" si="16"/>
        <v>0</v>
      </c>
      <c r="AB10" s="201">
        <f t="shared" si="16"/>
        <v>0</v>
      </c>
      <c r="AC10" s="200">
        <f t="shared" si="16"/>
        <v>0</v>
      </c>
      <c r="AE10" s="628"/>
      <c r="AF10" s="163" t="s">
        <v>225</v>
      </c>
      <c r="AG10" s="163" t="s">
        <v>25</v>
      </c>
      <c r="AH10" s="199">
        <f>AH9/D9-1</f>
        <v>0</v>
      </c>
      <c r="AI10" s="200">
        <f t="shared" ref="AI10:AM10" si="17">AI9/E9-1</f>
        <v>0</v>
      </c>
      <c r="AJ10" s="199">
        <f t="shared" si="17"/>
        <v>0</v>
      </c>
      <c r="AK10" s="200">
        <f t="shared" si="17"/>
        <v>0</v>
      </c>
      <c r="AL10" s="201">
        <f t="shared" si="17"/>
        <v>0</v>
      </c>
      <c r="AM10" s="200">
        <f t="shared" si="17"/>
        <v>0</v>
      </c>
    </row>
    <row r="11" spans="1:39" x14ac:dyDescent="0.3">
      <c r="D11" s="64"/>
      <c r="E11" s="64"/>
      <c r="F11" s="64"/>
      <c r="G11" s="64"/>
      <c r="H11" s="64"/>
      <c r="I11" s="64"/>
      <c r="N11" s="64"/>
      <c r="O11" s="64"/>
      <c r="P11" s="64"/>
      <c r="Q11" s="64"/>
      <c r="R11" s="64"/>
      <c r="S11" s="64"/>
      <c r="X11" s="64"/>
      <c r="Y11" s="64"/>
      <c r="Z11" s="64"/>
      <c r="AA11" s="64"/>
      <c r="AB11" s="64"/>
      <c r="AC11" s="64"/>
      <c r="AE11" s="28"/>
      <c r="AF11" s="28"/>
      <c r="AG11" s="28"/>
      <c r="AH11" s="64"/>
      <c r="AI11" s="64"/>
      <c r="AJ11" s="64"/>
      <c r="AK11" s="64"/>
      <c r="AL11" s="64"/>
      <c r="AM11" s="64"/>
    </row>
    <row r="12" spans="1:39" ht="15" thickBot="1" x14ac:dyDescent="0.35">
      <c r="A12" s="30" t="s">
        <v>74</v>
      </c>
      <c r="D12" s="176"/>
      <c r="E12" s="176"/>
      <c r="F12" s="176"/>
      <c r="G12" s="176"/>
      <c r="H12" s="176"/>
      <c r="I12" s="176"/>
      <c r="K12" s="30" t="s">
        <v>219</v>
      </c>
      <c r="N12" s="176"/>
      <c r="O12" s="176"/>
      <c r="P12" s="176"/>
      <c r="Q12" s="176"/>
      <c r="R12" s="176"/>
      <c r="S12" s="176"/>
      <c r="U12" s="30" t="s">
        <v>84</v>
      </c>
      <c r="X12" s="176"/>
      <c r="Y12" s="176"/>
      <c r="Z12" s="176"/>
      <c r="AA12" s="176"/>
      <c r="AB12" s="176"/>
      <c r="AC12" s="176"/>
      <c r="AE12" s="30" t="s">
        <v>147</v>
      </c>
      <c r="AF12" s="28"/>
      <c r="AG12" s="28"/>
      <c r="AH12" s="176"/>
      <c r="AI12" s="176"/>
      <c r="AJ12" s="176"/>
      <c r="AK12" s="176"/>
      <c r="AL12" s="176"/>
      <c r="AM12" s="176"/>
    </row>
    <row r="13" spans="1:39" ht="14.4" customHeight="1" x14ac:dyDescent="0.3">
      <c r="A13" s="626" t="s">
        <v>38</v>
      </c>
      <c r="B13" s="117" t="s">
        <v>8</v>
      </c>
      <c r="C13" s="117" t="s">
        <v>39</v>
      </c>
      <c r="D13" s="177">
        <f>Indata!E29</f>
        <v>0.54362786502111604</v>
      </c>
      <c r="E13" s="202">
        <f>Indata!F29</f>
        <v>0.59493869654716436</v>
      </c>
      <c r="F13" s="177">
        <f>Indata!G29</f>
        <v>0.54362786502111604</v>
      </c>
      <c r="G13" s="178">
        <f>Indata!H29</f>
        <v>0.59493869654716436</v>
      </c>
      <c r="H13" s="179">
        <f>Indata!I29</f>
        <v>0.54362786502111604</v>
      </c>
      <c r="I13" s="178">
        <f>Indata!J29</f>
        <v>0.59493869654716436</v>
      </c>
      <c r="K13" s="626" t="s">
        <v>38</v>
      </c>
      <c r="L13" s="117" t="s">
        <v>8</v>
      </c>
      <c r="M13" s="117" t="s">
        <v>39</v>
      </c>
      <c r="N13" s="177">
        <f>D13*(100%+N$10*'Indata - Effektsamband-Faktorer'!$D$5)*(1-Indata!E$19)</f>
        <v>0.54362786502111604</v>
      </c>
      <c r="O13" s="202">
        <f>E13*(100%+O$10*'Indata - Effektsamband-Faktorer'!$E$5)*(1-Indata!F$19)</f>
        <v>0.59493869654716436</v>
      </c>
      <c r="P13" s="177">
        <f>F13*(100%+P$10*'Indata - Effektsamband-Faktorer'!$D$5)*(1-Indata!G$19)</f>
        <v>0.54362786502111604</v>
      </c>
      <c r="Q13" s="178">
        <f>G13*(100%+Q$10*'Indata - Effektsamband-Faktorer'!$E$5)*(1-Indata!H$19)</f>
        <v>0.59493869654716436</v>
      </c>
      <c r="R13" s="179">
        <f>H13*(100%+R$10*'Indata - Effektsamband-Faktorer'!$D$5)*(1-Indata!I$19)</f>
        <v>0.54362786502111604</v>
      </c>
      <c r="S13" s="178">
        <f>I13*(100%+S$10*'Indata - Effektsamband-Faktorer'!$E$5)*(1-Indata!J$19)</f>
        <v>0.59493869654716436</v>
      </c>
      <c r="U13" s="626" t="s">
        <v>38</v>
      </c>
      <c r="V13" s="117" t="s">
        <v>8</v>
      </c>
      <c r="W13" s="117" t="s">
        <v>39</v>
      </c>
      <c r="X13" s="177">
        <f>N13</f>
        <v>0.54362786502111604</v>
      </c>
      <c r="Y13" s="202">
        <f t="shared" ref="Y13:Y15" si="18">O13</f>
        <v>0.59493869654716436</v>
      </c>
      <c r="Z13" s="177">
        <f t="shared" ref="Z13:Z15" si="19">P13</f>
        <v>0.54362786502111604</v>
      </c>
      <c r="AA13" s="178">
        <f t="shared" ref="AA13:AA15" si="20">Q13</f>
        <v>0.59493869654716436</v>
      </c>
      <c r="AB13" s="179">
        <f t="shared" ref="AB13:AB15" si="21">R13</f>
        <v>0.54362786502111604</v>
      </c>
      <c r="AC13" s="178">
        <f t="shared" ref="AC13:AC15" si="22">S13</f>
        <v>0.59493869654716436</v>
      </c>
      <c r="AE13" s="626" t="s">
        <v>38</v>
      </c>
      <c r="AF13" s="117" t="s">
        <v>8</v>
      </c>
      <c r="AG13" s="117" t="s">
        <v>39</v>
      </c>
      <c r="AH13" s="177">
        <f>X13</f>
        <v>0.54362786502111604</v>
      </c>
      <c r="AI13" s="202">
        <f t="shared" ref="AI13:AI15" si="23">Y13</f>
        <v>0.59493869654716436</v>
      </c>
      <c r="AJ13" s="177">
        <f t="shared" ref="AJ13:AJ15" si="24">Z13</f>
        <v>0.54362786502111604</v>
      </c>
      <c r="AK13" s="178">
        <f t="shared" ref="AK13:AK15" si="25">AA13</f>
        <v>0.59493869654716436</v>
      </c>
      <c r="AL13" s="179">
        <f t="shared" ref="AL13:AL15" si="26">AB13</f>
        <v>0.54362786502111604</v>
      </c>
      <c r="AM13" s="178">
        <f t="shared" ref="AM13:AM15" si="27">AC13</f>
        <v>0.59493869654716436</v>
      </c>
    </row>
    <row r="14" spans="1:39" x14ac:dyDescent="0.3">
      <c r="A14" s="627"/>
      <c r="B14" s="118" t="s">
        <v>9</v>
      </c>
      <c r="C14" s="118" t="s">
        <v>39</v>
      </c>
      <c r="D14" s="180">
        <f>Indata!E30</f>
        <v>0.71409907323874344</v>
      </c>
      <c r="E14" s="203">
        <f>Indata!F30</f>
        <v>0.73856511182227358</v>
      </c>
      <c r="F14" s="180">
        <f>Indata!G30</f>
        <v>0.71409907323874344</v>
      </c>
      <c r="G14" s="181">
        <f>Indata!H30</f>
        <v>0.73856511182227358</v>
      </c>
      <c r="H14" s="182">
        <f>Indata!I30</f>
        <v>0.71409907323874344</v>
      </c>
      <c r="I14" s="181">
        <f>Indata!J30</f>
        <v>0.73856511182227358</v>
      </c>
      <c r="K14" s="627"/>
      <c r="L14" s="118" t="s">
        <v>9</v>
      </c>
      <c r="M14" s="118" t="s">
        <v>39</v>
      </c>
      <c r="N14" s="180">
        <f>D14*(100%+N$10*'Indata - Effektsamband-Faktorer'!$D$5)*(1-Indata!E$19)</f>
        <v>0.71409907323874344</v>
      </c>
      <c r="O14" s="203">
        <f>E14*(100%+O$10*'Indata - Effektsamband-Faktorer'!$E$5)*(1-Indata!F$19)</f>
        <v>0.73856511182227358</v>
      </c>
      <c r="P14" s="180">
        <f>F14*(100%+P$10*'Indata - Effektsamband-Faktorer'!$D$5)*(1-Indata!G$19)</f>
        <v>0.71409907323874344</v>
      </c>
      <c r="Q14" s="181">
        <f>G14*(100%+Q$10*'Indata - Effektsamband-Faktorer'!$E$5)*(1-Indata!H$19)</f>
        <v>0.73856511182227358</v>
      </c>
      <c r="R14" s="182">
        <f>H14*(100%+R$10*'Indata - Effektsamband-Faktorer'!$D$5)*(1-Indata!I$19)</f>
        <v>0.71409907323874344</v>
      </c>
      <c r="S14" s="181">
        <f>I14*(100%+S$10*'Indata - Effektsamband-Faktorer'!$E$5)*(1-Indata!J$19)</f>
        <v>0.73856511182227358</v>
      </c>
      <c r="U14" s="627"/>
      <c r="V14" s="118" t="s">
        <v>9</v>
      </c>
      <c r="W14" s="118" t="s">
        <v>39</v>
      </c>
      <c r="X14" s="180">
        <f t="shared" ref="X14:X15" si="28">N14</f>
        <v>0.71409907323874344</v>
      </c>
      <c r="Y14" s="203">
        <f t="shared" si="18"/>
        <v>0.73856511182227358</v>
      </c>
      <c r="Z14" s="180">
        <f t="shared" si="19"/>
        <v>0.71409907323874344</v>
      </c>
      <c r="AA14" s="181">
        <f t="shared" si="20"/>
        <v>0.73856511182227358</v>
      </c>
      <c r="AB14" s="182">
        <f t="shared" si="21"/>
        <v>0.71409907323874344</v>
      </c>
      <c r="AC14" s="181">
        <f t="shared" si="22"/>
        <v>0.73856511182227358</v>
      </c>
      <c r="AE14" s="627"/>
      <c r="AF14" s="118" t="s">
        <v>9</v>
      </c>
      <c r="AG14" s="118" t="s">
        <v>39</v>
      </c>
      <c r="AH14" s="180">
        <f t="shared" ref="AH14:AH15" si="29">X14</f>
        <v>0.71409907323874344</v>
      </c>
      <c r="AI14" s="203">
        <f t="shared" si="23"/>
        <v>0.73856511182227358</v>
      </c>
      <c r="AJ14" s="180">
        <f t="shared" si="24"/>
        <v>0.71409907323874344</v>
      </c>
      <c r="AK14" s="181">
        <f t="shared" si="25"/>
        <v>0.73856511182227358</v>
      </c>
      <c r="AL14" s="182">
        <f t="shared" si="26"/>
        <v>0.71409907323874344</v>
      </c>
      <c r="AM14" s="181">
        <f t="shared" si="27"/>
        <v>0.73856511182227358</v>
      </c>
    </row>
    <row r="15" spans="1:39" ht="15" thickBot="1" x14ac:dyDescent="0.35">
      <c r="A15" s="628"/>
      <c r="B15" s="119" t="s">
        <v>7</v>
      </c>
      <c r="C15" s="119" t="s">
        <v>40</v>
      </c>
      <c r="D15" s="204">
        <f>Indata!E31</f>
        <v>2.3690591161723722</v>
      </c>
      <c r="E15" s="205">
        <f>Indata!F31</f>
        <v>2.3690591161723722</v>
      </c>
      <c r="F15" s="204">
        <f>Indata!G31</f>
        <v>2.3690591161723722</v>
      </c>
      <c r="G15" s="206">
        <f>Indata!H31</f>
        <v>2.3690591161723722</v>
      </c>
      <c r="H15" s="207">
        <f>Indata!I31</f>
        <v>2.3690591161723722</v>
      </c>
      <c r="I15" s="206">
        <f>Indata!J31</f>
        <v>2.3690591161723722</v>
      </c>
      <c r="K15" s="628"/>
      <c r="L15" s="119" t="s">
        <v>7</v>
      </c>
      <c r="M15" s="119" t="s">
        <v>40</v>
      </c>
      <c r="N15" s="204">
        <f>D15*(1-Indata!E$19)</f>
        <v>2.3690591161723722</v>
      </c>
      <c r="O15" s="205">
        <f>E15*(1-Indata!F$19)</f>
        <v>2.3690591161723722</v>
      </c>
      <c r="P15" s="204">
        <f>F15*(1-Indata!G$19)</f>
        <v>2.3690591161723722</v>
      </c>
      <c r="Q15" s="206">
        <f>G15*(1-Indata!H$19)</f>
        <v>2.3690591161723722</v>
      </c>
      <c r="R15" s="207">
        <f>H15*(1-Indata!I$19)</f>
        <v>2.3690591161723722</v>
      </c>
      <c r="S15" s="206">
        <f>I15*(1-Indata!J$19)</f>
        <v>2.3690591161723722</v>
      </c>
      <c r="U15" s="628"/>
      <c r="V15" s="119" t="s">
        <v>7</v>
      </c>
      <c r="W15" s="119" t="s">
        <v>40</v>
      </c>
      <c r="X15" s="204">
        <f t="shared" si="28"/>
        <v>2.3690591161723722</v>
      </c>
      <c r="Y15" s="205">
        <f t="shared" si="18"/>
        <v>2.3690591161723722</v>
      </c>
      <c r="Z15" s="204">
        <f t="shared" si="19"/>
        <v>2.3690591161723722</v>
      </c>
      <c r="AA15" s="206">
        <f t="shared" si="20"/>
        <v>2.3690591161723722</v>
      </c>
      <c r="AB15" s="207">
        <f t="shared" si="21"/>
        <v>2.3690591161723722</v>
      </c>
      <c r="AC15" s="206">
        <f t="shared" si="22"/>
        <v>2.3690591161723722</v>
      </c>
      <c r="AE15" s="628"/>
      <c r="AF15" s="119" t="s">
        <v>7</v>
      </c>
      <c r="AG15" s="119" t="s">
        <v>40</v>
      </c>
      <c r="AH15" s="204">
        <f t="shared" si="29"/>
        <v>2.3690591161723722</v>
      </c>
      <c r="AI15" s="205">
        <f t="shared" si="23"/>
        <v>2.3690591161723722</v>
      </c>
      <c r="AJ15" s="204">
        <f t="shared" si="24"/>
        <v>2.3690591161723722</v>
      </c>
      <c r="AK15" s="206">
        <f t="shared" si="25"/>
        <v>2.3690591161723722</v>
      </c>
      <c r="AL15" s="207">
        <f t="shared" si="26"/>
        <v>2.3690591161723722</v>
      </c>
      <c r="AM15" s="206">
        <f t="shared" si="27"/>
        <v>2.3690591161723722</v>
      </c>
    </row>
    <row r="16" spans="1:39" x14ac:dyDescent="0.3">
      <c r="D16" s="176"/>
      <c r="E16" s="176"/>
      <c r="F16" s="176"/>
      <c r="G16" s="176"/>
      <c r="H16" s="176"/>
      <c r="I16" s="176"/>
      <c r="N16" s="176"/>
      <c r="O16" s="176"/>
      <c r="P16" s="176"/>
      <c r="Q16" s="176"/>
      <c r="R16" s="176"/>
      <c r="S16" s="176"/>
      <c r="X16" s="176"/>
      <c r="Y16" s="176"/>
      <c r="Z16" s="176"/>
      <c r="AA16" s="176"/>
      <c r="AB16" s="176"/>
      <c r="AC16" s="176"/>
      <c r="AE16" s="28"/>
      <c r="AF16" s="28"/>
      <c r="AG16" s="28"/>
      <c r="AH16" s="176"/>
      <c r="AI16" s="176"/>
      <c r="AJ16" s="176"/>
      <c r="AK16" s="176"/>
      <c r="AL16" s="176"/>
      <c r="AM16" s="176"/>
    </row>
    <row r="17" spans="1:39" ht="15" thickBot="1" x14ac:dyDescent="0.35">
      <c r="A17" s="30" t="s">
        <v>77</v>
      </c>
      <c r="D17" s="187"/>
      <c r="E17" s="187"/>
      <c r="F17" s="187"/>
      <c r="G17" s="187"/>
      <c r="H17" s="187"/>
      <c r="I17" s="187"/>
      <c r="K17" s="30" t="s">
        <v>220</v>
      </c>
      <c r="N17" s="187"/>
      <c r="O17" s="187"/>
      <c r="P17" s="187"/>
      <c r="Q17" s="187"/>
      <c r="R17" s="187"/>
      <c r="S17" s="187"/>
      <c r="U17" s="30" t="s">
        <v>85</v>
      </c>
      <c r="X17" s="187"/>
      <c r="Y17" s="187"/>
      <c r="Z17" s="187"/>
      <c r="AA17" s="187"/>
      <c r="AB17" s="187"/>
      <c r="AC17" s="187"/>
      <c r="AE17" s="30" t="s">
        <v>148</v>
      </c>
      <c r="AF17" s="28"/>
      <c r="AG17" s="28"/>
      <c r="AH17" s="187"/>
      <c r="AI17" s="187"/>
      <c r="AJ17" s="187"/>
      <c r="AK17" s="187"/>
      <c r="AL17" s="187"/>
      <c r="AM17" s="187"/>
    </row>
    <row r="18" spans="1:39" ht="14.4" customHeight="1" x14ac:dyDescent="0.3">
      <c r="A18" s="613" t="s">
        <v>143</v>
      </c>
      <c r="B18" s="117" t="s">
        <v>8</v>
      </c>
      <c r="C18" s="117" t="s">
        <v>25</v>
      </c>
      <c r="D18" s="208">
        <f>Indata!E25/SUM(Indata!E$25:E$26)*(1-D$20)</f>
        <v>0.24248775393277414</v>
      </c>
      <c r="E18" s="209">
        <f>Indata!F25/SUM(Indata!F$25:F$26)*(1-E$20)</f>
        <v>3.4316374444473233E-2</v>
      </c>
      <c r="F18" s="208">
        <f>Indata!G25/SUM(Indata!G$25:G$26)*(1-F$20)</f>
        <v>0.24248775393277414</v>
      </c>
      <c r="G18" s="210">
        <f>Indata!H25/SUM(Indata!H$25:H$26)*(1-G$20)</f>
        <v>3.4316374444473233E-2</v>
      </c>
      <c r="H18" s="211">
        <f>Indata!I25/SUM(Indata!I$25:I$26)*(1-H$20)</f>
        <v>0.24248775393277414</v>
      </c>
      <c r="I18" s="210">
        <f>Indata!J25/SUM(Indata!J$25:J$26)*(1-I$20)</f>
        <v>3.4316374444473233E-2</v>
      </c>
      <c r="K18" s="613" t="s">
        <v>143</v>
      </c>
      <c r="L18" s="117" t="s">
        <v>8</v>
      </c>
      <c r="M18" s="117" t="s">
        <v>25</v>
      </c>
      <c r="N18" s="208">
        <f>D18/SUM(D$18:D$19)*(1-N$20)</f>
        <v>0.24248775393277414</v>
      </c>
      <c r="O18" s="209">
        <f t="shared" ref="N18:S19" si="30">E18/SUM(E$18:E$19)*(1-O$20)</f>
        <v>3.4316374444473233E-2</v>
      </c>
      <c r="P18" s="208">
        <f t="shared" si="30"/>
        <v>0.24248775393277414</v>
      </c>
      <c r="Q18" s="210">
        <f>G18/SUM(G$18:G$19)*(1-Q$20)</f>
        <v>3.4316374444473233E-2</v>
      </c>
      <c r="R18" s="211">
        <f t="shared" si="30"/>
        <v>0.24248775393277414</v>
      </c>
      <c r="S18" s="210">
        <f t="shared" si="30"/>
        <v>3.4316374444473233E-2</v>
      </c>
      <c r="U18" s="613" t="s">
        <v>143</v>
      </c>
      <c r="V18" s="117" t="s">
        <v>8</v>
      </c>
      <c r="W18" s="117" t="s">
        <v>25</v>
      </c>
      <c r="X18" s="208">
        <f>N18</f>
        <v>0.24248775393277414</v>
      </c>
      <c r="Y18" s="209">
        <f t="shared" ref="Y18:Y21" si="31">O18</f>
        <v>3.4316374444473233E-2</v>
      </c>
      <c r="Z18" s="208">
        <f t="shared" ref="Z18:Z21" si="32">P18</f>
        <v>0.24248775393277414</v>
      </c>
      <c r="AA18" s="210">
        <f t="shared" ref="AA18:AA21" si="33">Q18</f>
        <v>3.4316374444473233E-2</v>
      </c>
      <c r="AB18" s="211">
        <f t="shared" ref="AB18:AB21" si="34">R18</f>
        <v>0.24248775393277414</v>
      </c>
      <c r="AC18" s="210">
        <f t="shared" ref="AC18:AC21" si="35">S18</f>
        <v>3.4316374444473233E-2</v>
      </c>
      <c r="AE18" s="613" t="s">
        <v>143</v>
      </c>
      <c r="AF18" s="117" t="s">
        <v>8</v>
      </c>
      <c r="AG18" s="117" t="s">
        <v>25</v>
      </c>
      <c r="AH18" s="208">
        <f>X18</f>
        <v>0.24248775393277414</v>
      </c>
      <c r="AI18" s="209">
        <f t="shared" ref="AI18:AI21" si="36">Y18</f>
        <v>3.4316374444473233E-2</v>
      </c>
      <c r="AJ18" s="208">
        <f t="shared" ref="AJ18:AJ21" si="37">Z18</f>
        <v>0.24248775393277414</v>
      </c>
      <c r="AK18" s="210">
        <f t="shared" ref="AK18:AK21" si="38">AA18</f>
        <v>3.4316374444473233E-2</v>
      </c>
      <c r="AL18" s="211">
        <f t="shared" ref="AL18:AL21" si="39">AB18</f>
        <v>0.24248775393277414</v>
      </c>
      <c r="AM18" s="210">
        <f t="shared" ref="AM18:AM21" si="40">AC18</f>
        <v>3.4316374444473233E-2</v>
      </c>
    </row>
    <row r="19" spans="1:39" x14ac:dyDescent="0.3">
      <c r="A19" s="614"/>
      <c r="B19" s="118" t="s">
        <v>9</v>
      </c>
      <c r="C19" s="118" t="s">
        <v>25</v>
      </c>
      <c r="D19" s="212">
        <f>Indata!E26/SUM(Indata!E$25:E$26)*(1-D$20)</f>
        <v>0.29742343002945715</v>
      </c>
      <c r="E19" s="213">
        <f>Indata!F26/SUM(Indata!F$25:F$26)*(1-E$20)</f>
        <v>2.3768110670359766E-2</v>
      </c>
      <c r="F19" s="212">
        <f>Indata!G26/SUM(Indata!G$25:G$26)*(1-F$20)</f>
        <v>0.29742343002945715</v>
      </c>
      <c r="G19" s="214">
        <f>Indata!H26/SUM(Indata!H$25:H$26)*(1-G$20)</f>
        <v>2.3768110670359766E-2</v>
      </c>
      <c r="H19" s="215">
        <f>Indata!I26/SUM(Indata!I$25:I$26)*(1-H$20)</f>
        <v>0.29742343002945715</v>
      </c>
      <c r="I19" s="214">
        <f>Indata!J26/SUM(Indata!J$25:J$26)*(1-I$20)</f>
        <v>2.3768110670359766E-2</v>
      </c>
      <c r="K19" s="614"/>
      <c r="L19" s="118" t="s">
        <v>9</v>
      </c>
      <c r="M19" s="118" t="s">
        <v>25</v>
      </c>
      <c r="N19" s="212">
        <f t="shared" si="30"/>
        <v>0.29742343002945715</v>
      </c>
      <c r="O19" s="213">
        <f t="shared" si="30"/>
        <v>2.3768110670359766E-2</v>
      </c>
      <c r="P19" s="212">
        <f t="shared" si="30"/>
        <v>0.29742343002945715</v>
      </c>
      <c r="Q19" s="214">
        <f t="shared" si="30"/>
        <v>2.3768110670359766E-2</v>
      </c>
      <c r="R19" s="215">
        <f t="shared" si="30"/>
        <v>0.29742343002945715</v>
      </c>
      <c r="S19" s="214">
        <f t="shared" si="30"/>
        <v>2.3768110670359766E-2</v>
      </c>
      <c r="U19" s="614"/>
      <c r="V19" s="118" t="s">
        <v>9</v>
      </c>
      <c r="W19" s="118" t="s">
        <v>25</v>
      </c>
      <c r="X19" s="212">
        <f t="shared" ref="X19:X21" si="41">N19</f>
        <v>0.29742343002945715</v>
      </c>
      <c r="Y19" s="213">
        <f t="shared" si="31"/>
        <v>2.3768110670359766E-2</v>
      </c>
      <c r="Z19" s="212">
        <f t="shared" si="32"/>
        <v>0.29742343002945715</v>
      </c>
      <c r="AA19" s="214">
        <f t="shared" si="33"/>
        <v>2.3768110670359766E-2</v>
      </c>
      <c r="AB19" s="215">
        <f t="shared" si="34"/>
        <v>0.29742343002945715</v>
      </c>
      <c r="AC19" s="214">
        <f t="shared" si="35"/>
        <v>2.3768110670359766E-2</v>
      </c>
      <c r="AE19" s="614"/>
      <c r="AF19" s="118" t="s">
        <v>9</v>
      </c>
      <c r="AG19" s="118" t="s">
        <v>25</v>
      </c>
      <c r="AH19" s="212">
        <f t="shared" ref="AH19:AH21" si="42">X19</f>
        <v>0.29742343002945715</v>
      </c>
      <c r="AI19" s="213">
        <f t="shared" si="36"/>
        <v>2.3768110670359766E-2</v>
      </c>
      <c r="AJ19" s="212">
        <f t="shared" si="37"/>
        <v>0.29742343002945715</v>
      </c>
      <c r="AK19" s="214">
        <f t="shared" si="38"/>
        <v>2.3768110670359766E-2</v>
      </c>
      <c r="AL19" s="215">
        <f t="shared" si="39"/>
        <v>0.29742343002945715</v>
      </c>
      <c r="AM19" s="214">
        <f t="shared" si="40"/>
        <v>2.3768110670359766E-2</v>
      </c>
    </row>
    <row r="20" spans="1:39" x14ac:dyDescent="0.3">
      <c r="A20" s="614"/>
      <c r="B20" s="118" t="s">
        <v>7</v>
      </c>
      <c r="C20" s="118" t="s">
        <v>25</v>
      </c>
      <c r="D20" s="212">
        <f>Indata!E28</f>
        <v>0.46008881603776874</v>
      </c>
      <c r="E20" s="213">
        <f>Indata!F28</f>
        <v>0.941915514885167</v>
      </c>
      <c r="F20" s="212">
        <f>Indata!G28</f>
        <v>0.46008881603776874</v>
      </c>
      <c r="G20" s="214">
        <f>Indata!H28</f>
        <v>0.941915514885167</v>
      </c>
      <c r="H20" s="215">
        <f>Indata!I28</f>
        <v>0.46008881603776874</v>
      </c>
      <c r="I20" s="214">
        <f>Indata!J28</f>
        <v>0.941915514885167</v>
      </c>
      <c r="K20" s="614"/>
      <c r="L20" s="118" t="s">
        <v>7</v>
      </c>
      <c r="M20" s="118" t="s">
        <v>25</v>
      </c>
      <c r="N20" s="212">
        <f>D20+(1-D20)*'Indata - Effektsamband-Faktorer'!$D$4*N$10</f>
        <v>0.46008881603776874</v>
      </c>
      <c r="O20" s="213">
        <f>E20+(1-E20)*'Indata - Effektsamband-Faktorer'!$E$4*O$10</f>
        <v>0.941915514885167</v>
      </c>
      <c r="P20" s="212">
        <f>F20+(1-F20)*'Indata - Effektsamband-Faktorer'!$D$4*P$10</f>
        <v>0.46008881603776874</v>
      </c>
      <c r="Q20" s="214">
        <f>G20+(1-G20)*'Indata - Effektsamband-Faktorer'!$E$4*Q$10</f>
        <v>0.941915514885167</v>
      </c>
      <c r="R20" s="215">
        <f>H20+(1-H20)*'Indata - Effektsamband-Faktorer'!$D$4*R$10</f>
        <v>0.46008881603776874</v>
      </c>
      <c r="S20" s="214">
        <f>I20+(1-I20)*'Indata - Effektsamband-Faktorer'!$E$4*S$10</f>
        <v>0.941915514885167</v>
      </c>
      <c r="U20" s="614"/>
      <c r="V20" s="118" t="s">
        <v>7</v>
      </c>
      <c r="W20" s="118" t="s">
        <v>25</v>
      </c>
      <c r="X20" s="212">
        <f t="shared" si="41"/>
        <v>0.46008881603776874</v>
      </c>
      <c r="Y20" s="213">
        <f t="shared" si="31"/>
        <v>0.941915514885167</v>
      </c>
      <c r="Z20" s="212">
        <f t="shared" si="32"/>
        <v>0.46008881603776874</v>
      </c>
      <c r="AA20" s="214">
        <f t="shared" si="33"/>
        <v>0.941915514885167</v>
      </c>
      <c r="AB20" s="215">
        <f t="shared" si="34"/>
        <v>0.46008881603776874</v>
      </c>
      <c r="AC20" s="214">
        <f t="shared" si="35"/>
        <v>0.941915514885167</v>
      </c>
      <c r="AE20" s="614"/>
      <c r="AF20" s="118" t="s">
        <v>7</v>
      </c>
      <c r="AG20" s="118" t="s">
        <v>25</v>
      </c>
      <c r="AH20" s="212">
        <f t="shared" si="42"/>
        <v>0.46008881603776874</v>
      </c>
      <c r="AI20" s="213">
        <f t="shared" si="36"/>
        <v>0.941915514885167</v>
      </c>
      <c r="AJ20" s="212">
        <f t="shared" si="37"/>
        <v>0.46008881603776874</v>
      </c>
      <c r="AK20" s="214">
        <f t="shared" si="38"/>
        <v>0.941915514885167</v>
      </c>
      <c r="AL20" s="215">
        <f t="shared" si="39"/>
        <v>0.46008881603776874</v>
      </c>
      <c r="AM20" s="214">
        <f t="shared" si="40"/>
        <v>0.941915514885167</v>
      </c>
    </row>
    <row r="21" spans="1:39" s="278" customFormat="1" ht="15" thickBot="1" x14ac:dyDescent="0.35">
      <c r="A21" s="615"/>
      <c r="B21" s="164" t="s">
        <v>16</v>
      </c>
      <c r="C21" s="164" t="s">
        <v>25</v>
      </c>
      <c r="D21" s="188">
        <f t="shared" ref="D21:I21" si="43">SUM(D18:D20)</f>
        <v>1</v>
      </c>
      <c r="E21" s="189">
        <f t="shared" si="43"/>
        <v>1</v>
      </c>
      <c r="F21" s="188">
        <f>SUM(F18:F20)</f>
        <v>1</v>
      </c>
      <c r="G21" s="190">
        <f t="shared" si="43"/>
        <v>1</v>
      </c>
      <c r="H21" s="191">
        <f t="shared" si="43"/>
        <v>1</v>
      </c>
      <c r="I21" s="190">
        <f t="shared" si="43"/>
        <v>1</v>
      </c>
      <c r="K21" s="615"/>
      <c r="L21" s="164" t="s">
        <v>16</v>
      </c>
      <c r="M21" s="164" t="s">
        <v>25</v>
      </c>
      <c r="N21" s="188">
        <f>SUM(N18:N20)</f>
        <v>1</v>
      </c>
      <c r="O21" s="189">
        <f t="shared" ref="O21:S21" si="44">SUM(O18:O20)</f>
        <v>1</v>
      </c>
      <c r="P21" s="188">
        <f t="shared" si="44"/>
        <v>1</v>
      </c>
      <c r="Q21" s="190">
        <f t="shared" si="44"/>
        <v>1</v>
      </c>
      <c r="R21" s="191">
        <f t="shared" si="44"/>
        <v>1</v>
      </c>
      <c r="S21" s="190">
        <f t="shared" si="44"/>
        <v>1</v>
      </c>
      <c r="U21" s="615"/>
      <c r="V21" s="164" t="s">
        <v>16</v>
      </c>
      <c r="W21" s="164" t="s">
        <v>25</v>
      </c>
      <c r="X21" s="188">
        <f t="shared" si="41"/>
        <v>1</v>
      </c>
      <c r="Y21" s="189">
        <f t="shared" si="31"/>
        <v>1</v>
      </c>
      <c r="Z21" s="188">
        <f t="shared" si="32"/>
        <v>1</v>
      </c>
      <c r="AA21" s="190">
        <f t="shared" si="33"/>
        <v>1</v>
      </c>
      <c r="AB21" s="191">
        <f t="shared" si="34"/>
        <v>1</v>
      </c>
      <c r="AC21" s="190">
        <f t="shared" si="35"/>
        <v>1</v>
      </c>
      <c r="AE21" s="615"/>
      <c r="AF21" s="164" t="s">
        <v>16</v>
      </c>
      <c r="AG21" s="164" t="s">
        <v>25</v>
      </c>
      <c r="AH21" s="188">
        <f t="shared" si="42"/>
        <v>1</v>
      </c>
      <c r="AI21" s="189">
        <f t="shared" si="36"/>
        <v>1</v>
      </c>
      <c r="AJ21" s="188">
        <f t="shared" si="37"/>
        <v>1</v>
      </c>
      <c r="AK21" s="190">
        <f t="shared" si="38"/>
        <v>1</v>
      </c>
      <c r="AL21" s="191">
        <f t="shared" si="39"/>
        <v>1</v>
      </c>
      <c r="AM21" s="190">
        <f t="shared" si="40"/>
        <v>1</v>
      </c>
    </row>
    <row r="22" spans="1:39" x14ac:dyDescent="0.3">
      <c r="D22" s="176"/>
      <c r="E22" s="176"/>
      <c r="F22" s="176"/>
      <c r="G22" s="176"/>
      <c r="H22" s="176"/>
      <c r="I22" s="176"/>
      <c r="N22" s="176"/>
      <c r="O22" s="176"/>
      <c r="P22" s="176"/>
      <c r="Q22" s="176"/>
      <c r="R22" s="176"/>
      <c r="S22" s="176"/>
      <c r="X22" s="176"/>
      <c r="Y22" s="176"/>
      <c r="Z22" s="176"/>
      <c r="AA22" s="176"/>
      <c r="AB22" s="176"/>
      <c r="AC22" s="176"/>
      <c r="AE22" s="28"/>
      <c r="AF22" s="28"/>
      <c r="AG22" s="28"/>
      <c r="AH22" s="176"/>
      <c r="AI22" s="176"/>
      <c r="AJ22" s="176"/>
      <c r="AK22" s="176"/>
      <c r="AL22" s="176"/>
      <c r="AM22" s="176"/>
    </row>
    <row r="23" spans="1:39" ht="15" thickBot="1" x14ac:dyDescent="0.35">
      <c r="A23" s="30" t="s">
        <v>75</v>
      </c>
      <c r="D23" s="176"/>
      <c r="E23" s="176"/>
      <c r="F23" s="176"/>
      <c r="G23" s="176"/>
      <c r="H23" s="176"/>
      <c r="I23" s="176"/>
      <c r="K23" s="30" t="s">
        <v>153</v>
      </c>
      <c r="N23" s="176"/>
      <c r="O23" s="176"/>
      <c r="P23" s="176"/>
      <c r="Q23" s="176"/>
      <c r="R23" s="176"/>
      <c r="S23" s="176"/>
      <c r="U23" s="30" t="s">
        <v>86</v>
      </c>
      <c r="X23" s="176"/>
      <c r="Y23" s="176"/>
      <c r="Z23" s="176"/>
      <c r="AA23" s="176"/>
      <c r="AB23" s="176"/>
      <c r="AC23" s="176"/>
      <c r="AE23" s="30" t="s">
        <v>149</v>
      </c>
      <c r="AF23" s="28"/>
      <c r="AG23" s="28"/>
      <c r="AH23" s="176"/>
      <c r="AI23" s="176"/>
      <c r="AJ23" s="176"/>
      <c r="AK23" s="176"/>
      <c r="AL23" s="176"/>
      <c r="AM23" s="176"/>
    </row>
    <row r="24" spans="1:39" ht="14.4" customHeight="1" x14ac:dyDescent="0.3">
      <c r="A24" s="626" t="s">
        <v>21</v>
      </c>
      <c r="B24" s="117" t="s">
        <v>8</v>
      </c>
      <c r="C24" s="117" t="s">
        <v>68</v>
      </c>
      <c r="D24" s="177">
        <f>Indata!E$15*10</f>
        <v>0</v>
      </c>
      <c r="E24" s="202">
        <f>Indata!F$15*10</f>
        <v>0</v>
      </c>
      <c r="F24" s="177">
        <f>Indata!G$15*10</f>
        <v>0</v>
      </c>
      <c r="G24" s="178">
        <f>Indata!H$15*10</f>
        <v>0</v>
      </c>
      <c r="H24" s="179">
        <f>Indata!I$15*10</f>
        <v>0</v>
      </c>
      <c r="I24" s="178">
        <f>Indata!J$15*10</f>
        <v>0</v>
      </c>
      <c r="K24" s="626" t="s">
        <v>21</v>
      </c>
      <c r="L24" s="117" t="s">
        <v>8</v>
      </c>
      <c r="M24" s="117" t="s">
        <v>68</v>
      </c>
      <c r="N24" s="177">
        <f>D24</f>
        <v>0</v>
      </c>
      <c r="O24" s="202">
        <f t="shared" ref="O24:S24" si="45">E24</f>
        <v>0</v>
      </c>
      <c r="P24" s="177">
        <f t="shared" si="45"/>
        <v>0</v>
      </c>
      <c r="Q24" s="178">
        <f t="shared" si="45"/>
        <v>0</v>
      </c>
      <c r="R24" s="179">
        <f t="shared" si="45"/>
        <v>0</v>
      </c>
      <c r="S24" s="178">
        <f t="shared" si="45"/>
        <v>0</v>
      </c>
      <c r="U24" s="626" t="s">
        <v>21</v>
      </c>
      <c r="V24" s="117" t="s">
        <v>8</v>
      </c>
      <c r="W24" s="117" t="s">
        <v>68</v>
      </c>
      <c r="X24" s="177">
        <f>N24</f>
        <v>0</v>
      </c>
      <c r="Y24" s="202">
        <f t="shared" ref="Y24:Y26" si="46">O24</f>
        <v>0</v>
      </c>
      <c r="Z24" s="177">
        <f t="shared" ref="Z24:Z26" si="47">P24</f>
        <v>0</v>
      </c>
      <c r="AA24" s="178">
        <f t="shared" ref="AA24:AA26" si="48">Q24</f>
        <v>0</v>
      </c>
      <c r="AB24" s="179">
        <f t="shared" ref="AB24:AB26" si="49">R24</f>
        <v>0</v>
      </c>
      <c r="AC24" s="178">
        <f t="shared" ref="AC24:AC26" si="50">S24</f>
        <v>0</v>
      </c>
      <c r="AE24" s="626" t="s">
        <v>21</v>
      </c>
      <c r="AF24" s="117" t="s">
        <v>8</v>
      </c>
      <c r="AG24" s="117" t="s">
        <v>68</v>
      </c>
      <c r="AH24" s="177">
        <f>X24</f>
        <v>0</v>
      </c>
      <c r="AI24" s="202">
        <f t="shared" ref="AI24:AI26" si="51">Y24</f>
        <v>0</v>
      </c>
      <c r="AJ24" s="177">
        <f t="shared" ref="AJ24:AJ26" si="52">Z24</f>
        <v>0</v>
      </c>
      <c r="AK24" s="178">
        <f t="shared" ref="AK24:AK26" si="53">AA24</f>
        <v>0</v>
      </c>
      <c r="AL24" s="179">
        <f t="shared" ref="AL24:AL26" si="54">AB24</f>
        <v>0</v>
      </c>
      <c r="AM24" s="178">
        <f t="shared" ref="AM24:AM26" si="55">AC24</f>
        <v>0</v>
      </c>
    </row>
    <row r="25" spans="1:39" x14ac:dyDescent="0.3">
      <c r="A25" s="627"/>
      <c r="B25" s="118" t="s">
        <v>9</v>
      </c>
      <c r="C25" s="118" t="s">
        <v>68</v>
      </c>
      <c r="D25" s="180">
        <f>Indata!E$15*10</f>
        <v>0</v>
      </c>
      <c r="E25" s="203">
        <f>Indata!F$15*10</f>
        <v>0</v>
      </c>
      <c r="F25" s="180">
        <f>Indata!G$15*10</f>
        <v>0</v>
      </c>
      <c r="G25" s="181">
        <f>Indata!H$15*10</f>
        <v>0</v>
      </c>
      <c r="H25" s="182">
        <f>Indata!I$15*10</f>
        <v>0</v>
      </c>
      <c r="I25" s="181">
        <f>Indata!J$15*10</f>
        <v>0</v>
      </c>
      <c r="K25" s="627"/>
      <c r="L25" s="118" t="s">
        <v>9</v>
      </c>
      <c r="M25" s="118" t="s">
        <v>68</v>
      </c>
      <c r="N25" s="180">
        <f t="shared" ref="N25:N26" si="56">D25</f>
        <v>0</v>
      </c>
      <c r="O25" s="203">
        <f t="shared" ref="O25:O26" si="57">E25</f>
        <v>0</v>
      </c>
      <c r="P25" s="180">
        <f t="shared" ref="P25:P26" si="58">F25</f>
        <v>0</v>
      </c>
      <c r="Q25" s="181">
        <f t="shared" ref="Q25:Q26" si="59">G25</f>
        <v>0</v>
      </c>
      <c r="R25" s="182">
        <f t="shared" ref="R25:R26" si="60">H25</f>
        <v>0</v>
      </c>
      <c r="S25" s="181">
        <f t="shared" ref="S25:S26" si="61">I25</f>
        <v>0</v>
      </c>
      <c r="U25" s="627"/>
      <c r="V25" s="118" t="s">
        <v>9</v>
      </c>
      <c r="W25" s="118" t="s">
        <v>68</v>
      </c>
      <c r="X25" s="180">
        <f t="shared" ref="X25:X26" si="62">N25</f>
        <v>0</v>
      </c>
      <c r="Y25" s="203">
        <f t="shared" si="46"/>
        <v>0</v>
      </c>
      <c r="Z25" s="180">
        <f t="shared" si="47"/>
        <v>0</v>
      </c>
      <c r="AA25" s="181">
        <f t="shared" si="48"/>
        <v>0</v>
      </c>
      <c r="AB25" s="182">
        <f t="shared" si="49"/>
        <v>0</v>
      </c>
      <c r="AC25" s="181">
        <f t="shared" si="50"/>
        <v>0</v>
      </c>
      <c r="AE25" s="627"/>
      <c r="AF25" s="118" t="s">
        <v>9</v>
      </c>
      <c r="AG25" s="118" t="s">
        <v>68</v>
      </c>
      <c r="AH25" s="180">
        <f t="shared" ref="AH25:AH26" si="63">X25</f>
        <v>0</v>
      </c>
      <c r="AI25" s="203">
        <f t="shared" si="51"/>
        <v>0</v>
      </c>
      <c r="AJ25" s="180">
        <f t="shared" si="52"/>
        <v>0</v>
      </c>
      <c r="AK25" s="181">
        <f t="shared" si="53"/>
        <v>0</v>
      </c>
      <c r="AL25" s="182">
        <f t="shared" si="54"/>
        <v>0</v>
      </c>
      <c r="AM25" s="181">
        <f t="shared" si="55"/>
        <v>0</v>
      </c>
    </row>
    <row r="26" spans="1:39" ht="15" thickBot="1" x14ac:dyDescent="0.35">
      <c r="A26" s="628"/>
      <c r="B26" s="119" t="s">
        <v>7</v>
      </c>
      <c r="C26" s="119" t="s">
        <v>68</v>
      </c>
      <c r="D26" s="204">
        <f>Indata!E$15*10</f>
        <v>0</v>
      </c>
      <c r="E26" s="205">
        <f>Indata!F$15*10</f>
        <v>0</v>
      </c>
      <c r="F26" s="204">
        <f>Indata!G$15*10</f>
        <v>0</v>
      </c>
      <c r="G26" s="206">
        <f>Indata!H$15*10</f>
        <v>0</v>
      </c>
      <c r="H26" s="207">
        <f>Indata!I$15*10</f>
        <v>0</v>
      </c>
      <c r="I26" s="206">
        <f>Indata!J$15*10</f>
        <v>0</v>
      </c>
      <c r="K26" s="628"/>
      <c r="L26" s="119" t="s">
        <v>7</v>
      </c>
      <c r="M26" s="119" t="s">
        <v>68</v>
      </c>
      <c r="N26" s="204">
        <f t="shared" si="56"/>
        <v>0</v>
      </c>
      <c r="O26" s="205">
        <f t="shared" si="57"/>
        <v>0</v>
      </c>
      <c r="P26" s="204">
        <f t="shared" si="58"/>
        <v>0</v>
      </c>
      <c r="Q26" s="206">
        <f t="shared" si="59"/>
        <v>0</v>
      </c>
      <c r="R26" s="207">
        <f t="shared" si="60"/>
        <v>0</v>
      </c>
      <c r="S26" s="206">
        <f t="shared" si="61"/>
        <v>0</v>
      </c>
      <c r="U26" s="628"/>
      <c r="V26" s="119" t="s">
        <v>7</v>
      </c>
      <c r="W26" s="119" t="s">
        <v>68</v>
      </c>
      <c r="X26" s="204">
        <f t="shared" si="62"/>
        <v>0</v>
      </c>
      <c r="Y26" s="205">
        <f t="shared" si="46"/>
        <v>0</v>
      </c>
      <c r="Z26" s="204">
        <f t="shared" si="47"/>
        <v>0</v>
      </c>
      <c r="AA26" s="206">
        <f t="shared" si="48"/>
        <v>0</v>
      </c>
      <c r="AB26" s="207">
        <f t="shared" si="49"/>
        <v>0</v>
      </c>
      <c r="AC26" s="206">
        <f t="shared" si="50"/>
        <v>0</v>
      </c>
      <c r="AE26" s="628"/>
      <c r="AF26" s="119" t="s">
        <v>7</v>
      </c>
      <c r="AG26" s="119" t="s">
        <v>68</v>
      </c>
      <c r="AH26" s="204">
        <f t="shared" si="63"/>
        <v>0</v>
      </c>
      <c r="AI26" s="205">
        <f t="shared" si="51"/>
        <v>0</v>
      </c>
      <c r="AJ26" s="204">
        <f t="shared" si="52"/>
        <v>0</v>
      </c>
      <c r="AK26" s="206">
        <f t="shared" si="53"/>
        <v>0</v>
      </c>
      <c r="AL26" s="207">
        <f t="shared" si="54"/>
        <v>0</v>
      </c>
      <c r="AM26" s="206">
        <f t="shared" si="55"/>
        <v>0</v>
      </c>
    </row>
    <row r="27" spans="1:39" x14ac:dyDescent="0.3">
      <c r="A27" s="14"/>
      <c r="B27" s="14"/>
      <c r="C27" s="14"/>
      <c r="D27" s="192"/>
      <c r="E27" s="192"/>
      <c r="F27" s="192"/>
      <c r="G27" s="192"/>
      <c r="H27" s="192"/>
      <c r="I27" s="192"/>
      <c r="K27" s="14"/>
      <c r="L27" s="14"/>
      <c r="M27" s="14"/>
      <c r="N27" s="192"/>
      <c r="O27" s="192"/>
      <c r="P27" s="192"/>
      <c r="Q27" s="192"/>
      <c r="R27" s="192"/>
      <c r="S27" s="192"/>
      <c r="U27" s="14"/>
      <c r="V27" s="14"/>
      <c r="W27" s="14"/>
      <c r="X27" s="192"/>
      <c r="Y27" s="192"/>
      <c r="Z27" s="192"/>
      <c r="AA27" s="192"/>
      <c r="AB27" s="192"/>
      <c r="AC27" s="192"/>
      <c r="AH27" s="192"/>
      <c r="AI27" s="192"/>
      <c r="AJ27" s="192"/>
      <c r="AK27" s="192"/>
      <c r="AL27" s="192"/>
      <c r="AM27" s="192"/>
    </row>
    <row r="28" spans="1:39" ht="15" thickBot="1" x14ac:dyDescent="0.35">
      <c r="A28" s="30" t="s">
        <v>76</v>
      </c>
      <c r="D28" s="176"/>
      <c r="E28" s="176"/>
      <c r="F28" s="176"/>
      <c r="G28" s="176"/>
      <c r="H28" s="176"/>
      <c r="I28" s="176"/>
      <c r="K28" s="30" t="s">
        <v>154</v>
      </c>
      <c r="N28" s="176"/>
      <c r="O28" s="176"/>
      <c r="P28" s="176"/>
      <c r="Q28" s="176"/>
      <c r="R28" s="176"/>
      <c r="S28" s="176"/>
      <c r="U28" s="30" t="s">
        <v>81</v>
      </c>
      <c r="X28" s="176"/>
      <c r="Y28" s="176"/>
      <c r="Z28" s="176"/>
      <c r="AA28" s="176"/>
      <c r="AB28" s="176"/>
      <c r="AC28" s="176"/>
      <c r="AE28" s="30" t="s">
        <v>150</v>
      </c>
      <c r="AF28" s="28"/>
      <c r="AG28" s="28"/>
      <c r="AH28" s="176"/>
      <c r="AI28" s="176"/>
      <c r="AJ28" s="176"/>
      <c r="AK28" s="176"/>
      <c r="AL28" s="176"/>
      <c r="AM28" s="176"/>
    </row>
    <row r="29" spans="1:39" ht="14.4" customHeight="1" x14ac:dyDescent="0.3">
      <c r="A29" s="626" t="s">
        <v>69</v>
      </c>
      <c r="B29" s="117" t="s">
        <v>8</v>
      </c>
      <c r="C29" s="117" t="s">
        <v>68</v>
      </c>
      <c r="D29" s="177">
        <f>Indata!E$36</f>
        <v>10.009999999999998</v>
      </c>
      <c r="E29" s="202">
        <f>Indata!F$36</f>
        <v>10.009999999999998</v>
      </c>
      <c r="F29" s="177">
        <f>Indata!G$36</f>
        <v>10.009999999999998</v>
      </c>
      <c r="G29" s="178">
        <f>Indata!H$36</f>
        <v>10.009999999999998</v>
      </c>
      <c r="H29" s="179">
        <f>Indata!I$36</f>
        <v>10.009999999999998</v>
      </c>
      <c r="I29" s="178">
        <f>Indata!J$36</f>
        <v>10.009999999999998</v>
      </c>
      <c r="K29" s="626" t="s">
        <v>69</v>
      </c>
      <c r="L29" s="117" t="s">
        <v>8</v>
      </c>
      <c r="M29" s="117" t="s">
        <v>68</v>
      </c>
      <c r="N29" s="177">
        <f>D29</f>
        <v>10.009999999999998</v>
      </c>
      <c r="O29" s="202">
        <f t="shared" ref="O29:O31" si="64">E29</f>
        <v>10.009999999999998</v>
      </c>
      <c r="P29" s="177">
        <f t="shared" ref="P29:P31" si="65">F29</f>
        <v>10.009999999999998</v>
      </c>
      <c r="Q29" s="178">
        <f t="shared" ref="Q29:Q31" si="66">G29</f>
        <v>10.009999999999998</v>
      </c>
      <c r="R29" s="179">
        <f t="shared" ref="R29:R31" si="67">H29</f>
        <v>10.009999999999998</v>
      </c>
      <c r="S29" s="178">
        <f t="shared" ref="S29:S31" si="68">I29</f>
        <v>10.009999999999998</v>
      </c>
      <c r="U29" s="626" t="s">
        <v>69</v>
      </c>
      <c r="V29" s="117" t="s">
        <v>8</v>
      </c>
      <c r="W29" s="117" t="s">
        <v>68</v>
      </c>
      <c r="X29" s="177">
        <f>N29</f>
        <v>10.009999999999998</v>
      </c>
      <c r="Y29" s="202">
        <f t="shared" ref="Y29:Y31" si="69">O29</f>
        <v>10.009999999999998</v>
      </c>
      <c r="Z29" s="177">
        <f t="shared" ref="Z29:Z31" si="70">P29</f>
        <v>10.009999999999998</v>
      </c>
      <c r="AA29" s="178">
        <f t="shared" ref="AA29:AA31" si="71">Q29</f>
        <v>10.009999999999998</v>
      </c>
      <c r="AB29" s="179">
        <f t="shared" ref="AB29:AB31" si="72">R29</f>
        <v>10.009999999999998</v>
      </c>
      <c r="AC29" s="178">
        <f t="shared" ref="AC29:AC31" si="73">S29</f>
        <v>10.009999999999998</v>
      </c>
      <c r="AE29" s="626" t="s">
        <v>69</v>
      </c>
      <c r="AF29" s="117" t="s">
        <v>8</v>
      </c>
      <c r="AG29" s="117" t="s">
        <v>68</v>
      </c>
      <c r="AH29" s="177">
        <f>X29</f>
        <v>10.009999999999998</v>
      </c>
      <c r="AI29" s="202">
        <f t="shared" ref="AI29:AI31" si="74">Y29</f>
        <v>10.009999999999998</v>
      </c>
      <c r="AJ29" s="177">
        <f t="shared" ref="AJ29:AJ31" si="75">Z29</f>
        <v>10.009999999999998</v>
      </c>
      <c r="AK29" s="178">
        <f t="shared" ref="AK29:AK31" si="76">AA29</f>
        <v>10.009999999999998</v>
      </c>
      <c r="AL29" s="179">
        <f t="shared" ref="AL29:AL31" si="77">AB29</f>
        <v>10.009999999999998</v>
      </c>
      <c r="AM29" s="178">
        <f t="shared" ref="AM29:AM31" si="78">AC29</f>
        <v>10.009999999999998</v>
      </c>
    </row>
    <row r="30" spans="1:39" x14ac:dyDescent="0.3">
      <c r="A30" s="627"/>
      <c r="B30" s="118" t="s">
        <v>9</v>
      </c>
      <c r="C30" s="118" t="s">
        <v>68</v>
      </c>
      <c r="D30" s="180">
        <f>Indata!E$36</f>
        <v>10.009999999999998</v>
      </c>
      <c r="E30" s="203">
        <f>Indata!F$36</f>
        <v>10.009999999999998</v>
      </c>
      <c r="F30" s="180">
        <f>Indata!G$36</f>
        <v>10.009999999999998</v>
      </c>
      <c r="G30" s="181">
        <f>Indata!H$36</f>
        <v>10.009999999999998</v>
      </c>
      <c r="H30" s="182">
        <f>Indata!I$36</f>
        <v>10.009999999999998</v>
      </c>
      <c r="I30" s="181">
        <f>Indata!J$36</f>
        <v>10.009999999999998</v>
      </c>
      <c r="K30" s="627"/>
      <c r="L30" s="118" t="s">
        <v>9</v>
      </c>
      <c r="M30" s="118" t="s">
        <v>68</v>
      </c>
      <c r="N30" s="180">
        <f t="shared" ref="N30" si="79">D30</f>
        <v>10.009999999999998</v>
      </c>
      <c r="O30" s="203">
        <f t="shared" si="64"/>
        <v>10.009999999999998</v>
      </c>
      <c r="P30" s="180">
        <f t="shared" si="65"/>
        <v>10.009999999999998</v>
      </c>
      <c r="Q30" s="181">
        <f t="shared" si="66"/>
        <v>10.009999999999998</v>
      </c>
      <c r="R30" s="182">
        <f t="shared" si="67"/>
        <v>10.009999999999998</v>
      </c>
      <c r="S30" s="181">
        <f t="shared" si="68"/>
        <v>10.009999999999998</v>
      </c>
      <c r="U30" s="627"/>
      <c r="V30" s="118" t="s">
        <v>9</v>
      </c>
      <c r="W30" s="118" t="s">
        <v>68</v>
      </c>
      <c r="X30" s="180">
        <f t="shared" ref="X30:X31" si="80">N30</f>
        <v>10.009999999999998</v>
      </c>
      <c r="Y30" s="203">
        <f t="shared" si="69"/>
        <v>10.009999999999998</v>
      </c>
      <c r="Z30" s="180">
        <f t="shared" si="70"/>
        <v>10.009999999999998</v>
      </c>
      <c r="AA30" s="181">
        <f t="shared" si="71"/>
        <v>10.009999999999998</v>
      </c>
      <c r="AB30" s="182">
        <f t="shared" si="72"/>
        <v>10.009999999999998</v>
      </c>
      <c r="AC30" s="181">
        <f t="shared" si="73"/>
        <v>10.009999999999998</v>
      </c>
      <c r="AE30" s="627"/>
      <c r="AF30" s="118" t="s">
        <v>9</v>
      </c>
      <c r="AG30" s="118" t="s">
        <v>68</v>
      </c>
      <c r="AH30" s="180">
        <f t="shared" ref="AH30:AH31" si="81">X30</f>
        <v>10.009999999999998</v>
      </c>
      <c r="AI30" s="203">
        <f t="shared" si="74"/>
        <v>10.009999999999998</v>
      </c>
      <c r="AJ30" s="180">
        <f t="shared" si="75"/>
        <v>10.009999999999998</v>
      </c>
      <c r="AK30" s="181">
        <f t="shared" si="76"/>
        <v>10.009999999999998</v>
      </c>
      <c r="AL30" s="182">
        <f t="shared" si="77"/>
        <v>10.009999999999998</v>
      </c>
      <c r="AM30" s="181">
        <f t="shared" si="78"/>
        <v>10.009999999999998</v>
      </c>
    </row>
    <row r="31" spans="1:39" ht="15" thickBot="1" x14ac:dyDescent="0.35">
      <c r="A31" s="628"/>
      <c r="B31" s="119" t="s">
        <v>7</v>
      </c>
      <c r="C31" s="119" t="s">
        <v>68</v>
      </c>
      <c r="D31" s="204">
        <f>Indata!E$36</f>
        <v>10.009999999999998</v>
      </c>
      <c r="E31" s="205">
        <f>Indata!F$36</f>
        <v>10.009999999999998</v>
      </c>
      <c r="F31" s="204">
        <f>Indata!G$36</f>
        <v>10.009999999999998</v>
      </c>
      <c r="G31" s="206">
        <f>Indata!H$36</f>
        <v>10.009999999999998</v>
      </c>
      <c r="H31" s="207">
        <f>Indata!I$36</f>
        <v>10.009999999999998</v>
      </c>
      <c r="I31" s="206">
        <f>Indata!J$36</f>
        <v>10.009999999999998</v>
      </c>
      <c r="K31" s="628"/>
      <c r="L31" s="119" t="s">
        <v>7</v>
      </c>
      <c r="M31" s="119" t="s">
        <v>68</v>
      </c>
      <c r="N31" s="204">
        <f>D31</f>
        <v>10.009999999999998</v>
      </c>
      <c r="O31" s="205">
        <f t="shared" si="64"/>
        <v>10.009999999999998</v>
      </c>
      <c r="P31" s="204">
        <f t="shared" si="65"/>
        <v>10.009999999999998</v>
      </c>
      <c r="Q31" s="206">
        <f t="shared" si="66"/>
        <v>10.009999999999998</v>
      </c>
      <c r="R31" s="207">
        <f t="shared" si="67"/>
        <v>10.009999999999998</v>
      </c>
      <c r="S31" s="206">
        <f t="shared" si="68"/>
        <v>10.009999999999998</v>
      </c>
      <c r="U31" s="628"/>
      <c r="V31" s="119" t="s">
        <v>7</v>
      </c>
      <c r="W31" s="119" t="s">
        <v>68</v>
      </c>
      <c r="X31" s="204">
        <f t="shared" si="80"/>
        <v>10.009999999999998</v>
      </c>
      <c r="Y31" s="205">
        <f t="shared" si="69"/>
        <v>10.009999999999998</v>
      </c>
      <c r="Z31" s="204">
        <f t="shared" si="70"/>
        <v>10.009999999999998</v>
      </c>
      <c r="AA31" s="206">
        <f t="shared" si="71"/>
        <v>10.009999999999998</v>
      </c>
      <c r="AB31" s="207">
        <f t="shared" si="72"/>
        <v>10.009999999999998</v>
      </c>
      <c r="AC31" s="206">
        <f t="shared" si="73"/>
        <v>10.009999999999998</v>
      </c>
      <c r="AE31" s="628"/>
      <c r="AF31" s="119" t="s">
        <v>7</v>
      </c>
      <c r="AG31" s="119" t="s">
        <v>68</v>
      </c>
      <c r="AH31" s="204">
        <f t="shared" si="81"/>
        <v>10.009999999999998</v>
      </c>
      <c r="AI31" s="205">
        <f t="shared" si="74"/>
        <v>10.009999999999998</v>
      </c>
      <c r="AJ31" s="204">
        <f t="shared" si="75"/>
        <v>10.009999999999998</v>
      </c>
      <c r="AK31" s="206">
        <f t="shared" si="76"/>
        <v>10.009999999999998</v>
      </c>
      <c r="AL31" s="207">
        <f t="shared" si="77"/>
        <v>10.009999999999998</v>
      </c>
      <c r="AM31" s="206">
        <f t="shared" si="78"/>
        <v>10.009999999999998</v>
      </c>
    </row>
    <row r="32" spans="1:39" x14ac:dyDescent="0.3">
      <c r="A32" s="14"/>
      <c r="B32" s="14"/>
      <c r="C32" s="14"/>
      <c r="D32" s="192"/>
      <c r="E32" s="192"/>
      <c r="F32" s="192"/>
      <c r="G32" s="192"/>
      <c r="H32" s="192"/>
      <c r="I32" s="192"/>
      <c r="K32" s="14"/>
      <c r="L32" s="14"/>
      <c r="M32" s="14"/>
      <c r="N32" s="192"/>
      <c r="O32" s="192"/>
      <c r="P32" s="192"/>
      <c r="Q32" s="192"/>
      <c r="R32" s="192"/>
      <c r="S32" s="192"/>
      <c r="U32" s="14"/>
      <c r="V32" s="14"/>
      <c r="W32" s="14"/>
      <c r="X32" s="192"/>
      <c r="Y32" s="192"/>
      <c r="Z32" s="192"/>
      <c r="AA32" s="192"/>
      <c r="AB32" s="192"/>
      <c r="AC32" s="192"/>
      <c r="AH32" s="192"/>
      <c r="AI32" s="192"/>
      <c r="AJ32" s="192"/>
      <c r="AK32" s="192"/>
      <c r="AL32" s="192"/>
      <c r="AM32" s="192"/>
    </row>
    <row r="33" spans="1:39" ht="15" thickBot="1" x14ac:dyDescent="0.35">
      <c r="A33" s="30" t="s">
        <v>78</v>
      </c>
      <c r="D33" s="64"/>
      <c r="E33" s="64"/>
      <c r="F33" s="64"/>
      <c r="G33" s="64"/>
      <c r="H33" s="64"/>
      <c r="I33" s="64"/>
      <c r="K33" s="353" t="s">
        <v>221</v>
      </c>
      <c r="L33" s="354"/>
      <c r="M33" s="354"/>
      <c r="N33" s="357"/>
      <c r="O33" s="357"/>
      <c r="P33" s="64"/>
      <c r="Q33" s="64"/>
      <c r="R33" s="64"/>
      <c r="S33" s="64"/>
      <c r="U33" s="30" t="s">
        <v>222</v>
      </c>
      <c r="X33" s="64"/>
      <c r="Y33" s="64"/>
      <c r="Z33" s="64"/>
      <c r="AA33" s="64"/>
      <c r="AB33" s="64"/>
      <c r="AC33" s="64"/>
      <c r="AE33" s="30" t="s">
        <v>223</v>
      </c>
      <c r="AF33" s="28"/>
      <c r="AG33" s="28"/>
      <c r="AH33" s="64"/>
      <c r="AI33" s="64"/>
      <c r="AJ33" s="64"/>
      <c r="AK33" s="64"/>
      <c r="AL33" s="64"/>
      <c r="AM33" s="64"/>
    </row>
    <row r="34" spans="1:39" x14ac:dyDescent="0.3">
      <c r="A34" s="613" t="s">
        <v>17</v>
      </c>
      <c r="B34" s="117" t="s">
        <v>8</v>
      </c>
      <c r="C34" s="117" t="s">
        <v>36</v>
      </c>
      <c r="D34" s="220">
        <f>D18*D$37</f>
        <v>23.337720054121423</v>
      </c>
      <c r="E34" s="221">
        <f t="shared" ref="D34:I36" si="82">E18*E$37</f>
        <v>3.8029853605781585</v>
      </c>
      <c r="F34" s="220">
        <f t="shared" si="82"/>
        <v>23.337720054121423</v>
      </c>
      <c r="G34" s="221">
        <f t="shared" si="82"/>
        <v>3.8029853605781585</v>
      </c>
      <c r="H34" s="222">
        <f t="shared" si="82"/>
        <v>23.337720054121423</v>
      </c>
      <c r="I34" s="221">
        <f t="shared" si="82"/>
        <v>3.8029853605781585</v>
      </c>
      <c r="K34" s="613" t="s">
        <v>17</v>
      </c>
      <c r="L34" s="117" t="s">
        <v>8</v>
      </c>
      <c r="M34" s="117" t="s">
        <v>36</v>
      </c>
      <c r="N34" s="220">
        <f>N18*N$37</f>
        <v>23.337720054121423</v>
      </c>
      <c r="O34" s="221">
        <f t="shared" ref="O34:S34" si="83">O18*O$37</f>
        <v>3.8029853605781585</v>
      </c>
      <c r="P34" s="220">
        <f t="shared" si="83"/>
        <v>23.337720054121423</v>
      </c>
      <c r="Q34" s="221">
        <f>Q18*Q$37</f>
        <v>3.8029853605781585</v>
      </c>
      <c r="R34" s="222">
        <f t="shared" si="83"/>
        <v>23.337720054121423</v>
      </c>
      <c r="S34" s="221">
        <f t="shared" si="83"/>
        <v>3.8029853605781585</v>
      </c>
      <c r="U34" s="613" t="s">
        <v>17</v>
      </c>
      <c r="V34" s="117" t="s">
        <v>8</v>
      </c>
      <c r="W34" s="117" t="s">
        <v>36</v>
      </c>
      <c r="X34" s="220">
        <f>N34*(1+N$50)*(1+N$44*'Indata - Effektsamband-Faktorer'!$D$8)</f>
        <v>23.337720054121423</v>
      </c>
      <c r="Y34" s="221">
        <f>O34*(1+O$50)*(1+O$44*'Indata - Effektsamband-Faktorer'!$E$8)</f>
        <v>3.8029853605781585</v>
      </c>
      <c r="Z34" s="220">
        <f>P34*(1+P$50)*(1+P$44*'Indata - Effektsamband-Faktorer'!$D$8)</f>
        <v>24.424184547587608</v>
      </c>
      <c r="AA34" s="221">
        <f>Q34*(1+Q$50)*(1+Q$44*'Indata - Effektsamband-Faktorer'!$E$8)</f>
        <v>4.0632074416747193</v>
      </c>
      <c r="AB34" s="222">
        <f>R34*(1+R$50)*(1+R$44*'Indata - Effektsamband-Faktorer'!$D$8)</f>
        <v>24.424184547587608</v>
      </c>
      <c r="AC34" s="221">
        <f>S34*(1+S$50)*(1+S$44*'Indata - Effektsamband-Faktorer'!$E$8)</f>
        <v>4.0632074416747193</v>
      </c>
      <c r="AE34" s="613" t="s">
        <v>17</v>
      </c>
      <c r="AF34" s="117" t="s">
        <v>8</v>
      </c>
      <c r="AG34" s="117" t="s">
        <v>36</v>
      </c>
      <c r="AH34" s="220">
        <f>X34*(1-Indata!E$21)</f>
        <v>23.337720054121423</v>
      </c>
      <c r="AI34" s="221">
        <f>Y34*(1-Indata!F$21)</f>
        <v>3.8029853605781585</v>
      </c>
      <c r="AJ34" s="220">
        <f>Z34*(1-Indata!G$21)</f>
        <v>24.424184547587608</v>
      </c>
      <c r="AK34" s="221">
        <f>AA34*(1-Indata!H$21)</f>
        <v>4.0632074416747193</v>
      </c>
      <c r="AL34" s="222">
        <f>AB34*(1-Indata!I$21)</f>
        <v>24.424184547587608</v>
      </c>
      <c r="AM34" s="221">
        <f>AC34*(1-Indata!J$21)</f>
        <v>4.0632074416747193</v>
      </c>
    </row>
    <row r="35" spans="1:39" x14ac:dyDescent="0.3">
      <c r="A35" s="614"/>
      <c r="B35" s="118" t="s">
        <v>9</v>
      </c>
      <c r="C35" s="118" t="s">
        <v>36</v>
      </c>
      <c r="D35" s="223">
        <f t="shared" si="82"/>
        <v>28.624887793254807</v>
      </c>
      <c r="E35" s="224">
        <f t="shared" si="82"/>
        <v>2.6340130153970063</v>
      </c>
      <c r="F35" s="223">
        <f t="shared" si="82"/>
        <v>28.624887793254807</v>
      </c>
      <c r="G35" s="224">
        <f t="shared" si="82"/>
        <v>2.6340130153970063</v>
      </c>
      <c r="H35" s="225">
        <f t="shared" si="82"/>
        <v>28.624887793254807</v>
      </c>
      <c r="I35" s="224">
        <f t="shared" si="82"/>
        <v>2.6340130153970063</v>
      </c>
      <c r="K35" s="614"/>
      <c r="L35" s="118" t="s">
        <v>9</v>
      </c>
      <c r="M35" s="118" t="s">
        <v>36</v>
      </c>
      <c r="N35" s="223">
        <f>N19*N$37</f>
        <v>28.624887793254807</v>
      </c>
      <c r="O35" s="224">
        <f t="shared" ref="O35:S36" si="84">O19*O$37</f>
        <v>2.6340130153970063</v>
      </c>
      <c r="P35" s="223">
        <f t="shared" si="84"/>
        <v>28.624887793254807</v>
      </c>
      <c r="Q35" s="224">
        <f t="shared" si="84"/>
        <v>2.6340130153970063</v>
      </c>
      <c r="R35" s="225">
        <f t="shared" si="84"/>
        <v>28.624887793254807</v>
      </c>
      <c r="S35" s="224">
        <f t="shared" si="84"/>
        <v>2.6340130153970063</v>
      </c>
      <c r="U35" s="614"/>
      <c r="V35" s="118" t="s">
        <v>9</v>
      </c>
      <c r="W35" s="118" t="s">
        <v>36</v>
      </c>
      <c r="X35" s="223">
        <f>N35*(1+N$50)*(1+N$44*'Indata - Effektsamband-Faktorer'!$D$8)</f>
        <v>28.624887793254807</v>
      </c>
      <c r="Y35" s="224">
        <f>O35*(1+O$50)*(1+O$44*'Indata - Effektsamband-Faktorer'!$E$8)</f>
        <v>2.6340130153970063</v>
      </c>
      <c r="Z35" s="223">
        <f>P35*(1+P$50)*(1+P$44*'Indata - Effektsamband-Faktorer'!$D$8)</f>
        <v>29.957491155738484</v>
      </c>
      <c r="AA35" s="224">
        <f>Q35*(1+Q$50)*(1+Q$44*'Indata - Effektsamband-Faktorer'!$E$8)</f>
        <v>2.8142473007053859</v>
      </c>
      <c r="AB35" s="225">
        <f>R35*(1+R$50)*(1+R$44*'Indata - Effektsamband-Faktorer'!$D$8)</f>
        <v>29.957491155738484</v>
      </c>
      <c r="AC35" s="224">
        <f>S35*(1+S$50)*(1+S$44*'Indata - Effektsamband-Faktorer'!$E$8)</f>
        <v>2.8142473007053859</v>
      </c>
      <c r="AE35" s="614"/>
      <c r="AF35" s="118" t="s">
        <v>9</v>
      </c>
      <c r="AG35" s="118" t="s">
        <v>36</v>
      </c>
      <c r="AH35" s="223">
        <f>X35*(1-Indata!E$21)</f>
        <v>28.624887793254807</v>
      </c>
      <c r="AI35" s="224">
        <f>Y35*(1-Indata!F$21)</f>
        <v>2.6340130153970063</v>
      </c>
      <c r="AJ35" s="223">
        <f>Z35*(1-Indata!G$21)</f>
        <v>29.957491155738484</v>
      </c>
      <c r="AK35" s="224">
        <f>AA35*(1-Indata!H$21)</f>
        <v>2.8142473007053859</v>
      </c>
      <c r="AL35" s="225">
        <f>AB35*(1-Indata!I$21)</f>
        <v>29.957491155738484</v>
      </c>
      <c r="AM35" s="224">
        <f>AC35*(1-Indata!J$21)</f>
        <v>2.8142473007053859</v>
      </c>
    </row>
    <row r="36" spans="1:39" x14ac:dyDescent="0.3">
      <c r="A36" s="614"/>
      <c r="B36" s="118" t="s">
        <v>7</v>
      </c>
      <c r="C36" s="118" t="s">
        <v>36</v>
      </c>
      <c r="D36" s="223">
        <f t="shared" si="82"/>
        <v>44.28027318731484</v>
      </c>
      <c r="E36" s="224">
        <f t="shared" si="82"/>
        <v>104.38430551006638</v>
      </c>
      <c r="F36" s="223">
        <f t="shared" si="82"/>
        <v>44.28027318731484</v>
      </c>
      <c r="G36" s="224">
        <f t="shared" si="82"/>
        <v>104.38430551006638</v>
      </c>
      <c r="H36" s="225">
        <f t="shared" si="82"/>
        <v>44.28027318731484</v>
      </c>
      <c r="I36" s="224">
        <f t="shared" si="82"/>
        <v>104.38430551006638</v>
      </c>
      <c r="K36" s="614"/>
      <c r="L36" s="118" t="s">
        <v>7</v>
      </c>
      <c r="M36" s="118" t="s">
        <v>36</v>
      </c>
      <c r="N36" s="223">
        <f>N20*N$37</f>
        <v>44.28027318731484</v>
      </c>
      <c r="O36" s="224">
        <f t="shared" si="84"/>
        <v>104.38430551006638</v>
      </c>
      <c r="P36" s="223">
        <f t="shared" si="84"/>
        <v>44.28027318731484</v>
      </c>
      <c r="Q36" s="224">
        <f t="shared" si="84"/>
        <v>104.38430551006638</v>
      </c>
      <c r="R36" s="225">
        <f t="shared" si="84"/>
        <v>44.28027318731484</v>
      </c>
      <c r="S36" s="224">
        <f t="shared" si="84"/>
        <v>104.38430551006638</v>
      </c>
      <c r="U36" s="614"/>
      <c r="V36" s="118" t="s">
        <v>7</v>
      </c>
      <c r="W36" s="118" t="s">
        <v>36</v>
      </c>
      <c r="X36" s="223">
        <f>N36*(1+N$50)*(1+N$44*'Indata - Effektsamband-Faktorer'!$D$8)</f>
        <v>44.28027318731484</v>
      </c>
      <c r="Y36" s="224">
        <f>O36*(1+O$50)*(1+O$44*'Indata - Effektsamband-Faktorer'!$E$8)</f>
        <v>104.38430551006638</v>
      </c>
      <c r="Z36" s="223">
        <f>P36*(1+P$50)*(1+P$44*'Indata - Effektsamband-Faktorer'!$D$8)</f>
        <v>46.341697545282678</v>
      </c>
      <c r="AA36" s="224">
        <f>Q36*(1+Q$50)*(1+Q$44*'Indata - Effektsamband-Faktorer'!$E$8)</f>
        <v>111.52687868303255</v>
      </c>
      <c r="AB36" s="225">
        <f>R36*(1+R$50)*(1+R$44*'Indata - Effektsamband-Faktorer'!$D$8)</f>
        <v>46.341697545282678</v>
      </c>
      <c r="AC36" s="224">
        <f>S36*(1+S$50)*(1+S$44*'Indata - Effektsamband-Faktorer'!$E$8)</f>
        <v>111.52687868303255</v>
      </c>
      <c r="AE36" s="614"/>
      <c r="AF36" s="118" t="s">
        <v>7</v>
      </c>
      <c r="AG36" s="118" t="s">
        <v>36</v>
      </c>
      <c r="AH36" s="223">
        <f>X36*(1-Indata!E$21)</f>
        <v>44.28027318731484</v>
      </c>
      <c r="AI36" s="224">
        <f>Y36*(1-Indata!F$21)</f>
        <v>104.38430551006638</v>
      </c>
      <c r="AJ36" s="223">
        <f>Z36*(1-Indata!G$21)</f>
        <v>46.341697545282678</v>
      </c>
      <c r="AK36" s="224">
        <f>AA36*(1-Indata!H$21)</f>
        <v>111.52687868303255</v>
      </c>
      <c r="AL36" s="225">
        <f>AB36*(1-Indata!I$21)</f>
        <v>46.341697545282678</v>
      </c>
      <c r="AM36" s="224">
        <f>AC36*(1-Indata!J$21)</f>
        <v>111.52687868303255</v>
      </c>
    </row>
    <row r="37" spans="1:39" ht="15" thickBot="1" x14ac:dyDescent="0.35">
      <c r="A37" s="615"/>
      <c r="B37" s="164" t="s">
        <v>16</v>
      </c>
      <c r="C37" s="164" t="s">
        <v>36</v>
      </c>
      <c r="D37" s="196">
        <f>Indata!E37*(1+Indata!E38)</f>
        <v>96.242881034691067</v>
      </c>
      <c r="E37" s="197">
        <f>Indata!F37*(1+Indata!F38)</f>
        <v>110.82130388604155</v>
      </c>
      <c r="F37" s="196">
        <f>Indata!G37*(1+Indata!G38)</f>
        <v>96.242881034691067</v>
      </c>
      <c r="G37" s="197">
        <f>Indata!H37*(1+Indata!H38)</f>
        <v>110.82130388604155</v>
      </c>
      <c r="H37" s="198">
        <f>Indata!I37*(1+Indata!I38)</f>
        <v>96.242881034691067</v>
      </c>
      <c r="I37" s="197">
        <f>Indata!J37*(1+Indata!J38)</f>
        <v>110.82130388604155</v>
      </c>
      <c r="K37" s="615"/>
      <c r="L37" s="164" t="s">
        <v>16</v>
      </c>
      <c r="M37" s="164" t="s">
        <v>36</v>
      </c>
      <c r="N37" s="196">
        <f>D37</f>
        <v>96.242881034691067</v>
      </c>
      <c r="O37" s="197">
        <f t="shared" ref="O37:S37" si="85">E37</f>
        <v>110.82130388604155</v>
      </c>
      <c r="P37" s="196">
        <f t="shared" si="85"/>
        <v>96.242881034691067</v>
      </c>
      <c r="Q37" s="197">
        <f t="shared" si="85"/>
        <v>110.82130388604155</v>
      </c>
      <c r="R37" s="198">
        <f t="shared" si="85"/>
        <v>96.242881034691067</v>
      </c>
      <c r="S37" s="197">
        <f t="shared" si="85"/>
        <v>110.82130388604155</v>
      </c>
      <c r="U37" s="615"/>
      <c r="V37" s="164" t="s">
        <v>16</v>
      </c>
      <c r="W37" s="164" t="s">
        <v>36</v>
      </c>
      <c r="X37" s="196">
        <f>SUM(X34:X36)</f>
        <v>96.242881034691067</v>
      </c>
      <c r="Y37" s="197">
        <f>SUM(Y34:Y36)</f>
        <v>110.82130388604155</v>
      </c>
      <c r="Z37" s="196">
        <f>SUM(Z34:Z36)</f>
        <v>100.72337324860877</v>
      </c>
      <c r="AA37" s="197">
        <f>SUM(AA34:AA36)</f>
        <v>118.40433342541266</v>
      </c>
      <c r="AB37" s="198">
        <f>SUM(AB34:AB36)</f>
        <v>100.72337324860877</v>
      </c>
      <c r="AC37" s="197">
        <f t="shared" ref="AC37" si="86">SUM(AC34:AC36)</f>
        <v>118.40433342541266</v>
      </c>
      <c r="AE37" s="615"/>
      <c r="AF37" s="164" t="s">
        <v>16</v>
      </c>
      <c r="AG37" s="164" t="s">
        <v>36</v>
      </c>
      <c r="AH37" s="196">
        <f>SUM(AH34:AH36)</f>
        <v>96.242881034691067</v>
      </c>
      <c r="AI37" s="197">
        <f t="shared" ref="AI37" si="87">SUM(AI34:AI36)</f>
        <v>110.82130388604155</v>
      </c>
      <c r="AJ37" s="196">
        <f>SUM(AJ34:AJ36)</f>
        <v>100.72337324860877</v>
      </c>
      <c r="AK37" s="197">
        <f t="shared" ref="AK37" si="88">SUM(AK34:AK36)</f>
        <v>118.40433342541266</v>
      </c>
      <c r="AL37" s="198">
        <f>SUM(AL34:AL36)</f>
        <v>100.72337324860877</v>
      </c>
      <c r="AM37" s="197">
        <f t="shared" ref="AM37" si="89">SUM(AM34:AM36)</f>
        <v>118.40433342541266</v>
      </c>
    </row>
    <row r="38" spans="1:39" x14ac:dyDescent="0.3">
      <c r="D38" s="64"/>
      <c r="E38" s="64"/>
      <c r="F38" s="64"/>
      <c r="G38" s="64"/>
      <c r="H38" s="64"/>
      <c r="I38" s="64"/>
      <c r="N38" s="64"/>
      <c r="O38" s="64"/>
      <c r="P38" s="64"/>
      <c r="Q38" s="64"/>
      <c r="R38" s="64"/>
      <c r="S38" s="64"/>
      <c r="X38" s="64"/>
      <c r="Y38" s="64"/>
      <c r="Z38" s="64"/>
      <c r="AA38" s="64"/>
      <c r="AB38" s="64"/>
      <c r="AC38" s="64"/>
      <c r="AE38" s="28"/>
      <c r="AF38" s="28"/>
      <c r="AG38" s="28"/>
      <c r="AH38" s="64"/>
      <c r="AI38" s="64"/>
      <c r="AJ38" s="64"/>
      <c r="AK38" s="64"/>
      <c r="AL38" s="64"/>
      <c r="AM38" s="64"/>
    </row>
    <row r="39" spans="1:39" ht="15" thickBot="1" x14ac:dyDescent="0.35">
      <c r="A39" s="30" t="s">
        <v>79</v>
      </c>
      <c r="D39" s="176"/>
      <c r="E39" s="176"/>
      <c r="F39" s="176"/>
      <c r="G39" s="176"/>
      <c r="H39" s="176"/>
      <c r="I39" s="176"/>
      <c r="K39" s="30" t="s">
        <v>224</v>
      </c>
      <c r="N39" s="176"/>
      <c r="O39" s="176"/>
      <c r="P39" s="176"/>
      <c r="Q39" s="176"/>
      <c r="R39" s="176"/>
      <c r="S39" s="176"/>
      <c r="U39" s="30" t="s">
        <v>82</v>
      </c>
      <c r="X39" s="176"/>
      <c r="Y39" s="176"/>
      <c r="Z39" s="176"/>
      <c r="AA39" s="176"/>
      <c r="AB39" s="176"/>
      <c r="AC39" s="176"/>
      <c r="AE39" s="30" t="s">
        <v>151</v>
      </c>
      <c r="AF39" s="28"/>
      <c r="AG39" s="28"/>
      <c r="AH39" s="176"/>
      <c r="AI39" s="176"/>
      <c r="AJ39" s="176"/>
      <c r="AK39" s="176"/>
      <c r="AL39" s="176"/>
      <c r="AM39" s="176"/>
    </row>
    <row r="40" spans="1:39" x14ac:dyDescent="0.3">
      <c r="A40" s="626" t="s">
        <v>71</v>
      </c>
      <c r="B40" s="117" t="s">
        <v>8</v>
      </c>
      <c r="C40" s="117" t="s">
        <v>68</v>
      </c>
      <c r="D40" s="177">
        <f>D6*D13+D24+D29</f>
        <v>19.698631990720909</v>
      </c>
      <c r="E40" s="178">
        <f t="shared" ref="D40:I42" si="90">E6*E13+E24+E29</f>
        <v>30.185635444644507</v>
      </c>
      <c r="F40" s="177">
        <f t="shared" si="90"/>
        <v>19.698631990720909</v>
      </c>
      <c r="G40" s="178">
        <f t="shared" si="90"/>
        <v>30.185635444644507</v>
      </c>
      <c r="H40" s="179">
        <f t="shared" si="90"/>
        <v>19.698631990720909</v>
      </c>
      <c r="I40" s="178">
        <f t="shared" si="90"/>
        <v>30.185635444644507</v>
      </c>
      <c r="K40" s="626" t="s">
        <v>71</v>
      </c>
      <c r="L40" s="117" t="s">
        <v>8</v>
      </c>
      <c r="M40" s="117" t="s">
        <v>68</v>
      </c>
      <c r="N40" s="177">
        <f>N6*N13+N24+N29</f>
        <v>19.698631990720909</v>
      </c>
      <c r="O40" s="178">
        <f t="shared" ref="N40:S42" si="91">O6*O13+O24+O29</f>
        <v>30.185635444644507</v>
      </c>
      <c r="P40" s="177">
        <f t="shared" si="91"/>
        <v>19.698631990720909</v>
      </c>
      <c r="Q40" s="178">
        <f t="shared" si="91"/>
        <v>30.185635444644507</v>
      </c>
      <c r="R40" s="179">
        <f t="shared" si="91"/>
        <v>19.698631990720909</v>
      </c>
      <c r="S40" s="178">
        <f t="shared" si="91"/>
        <v>30.185635444644507</v>
      </c>
      <c r="U40" s="626" t="s">
        <v>71</v>
      </c>
      <c r="V40" s="117" t="s">
        <v>8</v>
      </c>
      <c r="W40" s="117" t="s">
        <v>68</v>
      </c>
      <c r="X40" s="177">
        <f>N40</f>
        <v>19.698631990720909</v>
      </c>
      <c r="Y40" s="178">
        <f t="shared" ref="Y40:Y42" si="92">O40</f>
        <v>30.185635444644507</v>
      </c>
      <c r="Z40" s="177">
        <f t="shared" ref="Z40:Z42" si="93">P40</f>
        <v>19.698631990720909</v>
      </c>
      <c r="AA40" s="178">
        <f t="shared" ref="AA40:AA42" si="94">Q40</f>
        <v>30.185635444644507</v>
      </c>
      <c r="AB40" s="179">
        <f t="shared" ref="AB40:AB42" si="95">R40</f>
        <v>19.698631990720909</v>
      </c>
      <c r="AC40" s="178">
        <f t="shared" ref="AC40:AC42" si="96">S40</f>
        <v>30.185635444644507</v>
      </c>
      <c r="AE40" s="626" t="s">
        <v>71</v>
      </c>
      <c r="AF40" s="117" t="s">
        <v>8</v>
      </c>
      <c r="AG40" s="117" t="s">
        <v>68</v>
      </c>
      <c r="AH40" s="177">
        <f>X40</f>
        <v>19.698631990720909</v>
      </c>
      <c r="AI40" s="178">
        <f t="shared" ref="AI40:AI42" si="97">Y40</f>
        <v>30.185635444644507</v>
      </c>
      <c r="AJ40" s="177">
        <f>Z40</f>
        <v>19.698631990720909</v>
      </c>
      <c r="AK40" s="178">
        <f t="shared" ref="AK40:AK41" si="98">AA40</f>
        <v>30.185635444644507</v>
      </c>
      <c r="AL40" s="179">
        <f t="shared" ref="AL40:AL42" si="99">AB40</f>
        <v>19.698631990720909</v>
      </c>
      <c r="AM40" s="178">
        <f t="shared" ref="AM40:AM42" si="100">AC40</f>
        <v>30.185635444644507</v>
      </c>
    </row>
    <row r="41" spans="1:39" x14ac:dyDescent="0.3">
      <c r="A41" s="627"/>
      <c r="B41" s="118" t="s">
        <v>9</v>
      </c>
      <c r="C41" s="118" t="s">
        <v>68</v>
      </c>
      <c r="D41" s="180">
        <f t="shared" si="90"/>
        <v>21.981490567764286</v>
      </c>
      <c r="E41" s="181">
        <f t="shared" si="90"/>
        <v>33.542530875437194</v>
      </c>
      <c r="F41" s="180">
        <f t="shared" si="90"/>
        <v>21.981490567764286</v>
      </c>
      <c r="G41" s="181">
        <f t="shared" si="90"/>
        <v>33.542530875437194</v>
      </c>
      <c r="H41" s="182">
        <f t="shared" si="90"/>
        <v>21.981490567764286</v>
      </c>
      <c r="I41" s="181">
        <f t="shared" si="90"/>
        <v>33.542530875437194</v>
      </c>
      <c r="K41" s="627"/>
      <c r="L41" s="118" t="s">
        <v>9</v>
      </c>
      <c r="M41" s="118" t="s">
        <v>68</v>
      </c>
      <c r="N41" s="180">
        <f t="shared" si="91"/>
        <v>21.981490567764286</v>
      </c>
      <c r="O41" s="181">
        <f t="shared" si="91"/>
        <v>33.542530875437194</v>
      </c>
      <c r="P41" s="180">
        <f t="shared" si="91"/>
        <v>21.981490567764286</v>
      </c>
      <c r="Q41" s="181">
        <f t="shared" si="91"/>
        <v>33.542530875437194</v>
      </c>
      <c r="R41" s="182">
        <f t="shared" si="91"/>
        <v>21.981490567764286</v>
      </c>
      <c r="S41" s="181">
        <f t="shared" si="91"/>
        <v>33.542530875437194</v>
      </c>
      <c r="U41" s="627"/>
      <c r="V41" s="118" t="s">
        <v>9</v>
      </c>
      <c r="W41" s="118" t="s">
        <v>68</v>
      </c>
      <c r="X41" s="180">
        <f t="shared" ref="X41:X42" si="101">N41</f>
        <v>21.981490567764286</v>
      </c>
      <c r="Y41" s="181">
        <f t="shared" si="92"/>
        <v>33.542530875437194</v>
      </c>
      <c r="Z41" s="180">
        <f t="shared" si="93"/>
        <v>21.981490567764286</v>
      </c>
      <c r="AA41" s="181">
        <f t="shared" si="94"/>
        <v>33.542530875437194</v>
      </c>
      <c r="AB41" s="182">
        <f t="shared" si="95"/>
        <v>21.981490567764286</v>
      </c>
      <c r="AC41" s="181">
        <f t="shared" si="96"/>
        <v>33.542530875437194</v>
      </c>
      <c r="AE41" s="627"/>
      <c r="AF41" s="118" t="s">
        <v>9</v>
      </c>
      <c r="AG41" s="118" t="s">
        <v>68</v>
      </c>
      <c r="AH41" s="180">
        <f t="shared" ref="AH41" si="102">X41</f>
        <v>21.981490567764286</v>
      </c>
      <c r="AI41" s="181">
        <f t="shared" si="97"/>
        <v>33.542530875437194</v>
      </c>
      <c r="AJ41" s="180">
        <f t="shared" ref="AJ41:AJ42" si="103">Z41</f>
        <v>21.981490567764286</v>
      </c>
      <c r="AK41" s="181">
        <f t="shared" si="98"/>
        <v>33.542530875437194</v>
      </c>
      <c r="AL41" s="182">
        <f t="shared" si="99"/>
        <v>21.981490567764286</v>
      </c>
      <c r="AM41" s="181">
        <f t="shared" si="100"/>
        <v>33.542530875437194</v>
      </c>
    </row>
    <row r="42" spans="1:39" x14ac:dyDescent="0.3">
      <c r="A42" s="627"/>
      <c r="B42" s="118" t="s">
        <v>7</v>
      </c>
      <c r="C42" s="118" t="s">
        <v>68</v>
      </c>
      <c r="D42" s="180">
        <f t="shared" si="90"/>
        <v>13.765186493278994</v>
      </c>
      <c r="E42" s="181">
        <f t="shared" si="90"/>
        <v>14.363146125966733</v>
      </c>
      <c r="F42" s="180">
        <f t="shared" si="90"/>
        <v>13.765186493278994</v>
      </c>
      <c r="G42" s="181">
        <f t="shared" si="90"/>
        <v>14.363146125966733</v>
      </c>
      <c r="H42" s="182">
        <f t="shared" si="90"/>
        <v>13.765186493278994</v>
      </c>
      <c r="I42" s="181">
        <f t="shared" si="90"/>
        <v>14.363146125966733</v>
      </c>
      <c r="K42" s="627"/>
      <c r="L42" s="118" t="s">
        <v>7</v>
      </c>
      <c r="M42" s="118" t="s">
        <v>68</v>
      </c>
      <c r="N42" s="180">
        <f t="shared" si="91"/>
        <v>13.765186493278994</v>
      </c>
      <c r="O42" s="181">
        <f t="shared" si="91"/>
        <v>14.363146125966733</v>
      </c>
      <c r="P42" s="180">
        <f t="shared" si="91"/>
        <v>13.765186493278994</v>
      </c>
      <c r="Q42" s="181">
        <f>Q8*Q15+Q26+Q31</f>
        <v>14.363146125966733</v>
      </c>
      <c r="R42" s="182">
        <f t="shared" si="91"/>
        <v>13.765186493278994</v>
      </c>
      <c r="S42" s="181">
        <f t="shared" si="91"/>
        <v>14.363146125966733</v>
      </c>
      <c r="U42" s="627"/>
      <c r="V42" s="118" t="s">
        <v>7</v>
      </c>
      <c r="W42" s="118" t="s">
        <v>68</v>
      </c>
      <c r="X42" s="180">
        <f t="shared" si="101"/>
        <v>13.765186493278994</v>
      </c>
      <c r="Y42" s="181">
        <f t="shared" si="92"/>
        <v>14.363146125966733</v>
      </c>
      <c r="Z42" s="180">
        <f t="shared" si="93"/>
        <v>13.765186493278994</v>
      </c>
      <c r="AA42" s="181">
        <f t="shared" si="94"/>
        <v>14.363146125966733</v>
      </c>
      <c r="AB42" s="182">
        <f t="shared" si="95"/>
        <v>13.765186493278994</v>
      </c>
      <c r="AC42" s="181">
        <f t="shared" si="96"/>
        <v>14.363146125966733</v>
      </c>
      <c r="AE42" s="627"/>
      <c r="AF42" s="118" t="s">
        <v>7</v>
      </c>
      <c r="AG42" s="118" t="s">
        <v>68</v>
      </c>
      <c r="AH42" s="180">
        <f>X42</f>
        <v>13.765186493278994</v>
      </c>
      <c r="AI42" s="181">
        <f t="shared" si="97"/>
        <v>14.363146125966733</v>
      </c>
      <c r="AJ42" s="180">
        <f t="shared" si="103"/>
        <v>13.765186493278994</v>
      </c>
      <c r="AK42" s="181">
        <f>AA42</f>
        <v>14.363146125966733</v>
      </c>
      <c r="AL42" s="182">
        <f t="shared" si="99"/>
        <v>13.765186493278994</v>
      </c>
      <c r="AM42" s="181">
        <f t="shared" si="100"/>
        <v>14.363146125966733</v>
      </c>
    </row>
    <row r="43" spans="1:39" x14ac:dyDescent="0.3">
      <c r="A43" s="627"/>
      <c r="B43" s="162" t="s">
        <v>70</v>
      </c>
      <c r="C43" s="162" t="s">
        <v>68</v>
      </c>
      <c r="D43" s="283">
        <v>20.74</v>
      </c>
      <c r="E43" s="284">
        <v>19.655019213344737</v>
      </c>
      <c r="F43" s="173">
        <f>SUMPRODUCT(F40:F42,F34:F36)/F37</f>
        <v>17.647695705034636</v>
      </c>
      <c r="G43" s="174">
        <f t="shared" ref="G43:I43" si="104">SUMPRODUCT(G40:G42,G34:G36)/G37</f>
        <v>15.361974333384984</v>
      </c>
      <c r="H43" s="175">
        <f t="shared" si="104"/>
        <v>17.647695705034636</v>
      </c>
      <c r="I43" s="174">
        <f t="shared" si="104"/>
        <v>15.361974333384984</v>
      </c>
      <c r="K43" s="627"/>
      <c r="L43" s="162" t="s">
        <v>70</v>
      </c>
      <c r="M43" s="162" t="s">
        <v>68</v>
      </c>
      <c r="N43" s="283">
        <f>D43</f>
        <v>20.74</v>
      </c>
      <c r="O43" s="284">
        <f>E43</f>
        <v>19.655019213344737</v>
      </c>
      <c r="P43" s="173">
        <f>SUMPRODUCT(P40:P42,P34:P36)/P37</f>
        <v>17.647695705034636</v>
      </c>
      <c r="Q43" s="174">
        <f>SUMPRODUCT(Q40:Q42,Q34:Q36)/Q37</f>
        <v>15.361974333384984</v>
      </c>
      <c r="R43" s="175">
        <f>SUMPRODUCT(R40:R42,R34:R36)/R37</f>
        <v>17.647695705034636</v>
      </c>
      <c r="S43" s="174">
        <f t="shared" ref="S43" si="105">SUMPRODUCT(S40:S42,S34:S36)/S37</f>
        <v>15.361974333384984</v>
      </c>
      <c r="U43" s="627"/>
      <c r="V43" s="162" t="s">
        <v>70</v>
      </c>
      <c r="W43" s="162" t="s">
        <v>68</v>
      </c>
      <c r="X43" s="283">
        <f>D43</f>
        <v>20.74</v>
      </c>
      <c r="Y43" s="284">
        <f>E43</f>
        <v>19.655019213344737</v>
      </c>
      <c r="Z43" s="173">
        <f>SUMPRODUCT(Z40:Z42,Z34:Z36)/Z37</f>
        <v>17.647695705034639</v>
      </c>
      <c r="AA43" s="174">
        <f>SUMPRODUCT(AA40:AA42,AA34:AA36)/AA37</f>
        <v>15.36197433338498</v>
      </c>
      <c r="AB43" s="175">
        <f t="shared" ref="AB43:AC43" si="106">SUMPRODUCT(AB40:AB42,AB34:AB36)/AB37</f>
        <v>17.647695705034639</v>
      </c>
      <c r="AC43" s="174">
        <f t="shared" si="106"/>
        <v>15.36197433338498</v>
      </c>
      <c r="AE43" s="627"/>
      <c r="AF43" s="162" t="s">
        <v>70</v>
      </c>
      <c r="AG43" s="162" t="s">
        <v>68</v>
      </c>
      <c r="AH43" s="283">
        <f>X43</f>
        <v>20.74</v>
      </c>
      <c r="AI43" s="284">
        <f>E43</f>
        <v>19.655019213344737</v>
      </c>
      <c r="AJ43" s="173">
        <f>SUMPRODUCT(AJ40:AJ42,AJ34:AJ36)/AJ37</f>
        <v>17.647695705034639</v>
      </c>
      <c r="AK43" s="174">
        <f>SUMPRODUCT(AK40:AK42,AK34:AK36)/AK37</f>
        <v>15.36197433338498</v>
      </c>
      <c r="AL43" s="175">
        <f>SUMPRODUCT(AL40:AL42,AL34:AL36)/AL37</f>
        <v>17.647695705034639</v>
      </c>
      <c r="AM43" s="174">
        <f>SUMPRODUCT(AM40:AM42,AM34:AM36)/AM37</f>
        <v>15.36197433338498</v>
      </c>
    </row>
    <row r="44" spans="1:39" ht="15" thickBot="1" x14ac:dyDescent="0.35">
      <c r="A44" s="628"/>
      <c r="B44" s="163" t="s">
        <v>225</v>
      </c>
      <c r="C44" s="163" t="s">
        <v>25</v>
      </c>
      <c r="D44" s="199" t="s">
        <v>72</v>
      </c>
      <c r="E44" s="200" t="s">
        <v>72</v>
      </c>
      <c r="F44" s="199" t="s">
        <v>72</v>
      </c>
      <c r="G44" s="200" t="s">
        <v>72</v>
      </c>
      <c r="H44" s="201" t="s">
        <v>72</v>
      </c>
      <c r="I44" s="200" t="s">
        <v>72</v>
      </c>
      <c r="K44" s="628"/>
      <c r="L44" s="163" t="s">
        <v>225</v>
      </c>
      <c r="M44" s="163" t="s">
        <v>25</v>
      </c>
      <c r="N44" s="199">
        <f>N43/D43-1</f>
        <v>0</v>
      </c>
      <c r="O44" s="200">
        <f>O43/E43-1</f>
        <v>0</v>
      </c>
      <c r="P44" s="199">
        <f>P43/D43-1</f>
        <v>-0.14909856774182073</v>
      </c>
      <c r="Q44" s="200">
        <f>Q43/E43-1</f>
        <v>-0.21841977529307111</v>
      </c>
      <c r="R44" s="201">
        <f>R43/D43-1</f>
        <v>-0.14909856774182073</v>
      </c>
      <c r="S44" s="200">
        <f>S43/E43-1</f>
        <v>-0.21841977529307111</v>
      </c>
      <c r="U44" s="628"/>
      <c r="V44" s="163" t="s">
        <v>225</v>
      </c>
      <c r="W44" s="163" t="s">
        <v>25</v>
      </c>
      <c r="X44" s="199">
        <f>X43/D43-1</f>
        <v>0</v>
      </c>
      <c r="Y44" s="200">
        <f>Y43/E43-1</f>
        <v>0</v>
      </c>
      <c r="Z44" s="199">
        <f>Z43/D43-1</f>
        <v>-0.14909856774182062</v>
      </c>
      <c r="AA44" s="200">
        <f>AA43/E43-1</f>
        <v>-0.21841977529307133</v>
      </c>
      <c r="AB44" s="201">
        <f>AB43/D43-1</f>
        <v>-0.14909856774182062</v>
      </c>
      <c r="AC44" s="200">
        <f>AC43/E43-1</f>
        <v>-0.21841977529307133</v>
      </c>
      <c r="AE44" s="628"/>
      <c r="AF44" s="163" t="s">
        <v>225</v>
      </c>
      <c r="AG44" s="163" t="s">
        <v>25</v>
      </c>
      <c r="AH44" s="199">
        <f>AH43/D43-1</f>
        <v>0</v>
      </c>
      <c r="AI44" s="200">
        <f>AI43/E43-1</f>
        <v>0</v>
      </c>
      <c r="AJ44" s="199">
        <f>AJ43/D43-1</f>
        <v>-0.14909856774182062</v>
      </c>
      <c r="AK44" s="200">
        <f>AK43/E43-1</f>
        <v>-0.21841977529307133</v>
      </c>
      <c r="AL44" s="201">
        <f>AL43/D43-1</f>
        <v>-0.14909856774182062</v>
      </c>
      <c r="AM44" s="200">
        <f>AM43/E43-1</f>
        <v>-0.21841977529307133</v>
      </c>
    </row>
    <row r="45" spans="1:39" x14ac:dyDescent="0.3">
      <c r="A45" s="14"/>
      <c r="B45" s="14"/>
      <c r="C45" s="14"/>
      <c r="D45" s="192"/>
      <c r="E45" s="192"/>
      <c r="F45" s="192"/>
      <c r="G45" s="192"/>
      <c r="H45" s="192"/>
      <c r="I45" s="192"/>
      <c r="K45" s="14"/>
      <c r="L45" s="14"/>
      <c r="M45" s="14"/>
      <c r="N45" s="192"/>
      <c r="O45" s="192"/>
      <c r="P45" s="192"/>
      <c r="Q45" s="192"/>
      <c r="R45" s="192"/>
      <c r="S45" s="192"/>
      <c r="U45" s="14"/>
      <c r="V45" s="14"/>
      <c r="W45" s="14"/>
      <c r="X45" s="192"/>
      <c r="Y45" s="192"/>
      <c r="Z45" s="192"/>
      <c r="AA45" s="192"/>
      <c r="AB45" s="192"/>
      <c r="AC45" s="192"/>
      <c r="AH45" s="192"/>
      <c r="AI45" s="192"/>
      <c r="AJ45" s="192"/>
      <c r="AK45" s="192"/>
      <c r="AL45" s="192"/>
      <c r="AM45" s="192"/>
    </row>
    <row r="46" spans="1:39" ht="15" thickBot="1" x14ac:dyDescent="0.35">
      <c r="A46" s="30" t="s">
        <v>80</v>
      </c>
      <c r="D46" s="64"/>
      <c r="E46" s="64"/>
      <c r="F46" s="64"/>
      <c r="G46" s="64"/>
      <c r="H46" s="64"/>
      <c r="I46" s="64"/>
      <c r="K46" s="30" t="s">
        <v>226</v>
      </c>
      <c r="N46" s="64"/>
      <c r="O46" s="64"/>
      <c r="P46" s="64"/>
      <c r="Q46" s="64"/>
      <c r="R46" s="64"/>
      <c r="S46" s="64"/>
      <c r="U46" s="30" t="s">
        <v>87</v>
      </c>
      <c r="X46" s="64"/>
      <c r="Y46" s="64"/>
      <c r="Z46" s="64"/>
      <c r="AA46" s="64"/>
      <c r="AB46" s="64"/>
      <c r="AC46" s="64"/>
      <c r="AE46" s="30" t="s">
        <v>152</v>
      </c>
      <c r="AF46" s="28"/>
      <c r="AG46" s="28"/>
      <c r="AH46" s="64"/>
      <c r="AI46" s="64"/>
      <c r="AJ46" s="64"/>
      <c r="AK46" s="64"/>
      <c r="AL46" s="64"/>
      <c r="AM46" s="64"/>
    </row>
    <row r="47" spans="1:39" x14ac:dyDescent="0.3">
      <c r="A47" s="626" t="s">
        <v>29</v>
      </c>
      <c r="B47" s="117" t="s">
        <v>32</v>
      </c>
      <c r="C47" s="165" t="s">
        <v>33</v>
      </c>
      <c r="D47" s="229">
        <f>Indata!E39</f>
        <v>11057699.999999998</v>
      </c>
      <c r="E47" s="230">
        <f>Indata!F39</f>
        <v>11648700</v>
      </c>
      <c r="F47" s="229">
        <f>Indata!G39</f>
        <v>11057699.999999998</v>
      </c>
      <c r="G47" s="231">
        <f>Indata!H39</f>
        <v>11648700</v>
      </c>
      <c r="H47" s="232">
        <f>Indata!I39</f>
        <v>11057699.999999998</v>
      </c>
      <c r="I47" s="231">
        <f>Indata!J39</f>
        <v>11648700</v>
      </c>
      <c r="K47" s="626" t="s">
        <v>29</v>
      </c>
      <c r="L47" s="117" t="s">
        <v>32</v>
      </c>
      <c r="M47" s="165" t="s">
        <v>33</v>
      </c>
      <c r="N47" s="229">
        <f>D47</f>
        <v>11057699.999999998</v>
      </c>
      <c r="O47" s="230">
        <f t="shared" ref="O47:S47" si="107">E47</f>
        <v>11648700</v>
      </c>
      <c r="P47" s="229">
        <f t="shared" si="107"/>
        <v>11057699.999999998</v>
      </c>
      <c r="Q47" s="231">
        <f t="shared" si="107"/>
        <v>11648700</v>
      </c>
      <c r="R47" s="232">
        <f t="shared" si="107"/>
        <v>11057699.999999998</v>
      </c>
      <c r="S47" s="231">
        <f t="shared" si="107"/>
        <v>11648700</v>
      </c>
      <c r="U47" s="626" t="s">
        <v>29</v>
      </c>
      <c r="V47" s="117" t="s">
        <v>32</v>
      </c>
      <c r="W47" s="165" t="s">
        <v>33</v>
      </c>
      <c r="X47" s="229">
        <f>N47</f>
        <v>11057699.999999998</v>
      </c>
      <c r="Y47" s="230">
        <f t="shared" ref="Y47:Y49" si="108">O47</f>
        <v>11648700</v>
      </c>
      <c r="Z47" s="229">
        <f t="shared" ref="Z47:Z49" si="109">P47</f>
        <v>11057699.999999998</v>
      </c>
      <c r="AA47" s="231">
        <f t="shared" ref="AA47:AA49" si="110">Q47</f>
        <v>11648700</v>
      </c>
      <c r="AB47" s="232">
        <f t="shared" ref="AB47:AB49" si="111">R47</f>
        <v>11057699.999999998</v>
      </c>
      <c r="AC47" s="231">
        <f t="shared" ref="AC47:AC49" si="112">S47</f>
        <v>11648700</v>
      </c>
      <c r="AE47" s="626" t="s">
        <v>29</v>
      </c>
      <c r="AF47" s="117" t="s">
        <v>32</v>
      </c>
      <c r="AG47" s="165" t="s">
        <v>33</v>
      </c>
      <c r="AH47" s="229">
        <f>X47</f>
        <v>11057699.999999998</v>
      </c>
      <c r="AI47" s="230">
        <f t="shared" ref="AI47:AI49" si="113">Y47</f>
        <v>11648700</v>
      </c>
      <c r="AJ47" s="229">
        <f t="shared" ref="AJ47:AJ49" si="114">Z47</f>
        <v>11057699.999999998</v>
      </c>
      <c r="AK47" s="231">
        <f t="shared" ref="AK47:AK49" si="115">AA47</f>
        <v>11648700</v>
      </c>
      <c r="AL47" s="232">
        <f t="shared" ref="AL47:AL49" si="116">AB47</f>
        <v>11057699.999999998</v>
      </c>
      <c r="AM47" s="231">
        <f t="shared" ref="AM47:AM49" si="117">AC47</f>
        <v>11648700</v>
      </c>
    </row>
    <row r="48" spans="1:39" x14ac:dyDescent="0.3">
      <c r="A48" s="627"/>
      <c r="B48" s="118" t="s">
        <v>29</v>
      </c>
      <c r="C48" s="166" t="s">
        <v>30</v>
      </c>
      <c r="D48" s="233">
        <f>Indata!E40</f>
        <v>0.52928701904391762</v>
      </c>
      <c r="E48" s="234">
        <f>Indata!F40</f>
        <v>0.52928701904391762</v>
      </c>
      <c r="F48" s="233">
        <f>Indata!G40</f>
        <v>0.52928701904391762</v>
      </c>
      <c r="G48" s="235">
        <f>Indata!H40</f>
        <v>0.52928701904391762</v>
      </c>
      <c r="H48" s="236">
        <f>Indata!I40</f>
        <v>0.52928701904391762</v>
      </c>
      <c r="I48" s="235">
        <f>Indata!J40</f>
        <v>0.52928701904391762</v>
      </c>
      <c r="K48" s="627"/>
      <c r="L48" s="118" t="s">
        <v>29</v>
      </c>
      <c r="M48" s="166" t="s">
        <v>30</v>
      </c>
      <c r="N48" s="233">
        <f>(1+'Indata - Effektsamband-Faktorer'!$D$7*N44)*'Modell - Lätta fordon'!D48</f>
        <v>0.52928701904391762</v>
      </c>
      <c r="O48" s="234">
        <f>(1+'Indata - Effektsamband-Faktorer'!$E$7*O44)*'Modell - Lätta fordon'!E48</f>
        <v>0.52928701904391762</v>
      </c>
      <c r="P48" s="233">
        <f>(1+'Indata - Effektsamband-Faktorer'!$D$7*P44)*'Modell - Lätta fordon'!F48</f>
        <v>0.53402197523174477</v>
      </c>
      <c r="Q48" s="235">
        <f>(1+'Indata - Effektsamband-Faktorer'!$E$7*Q44)*'Modell - Lätta fordon'!G48</f>
        <v>0.53622342414982427</v>
      </c>
      <c r="R48" s="236">
        <f>(1+'Indata - Effektsamband-Faktorer'!$D$7*R44)*'Modell - Lätta fordon'!H48</f>
        <v>0.53402197523174477</v>
      </c>
      <c r="S48" s="235">
        <f>(1+'Indata - Effektsamband-Faktorer'!$E$7*S44)*'Modell - Lätta fordon'!I48</f>
        <v>0.53622342414982427</v>
      </c>
      <c r="U48" s="627"/>
      <c r="V48" s="118" t="s">
        <v>29</v>
      </c>
      <c r="W48" s="166" t="s">
        <v>30</v>
      </c>
      <c r="X48" s="233">
        <f>N48</f>
        <v>0.52928701904391762</v>
      </c>
      <c r="Y48" s="234">
        <f t="shared" si="108"/>
        <v>0.52928701904391762</v>
      </c>
      <c r="Z48" s="233">
        <f t="shared" si="109"/>
        <v>0.53402197523174477</v>
      </c>
      <c r="AA48" s="235">
        <f t="shared" si="110"/>
        <v>0.53622342414982427</v>
      </c>
      <c r="AB48" s="236">
        <f t="shared" si="111"/>
        <v>0.53402197523174477</v>
      </c>
      <c r="AC48" s="235">
        <f t="shared" si="112"/>
        <v>0.53622342414982427</v>
      </c>
      <c r="AE48" s="627"/>
      <c r="AF48" s="118" t="s">
        <v>29</v>
      </c>
      <c r="AG48" s="166" t="s">
        <v>30</v>
      </c>
      <c r="AH48" s="233">
        <f>X48</f>
        <v>0.52928701904391762</v>
      </c>
      <c r="AI48" s="234">
        <f t="shared" si="113"/>
        <v>0.52928701904391762</v>
      </c>
      <c r="AJ48" s="233">
        <f t="shared" si="114"/>
        <v>0.53402197523174477</v>
      </c>
      <c r="AK48" s="235">
        <f t="shared" si="115"/>
        <v>0.53622342414982427</v>
      </c>
      <c r="AL48" s="236">
        <f t="shared" si="116"/>
        <v>0.53402197523174477</v>
      </c>
      <c r="AM48" s="235">
        <f t="shared" si="117"/>
        <v>0.53622342414982427</v>
      </c>
    </row>
    <row r="49" spans="1:39" x14ac:dyDescent="0.3">
      <c r="A49" s="627"/>
      <c r="B49" s="118" t="s">
        <v>34</v>
      </c>
      <c r="C49" s="166" t="s">
        <v>35</v>
      </c>
      <c r="D49" s="237">
        <f>D47*D48</f>
        <v>5852697.0704819271</v>
      </c>
      <c r="E49" s="238">
        <f>E47*E48</f>
        <v>6165505.6987368828</v>
      </c>
      <c r="F49" s="237">
        <f t="shared" ref="F49:I49" si="118">F47*F48</f>
        <v>5852697.0704819271</v>
      </c>
      <c r="G49" s="238">
        <f t="shared" si="118"/>
        <v>6165505.6987368828</v>
      </c>
      <c r="H49" s="239">
        <f t="shared" si="118"/>
        <v>5852697.0704819271</v>
      </c>
      <c r="I49" s="238">
        <f t="shared" si="118"/>
        <v>6165505.6987368828</v>
      </c>
      <c r="K49" s="627"/>
      <c r="L49" s="118" t="s">
        <v>34</v>
      </c>
      <c r="M49" s="166" t="s">
        <v>35</v>
      </c>
      <c r="N49" s="237">
        <f>N47*N48</f>
        <v>5852697.0704819271</v>
      </c>
      <c r="O49" s="238">
        <f>O47*O48</f>
        <v>6165505.6987368828</v>
      </c>
      <c r="P49" s="237">
        <f>P47*P48</f>
        <v>5905054.7955200635</v>
      </c>
      <c r="Q49" s="238">
        <f t="shared" ref="Q49" si="119">Q47*Q48</f>
        <v>6246305.8008940583</v>
      </c>
      <c r="R49" s="239">
        <f t="shared" ref="R49" si="120">R47*R48</f>
        <v>5905054.7955200635</v>
      </c>
      <c r="S49" s="238">
        <f t="shared" ref="S49" si="121">S47*S48</f>
        <v>6246305.8008940583</v>
      </c>
      <c r="U49" s="627"/>
      <c r="V49" s="118" t="s">
        <v>34</v>
      </c>
      <c r="W49" s="166" t="s">
        <v>35</v>
      </c>
      <c r="X49" s="237">
        <f>N49</f>
        <v>5852697.0704819271</v>
      </c>
      <c r="Y49" s="238">
        <f t="shared" si="108"/>
        <v>6165505.6987368828</v>
      </c>
      <c r="Z49" s="237">
        <f t="shared" si="109"/>
        <v>5905054.7955200635</v>
      </c>
      <c r="AA49" s="238">
        <f t="shared" si="110"/>
        <v>6246305.8008940583</v>
      </c>
      <c r="AB49" s="239">
        <f t="shared" si="111"/>
        <v>5905054.7955200635</v>
      </c>
      <c r="AC49" s="238">
        <f t="shared" si="112"/>
        <v>6246305.8008940583</v>
      </c>
      <c r="AE49" s="627"/>
      <c r="AF49" s="118" t="s">
        <v>34</v>
      </c>
      <c r="AG49" s="166" t="s">
        <v>35</v>
      </c>
      <c r="AH49" s="237">
        <f t="shared" ref="AH49" si="122">X49</f>
        <v>5852697.0704819271</v>
      </c>
      <c r="AI49" s="238">
        <f t="shared" si="113"/>
        <v>6165505.6987368828</v>
      </c>
      <c r="AJ49" s="237">
        <f t="shared" si="114"/>
        <v>5905054.7955200635</v>
      </c>
      <c r="AK49" s="238">
        <f t="shared" si="115"/>
        <v>6246305.8008940583</v>
      </c>
      <c r="AL49" s="239">
        <f t="shared" si="116"/>
        <v>5905054.7955200635</v>
      </c>
      <c r="AM49" s="238">
        <f t="shared" si="117"/>
        <v>6246305.8008940583</v>
      </c>
    </row>
    <row r="50" spans="1:39" ht="15" thickBot="1" x14ac:dyDescent="0.35">
      <c r="A50" s="628"/>
      <c r="B50" s="163" t="s">
        <v>225</v>
      </c>
      <c r="C50" s="167" t="s">
        <v>25</v>
      </c>
      <c r="D50" s="199" t="s">
        <v>72</v>
      </c>
      <c r="E50" s="200" t="s">
        <v>72</v>
      </c>
      <c r="F50" s="199" t="s">
        <v>72</v>
      </c>
      <c r="G50" s="200" t="s">
        <v>72</v>
      </c>
      <c r="H50" s="201" t="s">
        <v>72</v>
      </c>
      <c r="I50" s="200" t="s">
        <v>72</v>
      </c>
      <c r="K50" s="628"/>
      <c r="L50" s="163" t="s">
        <v>225</v>
      </c>
      <c r="M50" s="167" t="s">
        <v>25</v>
      </c>
      <c r="N50" s="199">
        <f t="shared" ref="N50:O50" si="123">N49/D49-1</f>
        <v>0</v>
      </c>
      <c r="O50" s="200">
        <f t="shared" si="123"/>
        <v>0</v>
      </c>
      <c r="P50" s="362">
        <f>P49/D49-1</f>
        <v>8.945914064509175E-3</v>
      </c>
      <c r="Q50" s="200">
        <f>Q49/E49-1</f>
        <v>1.3105186517584189E-2</v>
      </c>
      <c r="R50" s="201">
        <f>R49/D49-1</f>
        <v>8.945914064509175E-3</v>
      </c>
      <c r="S50" s="200">
        <f>S49/E49-1</f>
        <v>1.3105186517584189E-2</v>
      </c>
      <c r="U50" s="628"/>
      <c r="V50" s="163" t="s">
        <v>225</v>
      </c>
      <c r="W50" s="167" t="s">
        <v>25</v>
      </c>
      <c r="X50" s="199">
        <f>X49/D49-1</f>
        <v>0</v>
      </c>
      <c r="Y50" s="200">
        <f t="shared" ref="Y50" si="124">Y49/E49-1</f>
        <v>0</v>
      </c>
      <c r="Z50" s="199">
        <f>Z49/D49-1</f>
        <v>8.945914064509175E-3</v>
      </c>
      <c r="AA50" s="200">
        <f>AA49/E49-1</f>
        <v>1.3105186517584189E-2</v>
      </c>
      <c r="AB50" s="201">
        <f>AB49/D49-1</f>
        <v>8.945914064509175E-3</v>
      </c>
      <c r="AC50" s="200">
        <f>AC49/E49-1</f>
        <v>1.3105186517584189E-2</v>
      </c>
      <c r="AE50" s="628"/>
      <c r="AF50" s="163" t="s">
        <v>225</v>
      </c>
      <c r="AG50" s="167" t="s">
        <v>25</v>
      </c>
      <c r="AH50" s="199">
        <f>AH49/D49-1</f>
        <v>0</v>
      </c>
      <c r="AI50" s="200">
        <f t="shared" ref="AI50" si="125">AI49/E49-1</f>
        <v>0</v>
      </c>
      <c r="AJ50" s="199">
        <f>AJ49/D49-1</f>
        <v>8.945914064509175E-3</v>
      </c>
      <c r="AK50" s="200">
        <f>AK49/E49-1</f>
        <v>1.3105186517584189E-2</v>
      </c>
      <c r="AL50" s="201">
        <f>AL49/D49-1</f>
        <v>8.945914064509175E-3</v>
      </c>
      <c r="AM50" s="200">
        <f>AM49/E49-1</f>
        <v>1.3105186517584189E-2</v>
      </c>
    </row>
    <row r="51" spans="1:39" x14ac:dyDescent="0.3">
      <c r="A51" s="14"/>
      <c r="B51" s="14"/>
      <c r="C51" s="14"/>
      <c r="D51" s="192"/>
      <c r="E51" s="192"/>
      <c r="F51" s="192"/>
      <c r="G51" s="192"/>
      <c r="H51" s="192"/>
      <c r="I51" s="192"/>
      <c r="K51" s="14"/>
      <c r="L51" s="14"/>
      <c r="M51" s="14"/>
      <c r="N51" s="192"/>
      <c r="O51" s="192"/>
      <c r="P51" s="192"/>
      <c r="Q51" s="192"/>
      <c r="R51" s="192"/>
      <c r="S51" s="192"/>
      <c r="U51" s="14"/>
      <c r="V51" s="14"/>
      <c r="W51" s="14"/>
      <c r="X51" s="192"/>
      <c r="Y51" s="192"/>
      <c r="Z51" s="192"/>
      <c r="AA51" s="192"/>
      <c r="AB51" s="192"/>
      <c r="AC51" s="192"/>
      <c r="AH51" s="192"/>
      <c r="AI51" s="192"/>
      <c r="AJ51" s="192"/>
      <c r="AK51" s="192"/>
      <c r="AL51" s="192"/>
      <c r="AM51" s="192"/>
    </row>
    <row r="52" spans="1:39" ht="15" thickBot="1" x14ac:dyDescent="0.35">
      <c r="D52" s="64"/>
      <c r="E52" s="64"/>
      <c r="F52" s="64"/>
      <c r="G52" s="64"/>
      <c r="H52" s="64"/>
      <c r="I52" s="64"/>
      <c r="N52" s="64"/>
      <c r="O52" s="64"/>
      <c r="P52" s="64"/>
      <c r="Q52" s="64"/>
      <c r="R52" s="64"/>
      <c r="S52" s="64"/>
      <c r="X52" s="64"/>
      <c r="Y52" s="64"/>
      <c r="Z52" s="64"/>
      <c r="AA52" s="64"/>
      <c r="AB52" s="64"/>
      <c r="AC52" s="64"/>
      <c r="AE52" s="353" t="s">
        <v>255</v>
      </c>
      <c r="AF52" s="354"/>
      <c r="AG52" s="28"/>
      <c r="AH52" s="28"/>
      <c r="AI52" s="28"/>
      <c r="AJ52" s="28"/>
      <c r="AK52" s="28"/>
      <c r="AL52" s="28"/>
      <c r="AM52" s="28"/>
    </row>
    <row r="53" spans="1:39" x14ac:dyDescent="0.3">
      <c r="D53" s="64"/>
      <c r="E53" s="64"/>
      <c r="F53" s="64"/>
      <c r="G53" s="64"/>
      <c r="H53" s="64"/>
      <c r="I53" s="64"/>
      <c r="N53" s="64"/>
      <c r="O53" s="64"/>
      <c r="P53" s="64"/>
      <c r="Q53" s="64"/>
      <c r="R53" s="64"/>
      <c r="S53" s="64"/>
      <c r="X53" s="64"/>
      <c r="Y53" s="64"/>
      <c r="Z53" s="64"/>
      <c r="AA53" s="64"/>
      <c r="AB53" s="64"/>
      <c r="AC53" s="64"/>
      <c r="AE53" s="613" t="s">
        <v>257</v>
      </c>
      <c r="AF53" s="117" t="s">
        <v>8</v>
      </c>
      <c r="AG53" s="117" t="s">
        <v>121</v>
      </c>
      <c r="AH53" s="381">
        <f>(1-Indata!E9-Indata!E10)*'Indata - Effektsamband-Faktorer'!$D10*'Modell - Lätta fordon'!AH13*'Modell - Lätta fordon'!AH34/10</f>
        <v>2.757603163697889</v>
      </c>
      <c r="AI53" s="382">
        <f>(1-Indata!F9-Indata!F10)*'Indata - Effektsamband-Faktorer'!$E10*'Modell - Lätta fordon'!AI13*'Modell - Lätta fordon'!AI34/10</f>
        <v>-5.9281489073729757E-17</v>
      </c>
      <c r="AJ53" s="381">
        <f>(1-Indata!G9-Indata!G10)*'Indata - Effektsamband-Faktorer'!$D10*'Modell - Lätta fordon'!AJ13*'Modell - Lätta fordon'!AJ34/10</f>
        <v>2.8859806537646051</v>
      </c>
      <c r="AK53" s="382">
        <f>(1-Indata!H9-Indata!H10)*'Indata - Effektsamband-Faktorer'!$E10*'Modell - Lätta fordon'!AK13*'Modell - Lätta fordon'!AK34/10</f>
        <v>-6.3337868731979014E-17</v>
      </c>
      <c r="AL53" s="383">
        <f>(1-Indata!I9-Indata!I10)*'Indata - Effektsamband-Faktorer'!$D10*'Modell - Lätta fordon'!AL13*'Modell - Lätta fordon'!AL34/10</f>
        <v>2.8859806537646051</v>
      </c>
      <c r="AM53" s="382">
        <f>(1-Indata!J9-Indata!J10)*'Indata - Effektsamband-Faktorer'!$E10*'Modell - Lätta fordon'!AM13*'Modell - Lätta fordon'!AM34/10</f>
        <v>-6.3337868731979014E-17</v>
      </c>
    </row>
    <row r="54" spans="1:39" x14ac:dyDescent="0.3">
      <c r="D54" s="64"/>
      <c r="E54" s="64"/>
      <c r="F54" s="64"/>
      <c r="G54" s="64"/>
      <c r="H54" s="64"/>
      <c r="I54" s="64"/>
      <c r="N54" s="64"/>
      <c r="O54" s="64"/>
      <c r="P54" s="64"/>
      <c r="Q54" s="64"/>
      <c r="R54" s="64"/>
      <c r="S54" s="64"/>
      <c r="X54" s="64"/>
      <c r="Y54" s="64"/>
      <c r="Z54" s="64"/>
      <c r="AA54" s="64"/>
      <c r="AB54" s="64"/>
      <c r="AC54" s="64"/>
      <c r="AE54" s="614"/>
      <c r="AF54" s="118" t="s">
        <v>9</v>
      </c>
      <c r="AG54" s="118" t="s">
        <v>121</v>
      </c>
      <c r="AH54" s="384">
        <f>(1-Indata!E11-Indata!E12)*'Indata - Effektsamband-Faktorer'!$D11*'Modell - Lätta fordon'!AH14*'Modell - Lätta fordon'!AH35/10</f>
        <v>4.48590137866025</v>
      </c>
      <c r="AI54" s="385">
        <f>(1-Indata!F11-Indata!F12)*'Indata - Effektsamband-Faktorer'!$E11*'Modell - Lätta fordon'!AI14*'Modell - Lätta fordon'!AI35/10</f>
        <v>0</v>
      </c>
      <c r="AJ54" s="384">
        <f>(1-Indata!G11-Indata!G12)*'Indata - Effektsamband-Faktorer'!$D11*'Modell - Lätta fordon'!AJ14*'Modell - Lätta fordon'!AJ35/10</f>
        <v>4.6947380841226014</v>
      </c>
      <c r="AK54" s="385">
        <f>(1-Indata!H11-Indata!H12)*'Indata - Effektsamband-Faktorer'!$E11*'Modell - Lätta fordon'!AK14*'Modell - Lätta fordon'!AK35/10</f>
        <v>0</v>
      </c>
      <c r="AL54" s="386">
        <f>(1-Indata!I11-Indata!I12)*'Indata - Effektsamband-Faktorer'!$D11*'Modell - Lätta fordon'!AL14*'Modell - Lätta fordon'!AL35/10</f>
        <v>4.6947380841226014</v>
      </c>
      <c r="AM54" s="385">
        <f>(1-Indata!J11-Indata!J12)*'Indata - Effektsamband-Faktorer'!$E11*'Modell - Lätta fordon'!AM14*'Modell - Lätta fordon'!AM35/10</f>
        <v>0</v>
      </c>
    </row>
    <row r="55" spans="1:39" x14ac:dyDescent="0.3">
      <c r="D55" s="64"/>
      <c r="E55" s="64"/>
      <c r="F55" s="64"/>
      <c r="G55" s="64"/>
      <c r="H55" s="64"/>
      <c r="I55" s="64"/>
      <c r="N55" s="64"/>
      <c r="O55" s="64"/>
      <c r="P55" s="64"/>
      <c r="Q55" s="64"/>
      <c r="R55" s="64"/>
      <c r="S55" s="64"/>
      <c r="X55" s="64"/>
      <c r="Y55" s="64"/>
      <c r="Z55" s="64"/>
      <c r="AA55" s="64"/>
      <c r="AB55" s="64"/>
      <c r="AC55" s="64"/>
      <c r="AE55" s="614"/>
      <c r="AF55" s="118" t="s">
        <v>7</v>
      </c>
      <c r="AG55" s="118" t="s">
        <v>121</v>
      </c>
      <c r="AH55" s="387">
        <f>'Indata - Effektsamband-Faktorer'!$D12*'Modell - Lätta fordon'!AH15*'Modell - Lätta fordon'!AH36/10</f>
        <v>0</v>
      </c>
      <c r="AI55" s="388">
        <f>'Indata - Effektsamband-Faktorer'!$E12*'Modell - Lätta fordon'!AI15*'Modell - Lätta fordon'!AI36/10</f>
        <v>0</v>
      </c>
      <c r="AJ55" s="387">
        <f>'Indata - Effektsamband-Faktorer'!$D12*'Modell - Lätta fordon'!AJ15*'Modell - Lätta fordon'!AJ36/10</f>
        <v>0</v>
      </c>
      <c r="AK55" s="388">
        <f>'Indata - Effektsamband-Faktorer'!$E12*'Modell - Lätta fordon'!AK15*'Modell - Lätta fordon'!AK36/10</f>
        <v>0</v>
      </c>
      <c r="AL55" s="389">
        <f>'Indata - Effektsamband-Faktorer'!$D12*'Modell - Lätta fordon'!AL15*'Modell - Lätta fordon'!AL36/10</f>
        <v>0</v>
      </c>
      <c r="AM55" s="388">
        <f>'Indata - Effektsamband-Faktorer'!$E12*'Modell - Lätta fordon'!AM15*'Modell - Lätta fordon'!AM36/10</f>
        <v>0</v>
      </c>
    </row>
    <row r="56" spans="1:39" ht="15" thickBot="1" x14ac:dyDescent="0.35">
      <c r="D56" s="64"/>
      <c r="E56" s="64"/>
      <c r="F56" s="64"/>
      <c r="G56" s="64"/>
      <c r="H56" s="64"/>
      <c r="I56" s="64"/>
      <c r="N56" s="64"/>
      <c r="O56" s="64"/>
      <c r="P56" s="64"/>
      <c r="Q56" s="64"/>
      <c r="R56" s="64"/>
      <c r="S56" s="64"/>
      <c r="X56" s="64"/>
      <c r="Y56" s="64"/>
      <c r="Z56" s="64"/>
      <c r="AA56" s="64"/>
      <c r="AB56" s="64"/>
      <c r="AC56" s="64"/>
      <c r="AE56" s="615"/>
      <c r="AF56" s="164" t="s">
        <v>16</v>
      </c>
      <c r="AG56" s="164" t="s">
        <v>121</v>
      </c>
      <c r="AH56" s="390">
        <f>SUM(AH53:AH55)</f>
        <v>7.2435045423581386</v>
      </c>
      <c r="AI56" s="391">
        <f t="shared" ref="AI56:AM56" si="126">SUM(AI53:AI55)</f>
        <v>-5.9281489073729757E-17</v>
      </c>
      <c r="AJ56" s="390">
        <f t="shared" si="126"/>
        <v>7.5807187378872065</v>
      </c>
      <c r="AK56" s="391">
        <f t="shared" si="126"/>
        <v>-6.3337868731979014E-17</v>
      </c>
      <c r="AL56" s="392">
        <f t="shared" si="126"/>
        <v>7.5807187378872065</v>
      </c>
      <c r="AM56" s="391">
        <f t="shared" si="126"/>
        <v>-6.3337868731979014E-17</v>
      </c>
    </row>
    <row r="57" spans="1:39" x14ac:dyDescent="0.3">
      <c r="D57" s="64"/>
      <c r="E57" s="64"/>
      <c r="F57" s="64"/>
      <c r="G57" s="64"/>
      <c r="H57" s="64"/>
      <c r="I57" s="64"/>
      <c r="N57" s="64"/>
      <c r="O57" s="64"/>
      <c r="P57" s="64"/>
      <c r="Q57" s="64"/>
      <c r="R57" s="64"/>
      <c r="S57" s="64"/>
      <c r="X57" s="64"/>
      <c r="Y57" s="64"/>
      <c r="Z57" s="64"/>
      <c r="AA57" s="64"/>
      <c r="AB57" s="64"/>
      <c r="AC57" s="64"/>
      <c r="AE57" s="613" t="s">
        <v>264</v>
      </c>
      <c r="AF57" s="117" t="s">
        <v>8</v>
      </c>
      <c r="AG57" s="117" t="s">
        <v>276</v>
      </c>
      <c r="AH57" s="381">
        <f>'Indata - Effektsamband-Faktorer'!$D13*'Modell - Lätta fordon'!AH34</f>
        <v>1.809859854396022</v>
      </c>
      <c r="AI57" s="382">
        <f>'Indata - Effektsamband-Faktorer'!$E13*'Modell - Lätta fordon'!AI34</f>
        <v>0.37645705465569856</v>
      </c>
      <c r="AJ57" s="381">
        <f>'Indata - Effektsamband-Faktorer'!$D13*'Modell - Lätta fordon'!AJ34</f>
        <v>1.8941160913116712</v>
      </c>
      <c r="AK57" s="382">
        <f>'Indata - Effektsamband-Faktorer'!$E13*'Modell - Lätta fordon'!AK34</f>
        <v>0.40221640656419361</v>
      </c>
      <c r="AL57" s="383">
        <f>'Indata - Effektsamband-Faktorer'!$D13*'Modell - Lätta fordon'!AL34</f>
        <v>1.8941160913116712</v>
      </c>
      <c r="AM57" s="382">
        <f>'Indata - Effektsamband-Faktorer'!$E13*'Modell - Lätta fordon'!AM34</f>
        <v>0.40221640656419361</v>
      </c>
    </row>
    <row r="58" spans="1:39" x14ac:dyDescent="0.3">
      <c r="D58" s="64"/>
      <c r="E58" s="64"/>
      <c r="F58" s="64"/>
      <c r="G58" s="64"/>
      <c r="H58" s="64"/>
      <c r="I58" s="64"/>
      <c r="N58" s="64"/>
      <c r="O58" s="64"/>
      <c r="P58" s="64"/>
      <c r="Q58" s="64"/>
      <c r="R58" s="64"/>
      <c r="S58" s="64"/>
      <c r="X58" s="64"/>
      <c r="Y58" s="64"/>
      <c r="Z58" s="64"/>
      <c r="AA58" s="64"/>
      <c r="AB58" s="64"/>
      <c r="AC58" s="64"/>
      <c r="AE58" s="614"/>
      <c r="AF58" s="118" t="s">
        <v>9</v>
      </c>
      <c r="AG58" s="118" t="s">
        <v>276</v>
      </c>
      <c r="AH58" s="384">
        <f>'Indata - Effektsamband-Faktorer'!$D14*'Modell - Lätta fordon'!AH35</f>
        <v>7.7387159948557169</v>
      </c>
      <c r="AI58" s="385">
        <f>'Indata - Effektsamband-Faktorer'!$E14*'Modell - Lätta fordon'!AI35</f>
        <v>0.38024992711430039</v>
      </c>
      <c r="AJ58" s="384">
        <f>'Indata - Effektsamband-Faktorer'!$D14*'Modell - Lätta fordon'!AJ35</f>
        <v>8.0989842701598747</v>
      </c>
      <c r="AK58" s="385">
        <f>'Indata - Effektsamband-Faktorer'!$E14*'Modell - Lätta fordon'!AK35</f>
        <v>0.40626880912110763</v>
      </c>
      <c r="AL58" s="386">
        <f>'Indata - Effektsamband-Faktorer'!$D14*'Modell - Lätta fordon'!AL35</f>
        <v>8.0989842701598747</v>
      </c>
      <c r="AM58" s="385">
        <f>'Indata - Effektsamband-Faktorer'!$E14*'Modell - Lätta fordon'!AM35</f>
        <v>0.40626880912110763</v>
      </c>
    </row>
    <row r="59" spans="1:39" x14ac:dyDescent="0.3">
      <c r="D59" s="64"/>
      <c r="E59" s="64"/>
      <c r="F59" s="64"/>
      <c r="G59" s="64"/>
      <c r="H59" s="64"/>
      <c r="I59" s="64"/>
      <c r="N59" s="64"/>
      <c r="O59" s="64"/>
      <c r="P59" s="64"/>
      <c r="Q59" s="64"/>
      <c r="R59" s="64"/>
      <c r="S59" s="64"/>
      <c r="X59" s="64"/>
      <c r="Y59" s="64"/>
      <c r="Z59" s="64"/>
      <c r="AA59" s="64"/>
      <c r="AB59" s="64"/>
      <c r="AC59" s="64"/>
      <c r="AE59" s="614"/>
      <c r="AF59" s="118" t="s">
        <v>7</v>
      </c>
      <c r="AG59" s="118" t="s">
        <v>276</v>
      </c>
      <c r="AH59" s="387">
        <v>0</v>
      </c>
      <c r="AI59" s="388">
        <v>0</v>
      </c>
      <c r="AJ59" s="387">
        <v>0</v>
      </c>
      <c r="AK59" s="388">
        <v>0</v>
      </c>
      <c r="AL59" s="389">
        <v>0</v>
      </c>
      <c r="AM59" s="388">
        <v>0</v>
      </c>
    </row>
    <row r="60" spans="1:39" ht="15" thickBot="1" x14ac:dyDescent="0.35">
      <c r="D60" s="64"/>
      <c r="E60" s="64"/>
      <c r="F60" s="64"/>
      <c r="G60" s="64"/>
      <c r="H60" s="64"/>
      <c r="I60" s="64"/>
      <c r="N60" s="64"/>
      <c r="O60" s="64"/>
      <c r="P60" s="64"/>
      <c r="Q60" s="64"/>
      <c r="R60" s="64"/>
      <c r="S60" s="64"/>
      <c r="X60" s="64"/>
      <c r="Y60" s="64"/>
      <c r="Z60" s="64"/>
      <c r="AA60" s="64"/>
      <c r="AB60" s="64"/>
      <c r="AC60" s="64"/>
      <c r="AE60" s="615"/>
      <c r="AF60" s="164" t="s">
        <v>16</v>
      </c>
      <c r="AG60" s="164" t="s">
        <v>276</v>
      </c>
      <c r="AH60" s="395">
        <f>SUM(AH57:AH59)</f>
        <v>9.5485758492517387</v>
      </c>
      <c r="AI60" s="396">
        <f t="shared" ref="AI60:AM60" si="127">SUM(AI57:AI59)</f>
        <v>0.75670698176999895</v>
      </c>
      <c r="AJ60" s="395">
        <f t="shared" si="127"/>
        <v>9.9931003614715461</v>
      </c>
      <c r="AK60" s="396">
        <f t="shared" si="127"/>
        <v>0.80848521568530129</v>
      </c>
      <c r="AL60" s="403">
        <f t="shared" si="127"/>
        <v>9.9931003614715461</v>
      </c>
      <c r="AM60" s="396">
        <f t="shared" si="127"/>
        <v>0.80848521568530129</v>
      </c>
    </row>
    <row r="61" spans="1:39" x14ac:dyDescent="0.3">
      <c r="D61" s="64"/>
      <c r="E61" s="64"/>
      <c r="F61" s="64"/>
      <c r="G61" s="64"/>
      <c r="H61" s="64"/>
      <c r="I61" s="64"/>
      <c r="N61" s="64"/>
      <c r="O61" s="64"/>
      <c r="P61" s="64"/>
      <c r="Q61" s="64"/>
      <c r="R61" s="64"/>
      <c r="S61" s="64"/>
      <c r="X61" s="64"/>
      <c r="Y61" s="64"/>
      <c r="Z61" s="64"/>
      <c r="AA61" s="64"/>
      <c r="AB61" s="64"/>
      <c r="AC61" s="64"/>
      <c r="AE61" s="613" t="s">
        <v>258</v>
      </c>
      <c r="AF61" s="117" t="s">
        <v>8</v>
      </c>
      <c r="AG61" s="117" t="s">
        <v>276</v>
      </c>
      <c r="AH61" s="393">
        <f>'Indata - Effektsamband-Faktorer'!$D16*'Modell - Lätta fordon'!AH34</f>
        <v>2.4290213659512068E-2</v>
      </c>
      <c r="AI61" s="400">
        <f>'Indata - Effektsamband-Faktorer'!$E16*'Modell - Lätta fordon'!AI34</f>
        <v>4.4018671474188864E-3</v>
      </c>
      <c r="AJ61" s="393">
        <f>'Indata - Effektsamband-Faktorer'!$D16*'Modell - Lätta fordon'!AJ34</f>
        <v>2.542102055146922E-2</v>
      </c>
      <c r="AK61" s="400">
        <f>'Indata - Effektsamband-Faktorer'!$E16*'Modell - Lätta fordon'!AK34</f>
        <v>4.7030681569430943E-3</v>
      </c>
      <c r="AL61" s="393">
        <f>'Indata - Effektsamband-Faktorer'!$D16*'Modell - Lätta fordon'!AL34</f>
        <v>2.542102055146922E-2</v>
      </c>
      <c r="AM61" s="398">
        <f>'Indata - Effektsamband-Faktorer'!$E16*'Modell - Lätta fordon'!AM34</f>
        <v>4.7030681569430943E-3</v>
      </c>
    </row>
    <row r="62" spans="1:39" x14ac:dyDescent="0.3">
      <c r="D62" s="64"/>
      <c r="E62" s="64"/>
      <c r="F62" s="64"/>
      <c r="G62" s="64"/>
      <c r="H62" s="64"/>
      <c r="I62" s="64"/>
      <c r="N62" s="64"/>
      <c r="O62" s="64"/>
      <c r="P62" s="64"/>
      <c r="Q62" s="64"/>
      <c r="R62" s="64"/>
      <c r="S62" s="64"/>
      <c r="X62" s="64"/>
      <c r="Y62" s="64"/>
      <c r="Z62" s="64"/>
      <c r="AA62" s="64"/>
      <c r="AB62" s="64"/>
      <c r="AC62" s="64"/>
      <c r="AE62" s="614"/>
      <c r="AF62" s="118" t="s">
        <v>9</v>
      </c>
      <c r="AG62" s="118" t="s">
        <v>276</v>
      </c>
      <c r="AH62" s="387">
        <f>'Indata - Effektsamband-Faktorer'!$D17*'Modell - Lätta fordon'!AH35</f>
        <v>8.146483895338455E-2</v>
      </c>
      <c r="AI62" s="401">
        <f>'Indata - Effektsamband-Faktorer'!$E17*'Modell - Lätta fordon'!AI35</f>
        <v>8.4741593671738766E-3</v>
      </c>
      <c r="AJ62" s="387">
        <f>'Indata - Effektsamband-Faktorer'!$D17*'Modell - Lätta fordon'!AJ35</f>
        <v>8.5257354022703097E-2</v>
      </c>
      <c r="AK62" s="401">
        <f>'Indata - Effektsamband-Faktorer'!$E17*'Modell - Lätta fordon'!AK35</f>
        <v>9.0540099784669602E-3</v>
      </c>
      <c r="AL62" s="387">
        <f>'Indata - Effektsamband-Faktorer'!$D17*'Modell - Lätta fordon'!AL35</f>
        <v>8.5257354022703097E-2</v>
      </c>
      <c r="AM62" s="388">
        <f>'Indata - Effektsamband-Faktorer'!$E17*'Modell - Lätta fordon'!AM35</f>
        <v>9.0540099784669602E-3</v>
      </c>
    </row>
    <row r="63" spans="1:39" x14ac:dyDescent="0.3">
      <c r="D63" s="64"/>
      <c r="E63" s="64"/>
      <c r="F63" s="64"/>
      <c r="G63" s="64"/>
      <c r="H63" s="64"/>
      <c r="I63" s="64"/>
      <c r="N63" s="64"/>
      <c r="O63" s="64"/>
      <c r="P63" s="64"/>
      <c r="Q63" s="64"/>
      <c r="R63" s="64"/>
      <c r="S63" s="64"/>
      <c r="X63" s="64"/>
      <c r="Y63" s="64"/>
      <c r="Z63" s="64"/>
      <c r="AA63" s="64"/>
      <c r="AB63" s="64"/>
      <c r="AC63" s="64"/>
      <c r="AE63" s="614"/>
      <c r="AF63" s="118" t="s">
        <v>7</v>
      </c>
      <c r="AG63" s="118" t="s">
        <v>276</v>
      </c>
      <c r="AH63" s="387">
        <v>0</v>
      </c>
      <c r="AI63" s="401">
        <v>0</v>
      </c>
      <c r="AJ63" s="387">
        <v>0</v>
      </c>
      <c r="AK63" s="401">
        <v>0</v>
      </c>
      <c r="AL63" s="387">
        <v>0</v>
      </c>
      <c r="AM63" s="388">
        <v>0</v>
      </c>
    </row>
    <row r="64" spans="1:39" ht="15" thickBot="1" x14ac:dyDescent="0.35">
      <c r="D64" s="64"/>
      <c r="E64" s="64"/>
      <c r="F64" s="64"/>
      <c r="G64" s="64"/>
      <c r="H64" s="64"/>
      <c r="I64" s="64"/>
      <c r="N64" s="64"/>
      <c r="O64" s="64"/>
      <c r="P64" s="64"/>
      <c r="Q64" s="64"/>
      <c r="R64" s="64"/>
      <c r="S64" s="64"/>
      <c r="X64" s="64"/>
      <c r="Y64" s="64"/>
      <c r="Z64" s="64"/>
      <c r="AA64" s="64"/>
      <c r="AB64" s="64"/>
      <c r="AC64" s="64"/>
      <c r="AE64" s="615"/>
      <c r="AF64" s="164" t="s">
        <v>16</v>
      </c>
      <c r="AG64" s="164" t="s">
        <v>276</v>
      </c>
      <c r="AH64" s="394">
        <f>SUM(AH61:AH63)</f>
        <v>0.10575505261289661</v>
      </c>
      <c r="AI64" s="402">
        <f>SUM(AI61:AI63)</f>
        <v>1.2876026514592763E-2</v>
      </c>
      <c r="AJ64" s="394">
        <f>SUM(AJ61:AJ63)</f>
        <v>0.11067837457417232</v>
      </c>
      <c r="AK64" s="402">
        <f>SUM(AK61:AK63)</f>
        <v>1.3757078135410054E-2</v>
      </c>
      <c r="AL64" s="394">
        <f t="shared" ref="AL64:AM64" si="128">SUM(AL61:AL63)</f>
        <v>0.11067837457417232</v>
      </c>
      <c r="AM64" s="399">
        <f t="shared" si="128"/>
        <v>1.3757078135410054E-2</v>
      </c>
    </row>
    <row r="65" spans="4:39" ht="15" thickBot="1" x14ac:dyDescent="0.35">
      <c r="D65" s="64"/>
      <c r="E65" s="64"/>
      <c r="F65" s="64"/>
      <c r="G65" s="64"/>
      <c r="H65" s="64"/>
      <c r="I65" s="64"/>
      <c r="N65" s="64"/>
      <c r="O65" s="64"/>
      <c r="P65" s="64"/>
      <c r="Q65" s="64"/>
      <c r="R65" s="64"/>
      <c r="S65" s="64"/>
      <c r="X65" s="64"/>
      <c r="Y65" s="64"/>
      <c r="Z65" s="64"/>
      <c r="AA65" s="64"/>
      <c r="AB65" s="64"/>
      <c r="AC65" s="64"/>
      <c r="AE65" s="339" t="s">
        <v>259</v>
      </c>
      <c r="AF65" s="164" t="s">
        <v>16</v>
      </c>
      <c r="AG65" s="164" t="s">
        <v>276</v>
      </c>
      <c r="AH65" s="397">
        <f>'Indata - Effektsamband-Faktorer'!$D19*'Modell - Lätta fordon'!AH37</f>
        <v>11.549145724162928</v>
      </c>
      <c r="AI65" s="397">
        <f>'Indata - Effektsamband-Faktorer'!$D19*'Modell - Lätta fordon'!AI37</f>
        <v>13.298556466324985</v>
      </c>
      <c r="AJ65" s="397">
        <f>'Indata - Effektsamband-Faktorer'!$D19*'Modell - Lätta fordon'!AJ37</f>
        <v>12.086804789833051</v>
      </c>
      <c r="AK65" s="397">
        <f>'Indata - Effektsamband-Faktorer'!$D19*'Modell - Lätta fordon'!AK37</f>
        <v>14.208520011049519</v>
      </c>
      <c r="AL65" s="397">
        <f>'Indata - Effektsamband-Faktorer'!$D19*'Modell - Lätta fordon'!AL37</f>
        <v>12.086804789833051</v>
      </c>
      <c r="AM65" s="397">
        <f>'Indata - Effektsamband-Faktorer'!$D19*'Modell - Lätta fordon'!AM37</f>
        <v>14.208520011049519</v>
      </c>
    </row>
    <row r="66" spans="4:39" x14ac:dyDescent="0.3">
      <c r="D66" s="64"/>
      <c r="E66" s="64"/>
      <c r="F66" s="64"/>
      <c r="G66" s="64"/>
      <c r="H66" s="64"/>
      <c r="I66" s="64"/>
      <c r="N66" s="64"/>
      <c r="O66" s="64"/>
      <c r="P66" s="64"/>
      <c r="Q66" s="64"/>
      <c r="R66" s="64"/>
      <c r="S66" s="64"/>
      <c r="X66" s="64"/>
      <c r="Y66" s="64"/>
      <c r="Z66" s="64"/>
      <c r="AA66" s="64"/>
      <c r="AB66" s="64"/>
      <c r="AC66" s="64"/>
    </row>
    <row r="67" spans="4:39" ht="15" thickBot="1" x14ac:dyDescent="0.35">
      <c r="D67" s="64"/>
      <c r="E67" s="64"/>
      <c r="F67" s="64"/>
      <c r="G67" s="64"/>
      <c r="H67" s="64"/>
      <c r="I67" s="64"/>
      <c r="N67" s="64"/>
      <c r="O67" s="64"/>
      <c r="P67" s="64"/>
      <c r="Q67" s="64"/>
      <c r="R67" s="64"/>
      <c r="S67" s="64"/>
      <c r="X67" s="64"/>
      <c r="Y67" s="64"/>
      <c r="Z67" s="64"/>
      <c r="AA67" s="64"/>
      <c r="AB67" s="64"/>
      <c r="AC67" s="64"/>
      <c r="AE67" s="30" t="s">
        <v>256</v>
      </c>
      <c r="AF67" s="28"/>
      <c r="AG67" s="28"/>
      <c r="AH67" s="28"/>
      <c r="AI67" s="28"/>
      <c r="AJ67" s="28"/>
      <c r="AK67" s="28"/>
      <c r="AL67" s="28"/>
      <c r="AM67" s="28"/>
    </row>
    <row r="68" spans="4:39" x14ac:dyDescent="0.3">
      <c r="D68" s="64"/>
      <c r="E68" s="64"/>
      <c r="F68" s="64"/>
      <c r="G68" s="64"/>
      <c r="H68" s="64"/>
      <c r="I68" s="64"/>
      <c r="N68" s="64"/>
      <c r="O68" s="64"/>
      <c r="P68" s="64"/>
      <c r="Q68" s="64"/>
      <c r="R68" s="64"/>
      <c r="S68" s="64"/>
      <c r="X68" s="64"/>
      <c r="Y68" s="64"/>
      <c r="Z68" s="64"/>
      <c r="AA68" s="64"/>
      <c r="AB68" s="64"/>
      <c r="AC68" s="64"/>
      <c r="AE68" s="613" t="s">
        <v>123</v>
      </c>
      <c r="AF68" s="117" t="s">
        <v>90</v>
      </c>
      <c r="AG68" s="165" t="s">
        <v>122</v>
      </c>
      <c r="AH68" s="220">
        <f>(1-Indata!E$9-Indata!E$10)*'Indata - Effektsamband-Faktorer'!$D21*'Modell - Lätta fordon'!AH$13*'Modell - Lätta fordon'!AH$34/10</f>
        <v>10.633130843072369</v>
      </c>
      <c r="AI68" s="221">
        <f>(1-Indata!F$9-Indata!F$10)*'Indata - Effektsamband-Faktorer'!$E21*'Modell - Lätta fordon'!AI$13*'Modell - Lätta fordon'!AI$34/10</f>
        <v>-2.2858540278429696E-16</v>
      </c>
      <c r="AJ68" s="220">
        <f>(1-Indata!G$9-Indata!G$10)*'Indata - Effektsamband-Faktorer'!$D21*'Modell - Lätta fordon'!AJ$13*'Modell - Lätta fordon'!AJ$34/10</f>
        <v>11.128145741210977</v>
      </c>
      <c r="AK68" s="221">
        <f>(1-Indata!H$9-Indata!H$10)*'Indata - Effektsamband-Faktorer'!$E21*'Modell - Lätta fordon'!AK$13*'Modell - Lätta fordon'!AK$34/10</f>
        <v>-2.442265277377157E-16</v>
      </c>
      <c r="AL68" s="222">
        <f>(1-Indata!I$9-Indata!I$10)*'Indata - Effektsamband-Faktorer'!$D21*'Modell - Lätta fordon'!AL$13*'Modell - Lätta fordon'!AL$34/10</f>
        <v>11.128145741210977</v>
      </c>
      <c r="AM68" s="221">
        <f>(1-Indata!J$9-Indata!J$10)*'Indata - Effektsamband-Faktorer'!$E21*'Modell - Lätta fordon'!AM$13*'Modell - Lätta fordon'!AM$34/10</f>
        <v>-2.442265277377157E-16</v>
      </c>
    </row>
    <row r="69" spans="4:39" x14ac:dyDescent="0.3">
      <c r="D69" s="64"/>
      <c r="E69" s="64"/>
      <c r="F69" s="64"/>
      <c r="G69" s="64"/>
      <c r="H69" s="64"/>
      <c r="I69" s="64"/>
      <c r="N69" s="64"/>
      <c r="O69" s="64"/>
      <c r="P69" s="64"/>
      <c r="Q69" s="64"/>
      <c r="R69" s="64"/>
      <c r="S69" s="64"/>
      <c r="X69" s="64"/>
      <c r="Y69" s="64"/>
      <c r="Z69" s="64"/>
      <c r="AA69" s="64"/>
      <c r="AB69" s="64"/>
      <c r="AC69" s="64"/>
      <c r="AE69" s="614"/>
      <c r="AF69" s="118" t="s">
        <v>91</v>
      </c>
      <c r="AG69" s="166" t="s">
        <v>122</v>
      </c>
      <c r="AH69" s="223">
        <f>(1-Indata!E$11-Indata!E$12)*'Indata - Effektsamband-Faktorer'!$D22*'Modell - Lätta fordon'!AH$14*'Modell - Lätta fordon'!AH$35/10</f>
        <v>17.307808468846634</v>
      </c>
      <c r="AI69" s="224">
        <f>(1-Indata!F$11-Indata!F$12)*'Indata - Effektsamband-Faktorer'!$E22*'Modell - Lätta fordon'!AI$14*'Modell - Lätta fordon'!AI$35/10</f>
        <v>0</v>
      </c>
      <c r="AJ69" s="223">
        <f>(1-Indata!G$11-Indata!G$12)*'Indata - Effektsamband-Faktorer'!$D22*'Modell - Lätta fordon'!AJ$14*'Modell - Lätta fordon'!AJ$35/10</f>
        <v>18.113556387559644</v>
      </c>
      <c r="AK69" s="224">
        <f>(1-Indata!H$11-Indata!H$12)*'Indata - Effektsamband-Faktorer'!$E22*'Modell - Lätta fordon'!AK$14*'Modell - Lätta fordon'!AK$35/10</f>
        <v>0</v>
      </c>
      <c r="AL69" s="225">
        <f>(1-Indata!I$11-Indata!I$12)*'Indata - Effektsamband-Faktorer'!$D22*'Modell - Lätta fordon'!AL$14*'Modell - Lätta fordon'!AL$35/10</f>
        <v>18.113556387559644</v>
      </c>
      <c r="AM69" s="224">
        <f>(1-Indata!J$11-Indata!J$12)*'Indata - Effektsamband-Faktorer'!$E22*'Modell - Lätta fordon'!AM$14*'Modell - Lätta fordon'!AM$35/10</f>
        <v>0</v>
      </c>
    </row>
    <row r="70" spans="4:39" x14ac:dyDescent="0.3">
      <c r="D70" s="64"/>
      <c r="E70" s="64"/>
      <c r="F70" s="64"/>
      <c r="G70" s="64"/>
      <c r="H70" s="64"/>
      <c r="I70" s="64"/>
      <c r="N70" s="64"/>
      <c r="O70" s="64"/>
      <c r="P70" s="64"/>
      <c r="Q70" s="64"/>
      <c r="R70" s="64"/>
      <c r="S70" s="64"/>
      <c r="X70" s="64"/>
      <c r="Y70" s="64"/>
      <c r="Z70" s="64"/>
      <c r="AA70" s="64"/>
      <c r="AB70" s="64"/>
      <c r="AC70" s="64"/>
      <c r="AE70" s="614"/>
      <c r="AF70" s="118" t="s">
        <v>92</v>
      </c>
      <c r="AG70" s="166" t="s">
        <v>122</v>
      </c>
      <c r="AH70" s="223">
        <f>(Indata!E$9*'Indata - Effektsamband-Faktorer'!$D$23+Indata!E$10*'Indata - Effektsamband-Faktorer'!$D$24)*'Modell - Lätta fordon'!AH$13*'Modell - Lätta fordon'!AH$34/10</f>
        <v>0.7013900389309432</v>
      </c>
      <c r="AI70" s="224">
        <f>(Indata!F$9*'Indata - Effektsamband-Faktorer'!$E$23+Indata!F$10*'Indata - Effektsamband-Faktorer'!$E$24)*'Modell - Lätta fordon'!AI$13*'Modell - Lätta fordon'!AI$34/10</f>
        <v>1.9781414790266407</v>
      </c>
      <c r="AJ70" s="223">
        <f>(Indata!G$9*'Indata - Effektsamband-Faktorer'!$D$23+Indata!G$10*'Indata - Effektsamband-Faktorer'!$D$24)*'Modell - Lätta fordon'!AJ$13*'Modell - Lätta fordon'!AJ$34/10</f>
        <v>0.7340425590401114</v>
      </c>
      <c r="AK70" s="224">
        <f>(Indata!H$9*'Indata - Effektsamband-Faktorer'!$E$23+Indata!H$10*'Indata - Effektsamband-Faktorer'!$E$24)*'Modell - Lätta fordon'!AK$13*'Modell - Lätta fordon'!AK$34/10</f>
        <v>2.1134972702194537</v>
      </c>
      <c r="AL70" s="225">
        <f>(Indata!I$9*'Indata - Effektsamband-Faktorer'!$D$23+Indata!I$10*'Indata - Effektsamband-Faktorer'!$D$24)*'Modell - Lätta fordon'!AL$13*'Modell - Lätta fordon'!AL$34/10</f>
        <v>0.7340425590401114</v>
      </c>
      <c r="AM70" s="224">
        <f>(Indata!J$9*'Indata - Effektsamband-Faktorer'!$E$23+Indata!J$10*'Indata - Effektsamband-Faktorer'!$E$24)*'Modell - Lätta fordon'!AM$13*'Modell - Lätta fordon'!AM$34/10</f>
        <v>2.1134972702194537</v>
      </c>
    </row>
    <row r="71" spans="4:39" x14ac:dyDescent="0.3">
      <c r="D71" s="64"/>
      <c r="E71" s="64"/>
      <c r="F71" s="64"/>
      <c r="G71" s="64"/>
      <c r="H71" s="64"/>
      <c r="I71" s="64"/>
      <c r="N71" s="64"/>
      <c r="O71" s="64"/>
      <c r="P71" s="64"/>
      <c r="Q71" s="64"/>
      <c r="R71" s="64"/>
      <c r="S71" s="64"/>
      <c r="X71" s="64"/>
      <c r="Y71" s="64"/>
      <c r="Z71" s="64"/>
      <c r="AA71" s="64"/>
      <c r="AB71" s="64"/>
      <c r="AC71" s="64"/>
      <c r="AE71" s="614"/>
      <c r="AF71" s="118" t="s">
        <v>94</v>
      </c>
      <c r="AG71" s="166" t="s">
        <v>122</v>
      </c>
      <c r="AH71" s="223">
        <f>(Indata!E$11*'Indata - Effektsamband-Faktorer'!$D$25+Indata!E$12*'Indata - Effektsamband-Faktorer'!$D$26)*'Modell - Lätta fordon'!AH$14*'Modell - Lätta fordon'!AH$35/10</f>
        <v>2.5967027364789579</v>
      </c>
      <c r="AI71" s="224">
        <f>(Indata!F$11*'Indata - Effektsamband-Faktorer'!$E$25+Indata!F$12*'Indata - Effektsamband-Faktorer'!$E$26)*'Modell - Lätta fordon'!AI$14*'Modell - Lätta fordon'!AI$35/10</f>
        <v>1.8317209727066284</v>
      </c>
      <c r="AJ71" s="223">
        <f>(Indata!G$11*'Indata - Effektsamband-Faktorer'!$D$25+Indata!G$12*'Indata - Effektsamband-Faktorer'!$D$26)*'Modell - Lätta fordon'!AJ$14*'Modell - Lätta fordon'!AJ$35/10</f>
        <v>2.7175896661673891</v>
      </c>
      <c r="AK71" s="224">
        <f>(Indata!H$11*'Indata - Effektsamband-Faktorer'!$E$25+Indata!H$12*'Indata - Effektsamband-Faktorer'!$E$26)*'Modell - Lätta fordon'!AK$14*'Modell - Lätta fordon'!AK$35/10</f>
        <v>1.9570578326501202</v>
      </c>
      <c r="AL71" s="225">
        <f>(Indata!I$11*'Indata - Effektsamband-Faktorer'!$D$25+Indata!I$12*'Indata - Effektsamband-Faktorer'!$D$26)*'Modell - Lätta fordon'!AL$14*'Modell - Lätta fordon'!AL$35/10</f>
        <v>2.7175896661673891</v>
      </c>
      <c r="AM71" s="224">
        <f>(Indata!J$11*'Indata - Effektsamband-Faktorer'!$E$25+Indata!J$12*'Indata - Effektsamband-Faktorer'!$E$26)*'Modell - Lätta fordon'!AM$14*'Modell - Lätta fordon'!AM$35/10</f>
        <v>1.9570578326501202</v>
      </c>
    </row>
    <row r="72" spans="4:39" x14ac:dyDescent="0.3">
      <c r="AE72" s="614"/>
      <c r="AF72" s="118" t="s">
        <v>7</v>
      </c>
      <c r="AG72" s="166" t="s">
        <v>122</v>
      </c>
      <c r="AH72" s="223">
        <f t="shared" ref="AH72:AM72" si="129">AH15*AH36/10</f>
        <v>10.49025848610113</v>
      </c>
      <c r="AI72" s="224">
        <f t="shared" si="129"/>
        <v>24.729259055394472</v>
      </c>
      <c r="AJ72" s="223">
        <f t="shared" si="129"/>
        <v>10.978622102855477</v>
      </c>
      <c r="AK72" s="224">
        <f t="shared" si="129"/>
        <v>26.421376864228847</v>
      </c>
      <c r="AL72" s="225">
        <f t="shared" si="129"/>
        <v>10.978622102855477</v>
      </c>
      <c r="AM72" s="224">
        <f t="shared" si="129"/>
        <v>26.421376864228847</v>
      </c>
    </row>
    <row r="73" spans="4:39" x14ac:dyDescent="0.3">
      <c r="AE73" s="614"/>
      <c r="AF73" s="162" t="s">
        <v>124</v>
      </c>
      <c r="AG73" s="243" t="s">
        <v>122</v>
      </c>
      <c r="AH73" s="193">
        <f>SUM(AH68:AH69)</f>
        <v>27.940939311919003</v>
      </c>
      <c r="AI73" s="194">
        <f t="shared" ref="AI73:AM73" si="130">SUM(AI68:AI69)</f>
        <v>-2.2858540278429696E-16</v>
      </c>
      <c r="AJ73" s="193">
        <f t="shared" si="130"/>
        <v>29.241702128770619</v>
      </c>
      <c r="AK73" s="194">
        <f t="shared" si="130"/>
        <v>-2.442265277377157E-16</v>
      </c>
      <c r="AL73" s="195">
        <f t="shared" si="130"/>
        <v>29.241702128770619</v>
      </c>
      <c r="AM73" s="194">
        <f t="shared" si="130"/>
        <v>-2.442265277377157E-16</v>
      </c>
    </row>
    <row r="74" spans="4:39" x14ac:dyDescent="0.3">
      <c r="AE74" s="614"/>
      <c r="AF74" s="162" t="s">
        <v>125</v>
      </c>
      <c r="AG74" s="243" t="s">
        <v>122</v>
      </c>
      <c r="AH74" s="193">
        <f>SUM(AH70:AH71)</f>
        <v>3.2980927754099012</v>
      </c>
      <c r="AI74" s="194">
        <f t="shared" ref="AI74:AM74" si="131">SUM(AI70:AI71)</f>
        <v>3.8098624517332693</v>
      </c>
      <c r="AJ74" s="193">
        <f t="shared" si="131"/>
        <v>3.4516322252075007</v>
      </c>
      <c r="AK74" s="194">
        <f t="shared" si="131"/>
        <v>4.0705551028695739</v>
      </c>
      <c r="AL74" s="195">
        <f t="shared" si="131"/>
        <v>3.4516322252075007</v>
      </c>
      <c r="AM74" s="194">
        <f t="shared" si="131"/>
        <v>4.0705551028695739</v>
      </c>
    </row>
    <row r="75" spans="4:39" ht="15" thickBot="1" x14ac:dyDescent="0.35">
      <c r="AE75" s="615"/>
      <c r="AF75" s="164" t="s">
        <v>126</v>
      </c>
      <c r="AG75" s="244" t="s">
        <v>122</v>
      </c>
      <c r="AH75" s="196">
        <f>AH72</f>
        <v>10.49025848610113</v>
      </c>
      <c r="AI75" s="197">
        <f t="shared" ref="AI75:AM75" si="132">AI72</f>
        <v>24.729259055394472</v>
      </c>
      <c r="AJ75" s="196">
        <f t="shared" si="132"/>
        <v>10.978622102855477</v>
      </c>
      <c r="AK75" s="197">
        <f t="shared" si="132"/>
        <v>26.421376864228847</v>
      </c>
      <c r="AL75" s="198">
        <f t="shared" si="132"/>
        <v>10.978622102855477</v>
      </c>
      <c r="AM75" s="197">
        <f t="shared" si="132"/>
        <v>26.421376864228847</v>
      </c>
    </row>
    <row r="77" spans="4:39" ht="15" thickBot="1" x14ac:dyDescent="0.35">
      <c r="AE77" s="30" t="s">
        <v>263</v>
      </c>
      <c r="AF77" s="28"/>
      <c r="AG77" s="28"/>
      <c r="AH77" s="28"/>
      <c r="AI77" s="28"/>
      <c r="AJ77" s="28"/>
      <c r="AK77" s="28"/>
      <c r="AL77" s="28"/>
      <c r="AM77" s="28"/>
    </row>
    <row r="78" spans="4:39" ht="14.4" customHeight="1" x14ac:dyDescent="0.3">
      <c r="AE78" s="613" t="s">
        <v>227</v>
      </c>
      <c r="AF78" s="117" t="s">
        <v>90</v>
      </c>
      <c r="AG78" s="165" t="s">
        <v>129</v>
      </c>
      <c r="AH78" s="220">
        <f>(1-Indata!E$9-Indata!E$10)*'Modell - Drivmedelpriser'!C$18*'Modell - Lätta fordon'!AH$13*'Modell - Lätta fordon'!AH$34/10</f>
        <v>7.6768867735148856</v>
      </c>
      <c r="AI78" s="221">
        <f>(1-Indata!F$9-Indata!F$10)*'Modell - Drivmedelpriser'!D$18*'Modell - Lätta fordon'!AI$13*'Modell - Lätta fordon'!AI$34/10</f>
        <v>-1.6503363695525615E-16</v>
      </c>
      <c r="AJ78" s="220">
        <f>(1-Indata!G$9-Indata!G$10)*'Modell - Drivmedelpriser'!E$18*'Modell - Lätta fordon'!AJ$13*'Modell - Lätta fordon'!AJ$34/10</f>
        <v>8.0342766505226511</v>
      </c>
      <c r="AK78" s="221">
        <f>(1-Indata!H$9-Indata!H$10)*'Modell - Drivmedelpriser'!F$18*'Modell - Lätta fordon'!AK$13*'Modell - Lätta fordon'!AK$34/10</f>
        <v>-1.7632618541063651E-16</v>
      </c>
      <c r="AL78" s="222">
        <f>(1-Indata!I$9-Indata!I$10)*'Modell - Drivmedelpriser'!G$18*'Modell - Lätta fordon'!AL$13*'Modell - Lätta fordon'!AL$34/10</f>
        <v>8.0342766505226511</v>
      </c>
      <c r="AM78" s="221">
        <f>(1-Indata!J$9-Indata!J$10)*'Modell - Drivmedelpriser'!H$18*'Modell - Lätta fordon'!AM$13*'Modell - Lätta fordon'!AM$34/10</f>
        <v>-1.7632618541063651E-16</v>
      </c>
    </row>
    <row r="79" spans="4:39" x14ac:dyDescent="0.3">
      <c r="AE79" s="614"/>
      <c r="AF79" s="118" t="s">
        <v>91</v>
      </c>
      <c r="AG79" s="166" t="s">
        <v>129</v>
      </c>
      <c r="AH79" s="223">
        <f>(1-Indata!E$11-Indata!E$12)*'Modell - Drivmedelpriser'!C$37*'Modell - Lätta fordon'!AH$14*'Modell - Lätta fordon'!AH$35/10</f>
        <v>8.1770564500775418</v>
      </c>
      <c r="AI79" s="224">
        <f>(1-Indata!F$11-Indata!F$12)*'Modell - Drivmedelpriser'!D$37*'Modell - Lätta fordon'!AI$14*'Modell - Lätta fordon'!AI$35/10</f>
        <v>0</v>
      </c>
      <c r="AJ79" s="223">
        <f>(1-Indata!G$11-Indata!G$12)*'Modell - Drivmedelpriser'!E$37*'Modell - Lätta fordon'!AJ$14*'Modell - Lätta fordon'!AJ$35/10</f>
        <v>8.5577312320817498</v>
      </c>
      <c r="AK79" s="224">
        <f>(1-Indata!H$11-Indata!H$12)*'Modell - Drivmedelpriser'!F$37*'Modell - Lätta fordon'!AK$14*'Modell - Lätta fordon'!AK$35/10</f>
        <v>0</v>
      </c>
      <c r="AL79" s="225">
        <f>(1-Indata!I$11-Indata!I$12)*'Modell - Drivmedelpriser'!G$37*'Modell - Lätta fordon'!AL$14*'Modell - Lätta fordon'!AL$35/10</f>
        <v>8.5577312320817498</v>
      </c>
      <c r="AM79" s="224">
        <f>(1-Indata!J$11-Indata!J$12)*'Modell - Drivmedelpriser'!H$37*'Modell - Lätta fordon'!AM$14*'Modell - Lätta fordon'!AM$35/10</f>
        <v>0</v>
      </c>
    </row>
    <row r="80" spans="4:39" x14ac:dyDescent="0.3">
      <c r="AE80" s="614"/>
      <c r="AF80" s="118" t="s">
        <v>92</v>
      </c>
      <c r="AG80" s="166" t="s">
        <v>129</v>
      </c>
      <c r="AH80" s="223">
        <f>(Indata!E$9+Indata!E$10)*'Modell - Drivmedelpriser'!C$18*'Modell - Lätta fordon'!AH$13*'Modell - Lätta fordon'!AH$34/10</f>
        <v>0.65849517384112488</v>
      </c>
      <c r="AI80" s="224">
        <f>(Indata!F$9+Indata!F$10)*'Modell - Drivmedelpriser'!D$18*'Modell - Lätta fordon'!AI$13*'Modell - Lätta fordon'!AI$34/10</f>
        <v>1.4864908517905786</v>
      </c>
      <c r="AJ80" s="223">
        <f>(Indata!G$9+Indata!G$10)*'Modell - Drivmedelpriser'!E$18*'Modell - Lätta fordon'!AJ$13*'Modell - Lätta fordon'!AJ$34/10</f>
        <v>0.68915076589716551</v>
      </c>
      <c r="AK80" s="224">
        <f>(Indata!H$9+Indata!H$10)*'Modell - Drivmedelpriser'!F$18*'Modell - Lätta fordon'!AK$13*'Modell - Lätta fordon'!AK$34/10</f>
        <v>1.5882050858220071</v>
      </c>
      <c r="AL80" s="225">
        <f>(Indata!I$9+Indata!I$10)*'Modell - Drivmedelpriser'!G$18*'Modell - Lätta fordon'!AL$13*'Modell - Lätta fordon'!AL$34/10</f>
        <v>0.68915076589716551</v>
      </c>
      <c r="AM80" s="224">
        <f>(Indata!J$9+Indata!J$10)*'Modell - Drivmedelpriser'!H$18*'Modell - Lätta fordon'!AM$13*'Modell - Lätta fordon'!AM$34/10</f>
        <v>1.5882050858220071</v>
      </c>
    </row>
    <row r="81" spans="31:39" x14ac:dyDescent="0.3">
      <c r="AE81" s="614"/>
      <c r="AF81" s="118" t="s">
        <v>94</v>
      </c>
      <c r="AG81" s="166" t="s">
        <v>129</v>
      </c>
      <c r="AH81" s="223">
        <f>(Indata!E$11+Indata!E$12)*'Modell - Drivmedelpriser'!C$37*'Modell - Lätta fordon'!AH$14*'Modell - Lätta fordon'!AH$35/10</f>
        <v>1.2871292560307244</v>
      </c>
      <c r="AI81" s="224">
        <f>(Indata!F$11+Indata!F$12)*'Modell - Drivmedelpriser'!D$37*'Modell - Lätta fordon'!AI$14*'Modell - Lätta fordon'!AI$35/10</f>
        <v>0.9007156242904607</v>
      </c>
      <c r="AJ81" s="223">
        <f>(Indata!G$11+Indata!G$12)*'Modell - Drivmedelpriser'!E$37*'Modell - Lätta fordon'!AJ$14*'Modell - Lätta fordon'!AJ$35/10</f>
        <v>1.3470502865313869</v>
      </c>
      <c r="AK81" s="224">
        <f>(Indata!H$11+Indata!H$12)*'Modell - Drivmedelpriser'!F$37*'Modell - Lätta fordon'!AK$14*'Modell - Lätta fordon'!AK$35/10</f>
        <v>0.96234775589388533</v>
      </c>
      <c r="AL81" s="225">
        <f>(Indata!I$11+Indata!I$12)*'Modell - Drivmedelpriser'!G$37*'Modell - Lätta fordon'!AL$14*'Modell - Lätta fordon'!AL$35/10</f>
        <v>1.3470502865313869</v>
      </c>
      <c r="AM81" s="224">
        <f>(Indata!J$11+Indata!J$12)*'Modell - Drivmedelpriser'!H$37*'Modell - Lätta fordon'!AM$14*'Modell - Lätta fordon'!AM$35/10</f>
        <v>0.96234775589388533</v>
      </c>
    </row>
    <row r="82" spans="31:39" x14ac:dyDescent="0.3">
      <c r="AE82" s="614"/>
      <c r="AF82" s="118" t="s">
        <v>7</v>
      </c>
      <c r="AG82" s="166" t="s">
        <v>129</v>
      </c>
      <c r="AH82" s="223">
        <f>'Modell - Drivmedelpriser'!C$69*'Modell - Lätta fordon'!AH$15*'Modell - Lätta fordon'!AH$36/10</f>
        <v>3.6715904701353947</v>
      </c>
      <c r="AI82" s="223">
        <f>'Modell - Drivmedelpriser'!D$69*'Modell - Lätta fordon'!AI$15*'Modell - Lätta fordon'!AI$36/10</f>
        <v>8.6552406693880659</v>
      </c>
      <c r="AJ82" s="223">
        <f>'Modell - Drivmedelpriser'!E$69*'Modell - Lätta fordon'!AJ$15*'Modell - Lätta fordon'!AJ$36/10</f>
        <v>3.8425177359994165</v>
      </c>
      <c r="AK82" s="223">
        <f>'Modell - Drivmedelpriser'!F$69*'Modell - Lätta fordon'!AK$15*'Modell - Lätta fordon'!AK$36/10</f>
        <v>9.2474819024800965</v>
      </c>
      <c r="AL82" s="223">
        <f>'Modell - Drivmedelpriser'!G$69*'Modell - Lätta fordon'!AL$15*'Modell - Lätta fordon'!AL$36/10</f>
        <v>3.8425177359994165</v>
      </c>
      <c r="AM82" s="223">
        <f>'Modell - Drivmedelpriser'!H$69*'Modell - Lätta fordon'!AM$15*'Modell - Lätta fordon'!AM$36/10</f>
        <v>9.2474819024800965</v>
      </c>
    </row>
    <row r="83" spans="31:39" x14ac:dyDescent="0.3">
      <c r="AE83" s="614"/>
      <c r="AF83" s="162" t="s">
        <v>124</v>
      </c>
      <c r="AG83" s="243" t="s">
        <v>129</v>
      </c>
      <c r="AH83" s="193">
        <f>SUM(AH78:AH79)</f>
        <v>15.853943223592427</v>
      </c>
      <c r="AI83" s="194">
        <f t="shared" ref="AI83:AM83" si="133">SUM(AI78:AI79)</f>
        <v>-1.6503363695525615E-16</v>
      </c>
      <c r="AJ83" s="193">
        <f t="shared" si="133"/>
        <v>16.592007882604399</v>
      </c>
      <c r="AK83" s="194">
        <f t="shared" si="133"/>
        <v>-1.7632618541063651E-16</v>
      </c>
      <c r="AL83" s="195">
        <f t="shared" si="133"/>
        <v>16.592007882604399</v>
      </c>
      <c r="AM83" s="194">
        <f t="shared" si="133"/>
        <v>-1.7632618541063651E-16</v>
      </c>
    </row>
    <row r="84" spans="31:39" x14ac:dyDescent="0.3">
      <c r="AE84" s="614"/>
      <c r="AF84" s="162" t="s">
        <v>125</v>
      </c>
      <c r="AG84" s="243" t="s">
        <v>129</v>
      </c>
      <c r="AH84" s="193">
        <f>SUM(AH80:AH81)</f>
        <v>1.9456244298718492</v>
      </c>
      <c r="AI84" s="194">
        <f t="shared" ref="AI84:AM84" si="134">SUM(AI80:AI81)</f>
        <v>2.3872064760810394</v>
      </c>
      <c r="AJ84" s="193">
        <f t="shared" si="134"/>
        <v>2.0362010524285523</v>
      </c>
      <c r="AK84" s="194">
        <f t="shared" si="134"/>
        <v>2.5505528417158922</v>
      </c>
      <c r="AL84" s="195">
        <f t="shared" si="134"/>
        <v>2.0362010524285523</v>
      </c>
      <c r="AM84" s="194">
        <f t="shared" si="134"/>
        <v>2.5505528417158922</v>
      </c>
    </row>
    <row r="85" spans="31:39" ht="15" thickBot="1" x14ac:dyDescent="0.35">
      <c r="AE85" s="615"/>
      <c r="AF85" s="164" t="s">
        <v>126</v>
      </c>
      <c r="AG85" s="244" t="s">
        <v>129</v>
      </c>
      <c r="AH85" s="196">
        <f>AH82</f>
        <v>3.6715904701353947</v>
      </c>
      <c r="AI85" s="197">
        <f t="shared" ref="AI85:AM85" si="135">AI82</f>
        <v>8.6552406693880659</v>
      </c>
      <c r="AJ85" s="196">
        <f>AJ82</f>
        <v>3.8425177359994165</v>
      </c>
      <c r="AK85" s="197">
        <f t="shared" si="135"/>
        <v>9.2474819024800965</v>
      </c>
      <c r="AL85" s="198">
        <f t="shared" si="135"/>
        <v>3.8425177359994165</v>
      </c>
      <c r="AM85" s="197">
        <f t="shared" si="135"/>
        <v>9.2474819024800965</v>
      </c>
    </row>
    <row r="86" spans="31:39" ht="14.4" customHeight="1" x14ac:dyDescent="0.3">
      <c r="AE86" s="613" t="s">
        <v>193</v>
      </c>
      <c r="AF86" s="117" t="s">
        <v>8</v>
      </c>
      <c r="AG86" s="165" t="s">
        <v>129</v>
      </c>
      <c r="AH86" s="177">
        <f t="shared" ref="AH86:AM88" si="136">AH34/10*AH24</f>
        <v>0</v>
      </c>
      <c r="AI86" s="202">
        <f t="shared" si="136"/>
        <v>0</v>
      </c>
      <c r="AJ86" s="177">
        <f t="shared" si="136"/>
        <v>0</v>
      </c>
      <c r="AK86" s="178">
        <f t="shared" si="136"/>
        <v>0</v>
      </c>
      <c r="AL86" s="179">
        <f t="shared" si="136"/>
        <v>0</v>
      </c>
      <c r="AM86" s="178">
        <f t="shared" si="136"/>
        <v>0</v>
      </c>
    </row>
    <row r="87" spans="31:39" x14ac:dyDescent="0.3">
      <c r="AE87" s="614"/>
      <c r="AF87" s="118" t="s">
        <v>9</v>
      </c>
      <c r="AG87" s="166" t="s">
        <v>129</v>
      </c>
      <c r="AH87" s="180">
        <f t="shared" si="136"/>
        <v>0</v>
      </c>
      <c r="AI87" s="203">
        <f t="shared" si="136"/>
        <v>0</v>
      </c>
      <c r="AJ87" s="180">
        <f t="shared" si="136"/>
        <v>0</v>
      </c>
      <c r="AK87" s="181">
        <f t="shared" si="136"/>
        <v>0</v>
      </c>
      <c r="AL87" s="182">
        <f t="shared" si="136"/>
        <v>0</v>
      </c>
      <c r="AM87" s="181">
        <f t="shared" si="136"/>
        <v>0</v>
      </c>
    </row>
    <row r="88" spans="31:39" x14ac:dyDescent="0.3">
      <c r="AE88" s="614"/>
      <c r="AF88" s="118" t="s">
        <v>7</v>
      </c>
      <c r="AG88" s="166" t="s">
        <v>129</v>
      </c>
      <c r="AH88" s="180">
        <f t="shared" si="136"/>
        <v>0</v>
      </c>
      <c r="AI88" s="203">
        <f t="shared" si="136"/>
        <v>0</v>
      </c>
      <c r="AJ88" s="180">
        <f t="shared" si="136"/>
        <v>0</v>
      </c>
      <c r="AK88" s="181">
        <f t="shared" si="136"/>
        <v>0</v>
      </c>
      <c r="AL88" s="182">
        <f t="shared" si="136"/>
        <v>0</v>
      </c>
      <c r="AM88" s="181">
        <f t="shared" si="136"/>
        <v>0</v>
      </c>
    </row>
    <row r="89" spans="31:39" ht="15" thickBot="1" x14ac:dyDescent="0.35">
      <c r="AE89" s="615"/>
      <c r="AF89" s="164" t="s">
        <v>16</v>
      </c>
      <c r="AG89" s="244" t="s">
        <v>129</v>
      </c>
      <c r="AH89" s="183">
        <f>SUM(AH86:AH88)</f>
        <v>0</v>
      </c>
      <c r="AI89" s="184">
        <f t="shared" ref="AI89:AM89" si="137">SUM(AI86:AI88)</f>
        <v>0</v>
      </c>
      <c r="AJ89" s="183">
        <f t="shared" si="137"/>
        <v>0</v>
      </c>
      <c r="AK89" s="185">
        <f t="shared" si="137"/>
        <v>0</v>
      </c>
      <c r="AL89" s="186">
        <f t="shared" si="137"/>
        <v>0</v>
      </c>
      <c r="AM89" s="185">
        <f t="shared" si="137"/>
        <v>0</v>
      </c>
    </row>
    <row r="92" spans="31:39" x14ac:dyDescent="0.3">
      <c r="AF92" s="15"/>
    </row>
  </sheetData>
  <mergeCells count="58">
    <mergeCell ref="AE57:AE60"/>
    <mergeCell ref="AE61:AE64"/>
    <mergeCell ref="A18:A21"/>
    <mergeCell ref="K18:K21"/>
    <mergeCell ref="A34:A37"/>
    <mergeCell ref="U18:U21"/>
    <mergeCell ref="U24:U26"/>
    <mergeCell ref="U29:U31"/>
    <mergeCell ref="U34:U37"/>
    <mergeCell ref="U40:U44"/>
    <mergeCell ref="U47:U50"/>
    <mergeCell ref="AE34:AE37"/>
    <mergeCell ref="AE40:AE44"/>
    <mergeCell ref="A13:A15"/>
    <mergeCell ref="K47:K50"/>
    <mergeCell ref="H3:I3"/>
    <mergeCell ref="K6:K10"/>
    <mergeCell ref="A40:A44"/>
    <mergeCell ref="K40:K44"/>
    <mergeCell ref="A6:A10"/>
    <mergeCell ref="A47:A50"/>
    <mergeCell ref="A24:A26"/>
    <mergeCell ref="A29:A31"/>
    <mergeCell ref="K34:K37"/>
    <mergeCell ref="D3:E3"/>
    <mergeCell ref="F3:G3"/>
    <mergeCell ref="K24:K26"/>
    <mergeCell ref="K29:K31"/>
    <mergeCell ref="K13:K15"/>
    <mergeCell ref="Z3:AA3"/>
    <mergeCell ref="AB3:AC3"/>
    <mergeCell ref="U6:U10"/>
    <mergeCell ref="U13:U15"/>
    <mergeCell ref="N3:O3"/>
    <mergeCell ref="P3:Q3"/>
    <mergeCell ref="R3:S3"/>
    <mergeCell ref="AH3:AI3"/>
    <mergeCell ref="AJ3:AK3"/>
    <mergeCell ref="AL3:AM3"/>
    <mergeCell ref="AE6:AE10"/>
    <mergeCell ref="AE13:AE15"/>
    <mergeCell ref="AF3:AG4"/>
    <mergeCell ref="AE86:AE89"/>
    <mergeCell ref="A3:A4"/>
    <mergeCell ref="B3:C4"/>
    <mergeCell ref="K3:K4"/>
    <mergeCell ref="L3:M4"/>
    <mergeCell ref="U3:U4"/>
    <mergeCell ref="V3:W4"/>
    <mergeCell ref="AE3:AE4"/>
    <mergeCell ref="AE53:AE56"/>
    <mergeCell ref="AE68:AE75"/>
    <mergeCell ref="AE78:AE85"/>
    <mergeCell ref="AE47:AE50"/>
    <mergeCell ref="AE18:AE21"/>
    <mergeCell ref="AE24:AE26"/>
    <mergeCell ref="AE29:AE31"/>
    <mergeCell ref="X3:Y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Beskrivning</vt:lpstr>
      <vt:lpstr>Indata</vt:lpstr>
      <vt:lpstr>Resultat</vt:lpstr>
      <vt:lpstr>Figurer utsläpp</vt:lpstr>
      <vt:lpstr>Indata - Utsläpp</vt:lpstr>
      <vt:lpstr>Indata - Fordon och Trafik</vt:lpstr>
      <vt:lpstr>Indata - Effektsamband-Faktorer</vt:lpstr>
      <vt:lpstr>Modell - Drivmedelpriser</vt:lpstr>
      <vt:lpstr>Modell - Lätta fordon</vt:lpstr>
      <vt:lpstr>Modell - Tunga fordon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Samuelsson, Sandra</dc:creator>
  <cp:lastModifiedBy>Selin Markus, PLkvm</cp:lastModifiedBy>
  <dcterms:created xsi:type="dcterms:W3CDTF">2019-08-20T14:13:18Z</dcterms:created>
  <dcterms:modified xsi:type="dcterms:W3CDTF">2024-09-27T12:44:16Z</dcterms:modified>
</cp:coreProperties>
</file>